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25" windowWidth="19440" windowHeight="12210" tabRatio="890" firstSheet="1" activeTab="3"/>
  </bookViews>
  <sheets>
    <sheet name="ModelRange" sheetId="165" state="hidden" r:id="rId1"/>
    <sheet name="Figure 1" sheetId="158" r:id="rId2"/>
    <sheet name="Table 1 " sheetId="159" r:id="rId3"/>
    <sheet name="Figure 2" sheetId="160" r:id="rId4"/>
    <sheet name="Figure 3" sheetId="134" r:id="rId5"/>
    <sheet name="Figure 4" sheetId="139" r:id="rId6"/>
    <sheet name="Figure 5" sheetId="155" r:id="rId7"/>
    <sheet name="Figure 6" sheetId="140" r:id="rId8"/>
    <sheet name="Figure 7" sheetId="136" r:id="rId9"/>
    <sheet name="Figure 8" sheetId="141" r:id="rId10"/>
    <sheet name="Figure 9" sheetId="138" r:id="rId11"/>
    <sheet name="Figure 10" sheetId="132" r:id="rId12"/>
    <sheet name="Figure 11" sheetId="21" r:id="rId13"/>
    <sheet name="input_gov" sheetId="154" r:id="rId14"/>
    <sheet name="input_edp" sheetId="163" r:id="rId15"/>
  </sheets>
  <definedNames>
    <definedName name="BASE" localSheetId="1">#REF!</definedName>
    <definedName name="BASE" localSheetId="3">#REF!</definedName>
    <definedName name="BASE" localSheetId="6">#REF!</definedName>
    <definedName name="BASE" localSheetId="2">#REF!</definedName>
    <definedName name="BASE">#REF!</definedName>
    <definedName name="CountryCode">#REF!</definedName>
    <definedName name="_xlnm.Print_Area" localSheetId="1">'Figure 1'!$A$1:$W$49</definedName>
    <definedName name="_xlnm.Print_Area" localSheetId="11">'Figure 10'!$C$3:$G$32</definedName>
    <definedName name="_xlnm.Print_Area" localSheetId="12">'Figure 11'!$C$3:$Q$47</definedName>
    <definedName name="_xlnm.Print_Area" localSheetId="3">'Figure 2'!$A$3:$X$49</definedName>
    <definedName name="_xlnm.Print_Area" localSheetId="4">'Figure 3'!$C$3:$G$33</definedName>
    <definedName name="_xlnm.Print_Area" localSheetId="5">'Figure 4'!$C$3:$G$33</definedName>
    <definedName name="_xlnm.Print_Area" localSheetId="6">'Figure 5'!$C$3:$O$48</definedName>
    <definedName name="_xlnm.Print_Area" localSheetId="7">'Figure 6'!$C$2:$O$31</definedName>
    <definedName name="_xlnm.Print_Area" localSheetId="8">'Figure 7'!$C$3:$Q$44</definedName>
    <definedName name="_xlnm.Print_Area" localSheetId="9">'Figure 8'!$C$2:$K$27</definedName>
    <definedName name="_xlnm.Print_Area" localSheetId="10">'Figure 9'!$A$6:$S$45</definedName>
    <definedName name="_xlnm.Print_Area" localSheetId="2">'Table 1 '!$A$1:$K$44</definedName>
    <definedName name="_xlnm.Print_Area">!$B$1:$O$93</definedName>
    <definedName name="RefVintage">#REF!</definedName>
    <definedName name="T2_collection">#REF!</definedName>
    <definedName name="T25_collection">#REF!</definedName>
    <definedName name="T27_collection">#REF!</definedName>
  </definedNames>
  <calcPr calcId="145621"/>
</workbook>
</file>

<file path=xl/comments7.xml><?xml version="1.0" encoding="utf-8"?>
<comments xmlns="http://schemas.openxmlformats.org/spreadsheetml/2006/main">
  <authors>
    <author>WAHRIG Laura (ESTAT)</author>
  </authors>
  <commentList>
    <comment ref="A2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EFTA separately form EU</t>
        </r>
      </text>
    </comment>
  </commentList>
</comments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<sst xmlns="http://schemas.openxmlformats.org/spreadsheetml/2006/main" count="1333" uniqueCount="863">
  <si>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</si>
  <si>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</si>
  <si>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</si>
  <si>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</si>
  <si>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</si>
  <si>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</si>
  <si>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</si>
  <si>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</si>
  <si>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</si>
  <si>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</si>
  <si>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</si>
  <si>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</si>
  <si>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</si>
  <si>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</si>
  <si>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</si>
  <si>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</si>
  <si>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</si>
  <si>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</si>
  <si>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</si>
  <si>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</si>
  <si>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</si>
  <si>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</si>
  <si>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</si>
  <si>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Croatia</t>
  </si>
  <si>
    <t>Czech Republic</t>
  </si>
  <si>
    <t>Ireland</t>
  </si>
  <si>
    <t>Austria</t>
  </si>
  <si>
    <t>Romania</t>
  </si>
  <si>
    <t>Threshold</t>
  </si>
  <si>
    <t>Taxes on production and imports</t>
  </si>
  <si>
    <t>(% of GDP)</t>
  </si>
  <si>
    <t>Total general government revenue</t>
  </si>
  <si>
    <t>Total general government expenditure</t>
  </si>
  <si>
    <t>Others</t>
  </si>
  <si>
    <t>United Kingdom</t>
  </si>
  <si>
    <t>Czech Republic</t>
  </si>
  <si>
    <t>Economy and finance</t>
  </si>
  <si>
    <t>Government finances</t>
  </si>
  <si>
    <t>Taxes</t>
  </si>
  <si>
    <t>Property income</t>
  </si>
  <si>
    <t>Intermediate consumption</t>
  </si>
  <si>
    <t>Compensation of employees, payable</t>
  </si>
  <si>
    <t>Subsidies, payable</t>
  </si>
  <si>
    <t>Other current transfers, payable</t>
  </si>
  <si>
    <t>Gross fixed capital formation</t>
  </si>
  <si>
    <t>(% of total expenditure)</t>
  </si>
  <si>
    <t>Current taxes on income, wealth, etc.</t>
  </si>
  <si>
    <t>Bookmark:</t>
  </si>
  <si>
    <t>(% of total revenue)</t>
  </si>
  <si>
    <t>Property income paid (incl. interest)</t>
  </si>
  <si>
    <t>START</t>
  </si>
  <si>
    <t>STOP</t>
  </si>
  <si>
    <t>http://epp.eurostat.ec.europa.eu/tgm/table.do?tab=table&amp;init=1&amp;plugin=1&amp;language=en&amp;pcode=tsdde410</t>
  </si>
  <si>
    <t>General government debt
(general government consolidated gross debt)</t>
  </si>
  <si>
    <t>EU-28</t>
  </si>
  <si>
    <t>EU-28: total expenditure</t>
  </si>
  <si>
    <t>EU-28: total revenue</t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</si>
  <si>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</si>
  <si>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</si>
  <si>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</si>
  <si>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</si>
  <si>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</si>
  <si>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</si>
  <si>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</si>
  <si>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</si>
  <si>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(General government consolidated gross debt, % of GDP)</t>
  </si>
  <si>
    <t>(Billion EUR)</t>
  </si>
  <si>
    <t>Net social contributions</t>
  </si>
  <si>
    <t>Market output, output for own final use and payments for non-market production</t>
  </si>
  <si>
    <t>Social transfers (²)</t>
  </si>
  <si>
    <t xml:space="preserve">Social transfers (²) </t>
  </si>
  <si>
    <t>Public balance 
(net borrowing / lending of consolidated general government sector)</t>
  </si>
  <si>
    <t>Euro area (EA-19)</t>
  </si>
  <si>
    <t>Euro area (EA-19)</t>
  </si>
  <si>
    <t>EA-19: total expenditure</t>
  </si>
  <si>
    <t>EA-19: total revenue</t>
  </si>
  <si>
    <t>Norway</t>
  </si>
  <si>
    <t>EA-19</t>
  </si>
  <si>
    <t xml:space="preserve">Iceland </t>
  </si>
  <si>
    <t>VAL.EU28.T0200.TE.S13.PC_GDP</t>
  </si>
  <si>
    <t>VAL.EA19.T0200.TE.S13.PC_GDP</t>
  </si>
  <si>
    <t>VAL.BE.T0200.D7PAY.S13.MNAC</t>
  </si>
  <si>
    <t>VAL.BG.T0200.D7PAY.S13.MNAC</t>
  </si>
  <si>
    <t>VAL.CZ.T0200.D7PAY.S13.MNAC</t>
  </si>
  <si>
    <t>VAL.DK.T0200.D7PAY.S13.MNAC</t>
  </si>
  <si>
    <t>VAL.DE.T0200.D7PAY.S13.MNAC</t>
  </si>
  <si>
    <t>VAL.EE.T0200.D7PAY.S13.MNAC</t>
  </si>
  <si>
    <t>VAL.IE.T0200.D7PAY.S13.MNAC</t>
  </si>
  <si>
    <t>VAL.EL.T0200.D7PAY.S13.MNAC</t>
  </si>
  <si>
    <t>VAL.ES.T0200.D7PAY.S13.MNAC</t>
  </si>
  <si>
    <t>VAL.FR.T0200.D7PAY.S13.MNAC</t>
  </si>
  <si>
    <t>VAL.HR.T0200.D7PAY.S13.MNAC</t>
  </si>
  <si>
    <t>VAL.IT.T0200.D7PAY.S13.MNAC</t>
  </si>
  <si>
    <t>VAL.CY.T0200.D7PAY.S13.MNAC</t>
  </si>
  <si>
    <t>VAL.LV.T0200.D7PAY.S13.MNAC</t>
  </si>
  <si>
    <t>VAL.LT.T0200.D7PAY.S13.MNAC</t>
  </si>
  <si>
    <t>VAL.LU.T0200.D7PAY.S13.MNAC</t>
  </si>
  <si>
    <t>VAL.HU.T0200.D7PAY.S13.MNAC</t>
  </si>
  <si>
    <t>VAL.MT.T0200.D7PAY.S13.MNAC</t>
  </si>
  <si>
    <t>VAL.NL.T0200.D7PAY.S13.MNAC</t>
  </si>
  <si>
    <t>VAL.AT.T0200.D7PAY.S13.MNAC</t>
  </si>
  <si>
    <t>VAL.PL.T0200.D7PAY.S13.MNAC</t>
  </si>
  <si>
    <t>VAL.PT.T0200.D7PAY.S13.MNAC</t>
  </si>
  <si>
    <t>VAL.RO.T0200.D7PAY.S13.MNAC</t>
  </si>
  <si>
    <t>VAL.SI.T0200.D7PAY.S13.MNAC</t>
  </si>
  <si>
    <t>VAL.SK.T0200.D7PAY.S13.MNAC</t>
  </si>
  <si>
    <t>VAL.FI.T0200.D7PAY.S13.MNAC</t>
  </si>
  <si>
    <t>VAL.SE.T0200.D7PAY.S13.MNAC</t>
  </si>
  <si>
    <t>VAL.UK.T0200.D7PAY.S13.MNAC</t>
  </si>
  <si>
    <t>VAL.IS.T0200.D7PAY.S13.MNAC</t>
  </si>
  <si>
    <t>VAL.NO.T0200.D7PAY.S13.MNAC</t>
  </si>
  <si>
    <t>VAL.CH.T0200.D7PAY.S13.MNAC</t>
  </si>
  <si>
    <t>VAL.EA19.T0200.D7PAY.S13.MNAC</t>
  </si>
  <si>
    <t>VAL.EU28.T0200.D7PAY.S13.MNAC</t>
  </si>
  <si>
    <t>VAL.BE.T0200.D3PAY.S13.MNAC</t>
  </si>
  <si>
    <t>VAL.BG.T0200.D3PAY.S13.MNAC</t>
  </si>
  <si>
    <t>VAL.CZ.T0200.D3PAY.S13.MNAC</t>
  </si>
  <si>
    <t>VAL.DK.T0200.D3PAY.S13.MNAC</t>
  </si>
  <si>
    <t>VAL.DE.T0200.D3PAY.S13.MNAC</t>
  </si>
  <si>
    <t>VAL.EE.T0200.D3PAY.S13.MNAC</t>
  </si>
  <si>
    <t>VAL.IE.T0200.D3PAY.S13.MNAC</t>
  </si>
  <si>
    <t>VAL.EL.T0200.D3PAY.S13.MNAC</t>
  </si>
  <si>
    <t>VAL.ES.T0200.D3PAY.S13.MNAC</t>
  </si>
  <si>
    <t>VAL.FR.T0200.D3PAY.S13.MNAC</t>
  </si>
  <si>
    <t>VAL.HR.T0200.D3PAY.S13.MNAC</t>
  </si>
  <si>
    <t>VAL.IT.T0200.D3PAY.S13.MNAC</t>
  </si>
  <si>
    <t>VAL.CY.T0200.D3PAY.S13.MNAC</t>
  </si>
  <si>
    <t>VAL.LV.T0200.D3PAY.S13.MNAC</t>
  </si>
  <si>
    <t>VAL.LT.T0200.D3PAY.S13.MNAC</t>
  </si>
  <si>
    <t>VAL.LU.T0200.D3PAY.S13.MNAC</t>
  </si>
  <si>
    <t>VAL.HU.T0200.D3PAY.S13.MNAC</t>
  </si>
  <si>
    <t>VAL.MT.T0200.D3PAY.S13.MNAC</t>
  </si>
  <si>
    <t>VAL.NL.T0200.D3PAY.S13.MNAC</t>
  </si>
  <si>
    <t>VAL.AT.T0200.D3PAY.S13.MNAC</t>
  </si>
  <si>
    <t>VAL.PL.T0200.D3PAY.S13.MNAC</t>
  </si>
  <si>
    <t>VAL.PT.T0200.D3PAY.S13.MNAC</t>
  </si>
  <si>
    <t>VAL.RO.T0200.D3PAY.S13.MNAC</t>
  </si>
  <si>
    <t>VAL.SI.T0200.D3PAY.S13.MNAC</t>
  </si>
  <si>
    <t>VAL.SK.T0200.D3PAY.S13.MNAC</t>
  </si>
  <si>
    <t>VAL.FI.T0200.D3PAY.S13.MNAC</t>
  </si>
  <si>
    <t>VAL.SE.T0200.D3PAY.S13.MNAC</t>
  </si>
  <si>
    <t>VAL.UK.T0200.D3PAY.S13.MNAC</t>
  </si>
  <si>
    <t>VAL.IS.T0200.D3PAY.S13.MNAC</t>
  </si>
  <si>
    <t>VAL.NO.T0200.D3PAY.S13.MNAC</t>
  </si>
  <si>
    <t>VAL.CH.T0200.D3PAY.S13.MNAC</t>
  </si>
  <si>
    <t>VAL.EA19.T0200.D3PAY.S13.MNAC</t>
  </si>
  <si>
    <t>VAL.EU28.T0200.D3PAY.S13.MNAC</t>
  </si>
  <si>
    <t>VAL.EU28.T0200.TR.S13.PC_GDP</t>
  </si>
  <si>
    <t>VAL.EA19.T0200.TR.S13.PC_GDP</t>
  </si>
  <si>
    <r>
      <t>Source:</t>
    </r>
    <r>
      <rPr>
        <sz val="9"/>
        <rFont val="Arial"/>
        <family val="2"/>
      </rPr>
      <t xml:space="preserve"> Eurostat (online data code: tec00127)</t>
    </r>
  </si>
  <si>
    <r>
      <t>Source:</t>
    </r>
    <r>
      <rPr>
        <sz val="9"/>
        <rFont val="Arial"/>
        <family val="2"/>
      </rPr>
      <t xml:space="preserve"> Eurostat (online data codes: tec00127 and tsdde410)</t>
    </r>
  </si>
  <si>
    <r>
      <t>Source:</t>
    </r>
    <r>
      <rPr>
        <sz val="9"/>
        <rFont val="Arial"/>
        <family val="2"/>
      </rPr>
      <t xml:space="preserve"> Eurostat (online data code: tsdde410)</t>
    </r>
  </si>
  <si>
    <r>
      <t xml:space="preserve">Source: </t>
    </r>
    <r>
      <rPr>
        <sz val="9"/>
        <rFont val="Arial"/>
        <family val="2"/>
      </rPr>
      <t>Eurostat (online data code: gov_10a_main)</t>
    </r>
  </si>
  <si>
    <r>
      <t>Source:</t>
    </r>
    <r>
      <rPr>
        <sz val="9"/>
        <rFont val="Arial"/>
        <family val="2"/>
      </rPr>
      <t xml:space="preserve"> Eurostat (online data code: gov_10a_main)</t>
    </r>
  </si>
  <si>
    <t>(Net borrowing or lending of the general government sector, % of GDP)</t>
  </si>
  <si>
    <r>
      <t>(2</t>
    </r>
    <r>
      <rPr>
        <sz val="9"/>
        <rFont val="Arial"/>
        <family val="2"/>
      </rPr>
      <t>) Social benefits other than social transfers in kind and social transfers in kind - purchased market production.</t>
    </r>
  </si>
  <si>
    <t>(2) Social benefits other than social transfers in kind and social transfers in kind - purchased market production.</t>
  </si>
  <si>
    <t>Switzerland</t>
  </si>
  <si>
    <t>(¹) Data extracted on 23.04.2018.</t>
  </si>
  <si>
    <t>(¹) Data extracted on 23.04.2018. Note that the y-axis is cut.</t>
  </si>
  <si>
    <t>(¹) Data extracted on 23.04.2018. Data ranked in descending order according to the average of total revenue and expenditure.</t>
  </si>
  <si>
    <t>(1) Data extracted on 23.04.2018.</t>
  </si>
  <si>
    <t>VAL.EU28.T1.B9.S13.PC_GDP.W.2018</t>
  </si>
  <si>
    <t>ND</t>
  </si>
  <si>
    <t>NA</t>
  </si>
  <si>
    <t>VAL.EU28.T0200.D62_D632PAY.S13.MNAC</t>
  </si>
  <si>
    <t>VAL.EA19.T0200.D62_D632PAY.S13.MNAC</t>
  </si>
  <si>
    <t>VAL.BE.T0200.D62_D632PAY.S13.MNAC</t>
  </si>
  <si>
    <t>VAL.BG.T0200.D62_D632PAY.S13.MNAC</t>
  </si>
  <si>
    <t>VAL.CZ.T0200.D62_D632PAY.S13.MNAC</t>
  </si>
  <si>
    <t>VAL.DK.T0200.D62_D632PAY.S13.MNAC</t>
  </si>
  <si>
    <t>VAL.DE.T0200.D62_D632PAY.S13.MNAC</t>
  </si>
  <si>
    <t>VAL.EE.T0200.D62_D632PAY.S13.MNAC</t>
  </si>
  <si>
    <t>VAL.IE.T0200.D62_D632PAY.S13.MNAC</t>
  </si>
  <si>
    <t>VAL.EL.T0200.D62_D632PAY.S13.MNAC</t>
  </si>
  <si>
    <t>VAL.ES.T0200.D62_D632PAY.S13.MNAC</t>
  </si>
  <si>
    <t>VAL.FR.T0200.D62_D632PAY.S13.MNAC</t>
  </si>
  <si>
    <t>VAL.HR.T0200.D62_D632PAY.S13.MNAC</t>
  </si>
  <si>
    <t>VAL.IT.T0200.D62_D632PAY.S13.MNAC</t>
  </si>
  <si>
    <t>VAL.CY.T0200.D62_D632PAY.S13.MNAC</t>
  </si>
  <si>
    <t>VAL.LV.T0200.D62_D632PAY.S13.MNAC</t>
  </si>
  <si>
    <t>VAL.LT.T0200.D62_D632PAY.S13.MNAC</t>
  </si>
  <si>
    <t>VAL.LU.T0200.D62_D632PAY.S13.MNAC</t>
  </si>
  <si>
    <t>VAL.HU.T0200.D62_D632PAY.S13.MNAC</t>
  </si>
  <si>
    <t>VAL.MT.T0200.D62_D632PAY.S13.MNAC</t>
  </si>
  <si>
    <t>VAL.NL.T0200.D62_D632PAY.S13.MNAC</t>
  </si>
  <si>
    <t>VAL.AT.T0200.D62_D632PAY.S13.MNAC</t>
  </si>
  <si>
    <t>VAL.PL.T0200.D62_D632PAY.S13.MNAC</t>
  </si>
  <si>
    <t>VAL.PT.T0200.D62_D632PAY.S13.MNAC</t>
  </si>
  <si>
    <t>VAL.RO.T0200.D62_D632PAY.S13.MNAC</t>
  </si>
  <si>
    <t>VAL.SI.T0200.D62_D632PAY.S13.MNAC</t>
  </si>
  <si>
    <t>VAL.SK.T0200.D62_D632PAY.S13.MNAC</t>
  </si>
  <si>
    <t>VAL.FI.T0200.D62_D632PAY.S13.MNAC</t>
  </si>
  <si>
    <t>VAL.SE.T0200.D62_D632PAY.S13.MNAC</t>
  </si>
  <si>
    <t>VAL.UK.T0200.D62_D632PAY.S13.MNAC</t>
  </si>
  <si>
    <t>VAL.IS.T0200.D62_D632PAY.S13.MNAC</t>
  </si>
  <si>
    <t>VAL.NO.T0200.D62_D632PAY.S13.MNAC</t>
  </si>
  <si>
    <t>VAL.CH.T0200.D62_D632PAY.S13.MNAC</t>
  </si>
  <si>
    <t>VAL.BE.T0200.TE.S13.PC_GDP</t>
  </si>
  <si>
    <t>VAL.BG.T0200.TE.S13.PC_GDP</t>
  </si>
  <si>
    <t>VAL.CZ.T0200.TE.S13.PC_GDP</t>
  </si>
  <si>
    <t>VAL.DK.T0200.TE.S13.PC_GDP</t>
  </si>
  <si>
    <t>VAL.DE.T0200.TE.S13.PC_GDP</t>
  </si>
  <si>
    <t>VAL.EE.T0200.TE.S13.PC_GDP</t>
  </si>
  <si>
    <t>VAL.IE.T0200.TE.S13.PC_GDP</t>
  </si>
  <si>
    <t>VAL.EL.T0200.TE.S13.PC_GDP</t>
  </si>
  <si>
    <t>VAL.ES.T0200.TE.S13.PC_GDP</t>
  </si>
  <si>
    <t>VAL.FR.T0200.TE.S13.PC_GDP</t>
  </si>
  <si>
    <t>VAL.HR.T0200.TE.S13.PC_GDP</t>
  </si>
  <si>
    <t>VAL.IT.T0200.TE.S13.PC_GDP</t>
  </si>
  <si>
    <t>VAL.CY.T0200.TE.S13.PC_GDP</t>
  </si>
  <si>
    <t>VAL.LV.T0200.TE.S13.PC_GDP</t>
  </si>
  <si>
    <t>VAL.LT.T0200.TE.S13.PC_GDP</t>
  </si>
  <si>
    <t>VAL.LU.T0200.TE.S13.PC_GDP</t>
  </si>
  <si>
    <t>VAL.HU.T0200.TE.S13.PC_GDP</t>
  </si>
  <si>
    <t>VAL.MT.T0200.TE.S13.PC_GDP</t>
  </si>
  <si>
    <t>VAL.NL.T0200.TE.S13.PC_GDP</t>
  </si>
  <si>
    <t>VAL.AT.T0200.TE.S13.PC_GDP</t>
  </si>
  <si>
    <t>VAL.PL.T0200.TE.S13.PC_GDP</t>
  </si>
  <si>
    <t>VAL.PT.T0200.TE.S13.PC_GDP</t>
  </si>
  <si>
    <t>VAL.RO.T0200.TE.S13.PC_GDP</t>
  </si>
  <si>
    <t>VAL.SI.T0200.TE.S13.PC_GDP</t>
  </si>
  <si>
    <t>VAL.SK.T0200.TE.S13.PC_GDP</t>
  </si>
  <si>
    <t>VAL.FI.T0200.TE.S13.PC_GDP</t>
  </si>
  <si>
    <t>VAL.SE.T0200.TE.S13.PC_GDP</t>
  </si>
  <si>
    <t>VAL.UK.T0200.TE.S13.PC_GDP</t>
  </si>
  <si>
    <t>VAL.IS.T0200.TE.S13.PC_GDP</t>
  </si>
  <si>
    <t>VAL.NO.T0200.TE.S13.PC_GDP</t>
  </si>
  <si>
    <t>VAL.CH.T0200.TE.S13.PC_GDP</t>
  </si>
  <si>
    <t>VAL.BE.T0200.TE.S13.MNAC</t>
  </si>
  <si>
    <t>VAL.BG.T0200.TE.S13.MNAC</t>
  </si>
  <si>
    <t>VAL.CZ.T0200.TE.S13.MNAC</t>
  </si>
  <si>
    <t>VAL.DK.T0200.TE.S13.MNAC</t>
  </si>
  <si>
    <t>VAL.DE.T0200.TE.S13.MNAC</t>
  </si>
  <si>
    <t>VAL.EE.T0200.TE.S13.MNAC</t>
  </si>
  <si>
    <t>VAL.IE.T0200.TE.S13.MNAC</t>
  </si>
  <si>
    <t>VAL.EL.T0200.TE.S13.MNAC</t>
  </si>
  <si>
    <t>VAL.ES.T0200.TE.S13.MNAC</t>
  </si>
  <si>
    <t>VAL.FR.T0200.TE.S13.MNAC</t>
  </si>
  <si>
    <t>VAL.HR.T0200.TE.S13.MNAC</t>
  </si>
  <si>
    <t>VAL.IT.T0200.TE.S13.MNAC</t>
  </si>
  <si>
    <t>VAL.CY.T0200.TE.S13.MNAC</t>
  </si>
  <si>
    <t>VAL.LV.T0200.TE.S13.MNAC</t>
  </si>
  <si>
    <t>VAL.LT.T0200.TE.S13.MNAC</t>
  </si>
  <si>
    <t>VAL.LU.T0200.TE.S13.MNAC</t>
  </si>
  <si>
    <t>VAL.HU.T0200.TE.S13.MNAC</t>
  </si>
  <si>
    <t>VAL.MT.T0200.TE.S13.MNAC</t>
  </si>
  <si>
    <t>VAL.NL.T0200.TE.S13.MNAC</t>
  </si>
  <si>
    <t>VAL.AT.T0200.TE.S13.MNAC</t>
  </si>
  <si>
    <t>VAL.PL.T0200.TE.S13.MNAC</t>
  </si>
  <si>
    <t>VAL.PT.T0200.TE.S13.MNAC</t>
  </si>
  <si>
    <t>VAL.RO.T0200.TE.S13.MNAC</t>
  </si>
  <si>
    <t>VAL.SI.T0200.TE.S13.MNAC</t>
  </si>
  <si>
    <t>VAL.SK.T0200.TE.S13.MNAC</t>
  </si>
  <si>
    <t>VAL.FI.T0200.TE.S13.MNAC</t>
  </si>
  <si>
    <t>VAL.SE.T0200.TE.S13.MNAC</t>
  </si>
  <si>
    <t>VAL.UK.T0200.TE.S13.MNAC</t>
  </si>
  <si>
    <t>VAL.IS.T0200.TE.S13.MNAC</t>
  </si>
  <si>
    <t>VAL.NO.T0200.TE.S13.MNAC</t>
  </si>
  <si>
    <t>VAL.CH.T0200.TE.S13.MNAC</t>
  </si>
  <si>
    <t>VAL.EA19.T0200.TE.S13.MNAC</t>
  </si>
  <si>
    <t>VAL.EU28.T0200.TE.S13.MNAC</t>
  </si>
  <si>
    <t>VAL.EU28.T0200.D2REC.S13.PC_GDP</t>
  </si>
  <si>
    <t>VAL.EA19.T0200.D2REC.S13.PC_GDP</t>
  </si>
  <si>
    <t>VAL.BE.T0200.D2REC.S13.PC_GDP</t>
  </si>
  <si>
    <t>VAL.BG.T0200.D2REC.S13.PC_GDP</t>
  </si>
  <si>
    <t>VAL.CZ.T0200.D2REC.S13.PC_GDP</t>
  </si>
  <si>
    <t>VAL.DK.T0200.D2REC.S13.PC_GDP</t>
  </si>
  <si>
    <t>VAL.DE.T0200.D2REC.S13.PC_GDP</t>
  </si>
  <si>
    <t>VAL.EE.T0200.D2REC.S13.PC_GDP</t>
  </si>
  <si>
    <t>VAL.IE.T0200.D2REC.S13.PC_GDP</t>
  </si>
  <si>
    <t>VAL.EL.T0200.D2REC.S13.PC_GDP</t>
  </si>
  <si>
    <t>VAL.ES.T0200.D2REC.S13.PC_GDP</t>
  </si>
  <si>
    <t>VAL.FR.T0200.D2REC.S13.PC_GDP</t>
  </si>
  <si>
    <t>VAL.HR.T0200.D2REC.S13.PC_GDP</t>
  </si>
  <si>
    <t>VAL.IT.T0200.D2REC.S13.PC_GDP</t>
  </si>
  <si>
    <t>VAL.CY.T0200.D2REC.S13.PC_GDP</t>
  </si>
  <si>
    <t>VAL.LV.T0200.D2REC.S13.PC_GDP</t>
  </si>
  <si>
    <t>VAL.LT.T0200.D2REC.S13.PC_GDP</t>
  </si>
  <si>
    <t>VAL.LU.T0200.D2REC.S13.PC_GDP</t>
  </si>
  <si>
    <t>VAL.HU.T0200.D2REC.S13.PC_GDP</t>
  </si>
  <si>
    <t>VAL.MT.T0200.D2REC.S13.PC_GDP</t>
  </si>
  <si>
    <t>VAL.NL.T0200.D2REC.S13.PC_GDP</t>
  </si>
  <si>
    <t>VAL.AT.T0200.D2REC.S13.PC_GDP</t>
  </si>
  <si>
    <t>VAL.PL.T0200.D2REC.S13.PC_GDP</t>
  </si>
  <si>
    <t>VAL.PT.T0200.D2REC.S13.PC_GDP</t>
  </si>
  <si>
    <t>VAL.RO.T0200.D2REC.S13.PC_GDP</t>
  </si>
  <si>
    <t>VAL.SI.T0200.D2REC.S13.PC_GDP</t>
  </si>
  <si>
    <t>VAL.SK.T0200.D2REC.S13.PC_GDP</t>
  </si>
  <si>
    <t>VAL.FI.T0200.D2REC.S13.PC_GDP</t>
  </si>
  <si>
    <t>VAL.SE.T0200.D2REC.S13.PC_GDP</t>
  </si>
  <si>
    <t>VAL.UK.T0200.D2REC.S13.PC_GDP</t>
  </si>
  <si>
    <t>VAL.IS.T0200.D2REC.S13.PC_GDP</t>
  </si>
  <si>
    <t>VAL.NO.T0200.D2REC.S13.PC_GDP</t>
  </si>
  <si>
    <t>VAL.CH.T0200.D2REC.S13.PC_GDP</t>
  </si>
  <si>
    <t>VAL.EU28.T0200.D5REC.S13.MNAC</t>
  </si>
  <si>
    <t>VAL.EA19.T0200.D5REC.S13.MNAC</t>
  </si>
  <si>
    <t>VAL.BE.T0200.D5REC.S13.MNAC</t>
  </si>
  <si>
    <t>VAL.BG.T0200.D5REC.S13.MNAC</t>
  </si>
  <si>
    <t>VAL.CZ.T0200.D5REC.S13.MNAC</t>
  </si>
  <si>
    <t>VAL.DK.T0200.D5REC.S13.MNAC</t>
  </si>
  <si>
    <t>VAL.DE.T0200.D5REC.S13.MNAC</t>
  </si>
  <si>
    <t>VAL.EE.T0200.D5REC.S13.MNAC</t>
  </si>
  <si>
    <t>VAL.IE.T0200.D5REC.S13.MNAC</t>
  </si>
  <si>
    <t>VAL.EL.T0200.D5REC.S13.MNAC</t>
  </si>
  <si>
    <t>VAL.ES.T0200.D5REC.S13.MNAC</t>
  </si>
  <si>
    <t>VAL.FR.T0200.D5REC.S13.MNAC</t>
  </si>
  <si>
    <t>VAL.HR.T0200.D5REC.S13.MNAC</t>
  </si>
  <si>
    <t>VAL.IT.T0200.D5REC.S13.MNAC</t>
  </si>
  <si>
    <t>VAL.CY.T0200.D5REC.S13.MNAC</t>
  </si>
  <si>
    <t>VAL.LV.T0200.D5REC.S13.MNAC</t>
  </si>
  <si>
    <t>VAL.LT.T0200.D5REC.S13.MNAC</t>
  </si>
  <si>
    <t>VAL.LU.T0200.D5REC.S13.MNAC</t>
  </si>
  <si>
    <t>VAL.HU.T0200.D5REC.S13.MNAC</t>
  </si>
  <si>
    <t>VAL.MT.T0200.D5REC.S13.MNAC</t>
  </si>
  <si>
    <t>VAL.NL.T0200.D5REC.S13.MNAC</t>
  </si>
  <si>
    <t>VAL.AT.T0200.D5REC.S13.MNAC</t>
  </si>
  <si>
    <t>VAL.PL.T0200.D5REC.S13.MNAC</t>
  </si>
  <si>
    <t>VAL.PT.T0200.D5REC.S13.MNAC</t>
  </si>
  <si>
    <t>VAL.RO.T0200.D5REC.S13.MNAC</t>
  </si>
  <si>
    <t>VAL.SI.T0200.D5REC.S13.MNAC</t>
  </si>
  <si>
    <t>VAL.SK.T0200.D5REC.S13.MNAC</t>
  </si>
  <si>
    <t>VAL.FI.T0200.D5REC.S13.MNAC</t>
  </si>
  <si>
    <t>VAL.SE.T0200.D5REC.S13.MNAC</t>
  </si>
  <si>
    <t>VAL.UK.T0200.D5REC.S13.MNAC</t>
  </si>
  <si>
    <t>VAL.IS.T0200.D5REC.S13.MNAC</t>
  </si>
  <si>
    <t>VAL.NO.T0200.D5REC.S13.MNAC</t>
  </si>
  <si>
    <t>VAL.CH.T0200.D5REC.S13.MNAC</t>
  </si>
  <si>
    <t>VAL.EU28.T0200.D91REC.S13.MNAC</t>
  </si>
  <si>
    <t>VAL.EA19.T0200.D91REC.S13.MNAC</t>
  </si>
  <si>
    <t>VAL.BE.T0200.D91REC.S13.MNAC</t>
  </si>
  <si>
    <t>VAL.BG.T0200.D91REC.S13.MNAC</t>
  </si>
  <si>
    <t>VAL.CZ.T0200.D91REC.S13.MNAC</t>
  </si>
  <si>
    <t>VAL.DK.T0200.D91REC.S13.MNAC</t>
  </si>
  <si>
    <t>VAL.DE.T0200.D91REC.S13.MNAC</t>
  </si>
  <si>
    <t>VAL.EE.T0200.D91REC.S13.MNAC</t>
  </si>
  <si>
    <t>VAL.IE.T0200.D91REC.S13.MNAC</t>
  </si>
  <si>
    <t>VAL.EL.T0200.D91REC.S13.MNAC</t>
  </si>
  <si>
    <t>VAL.ES.T0200.D91REC.S13.MNAC</t>
  </si>
  <si>
    <t>VAL.FR.T0200.D91REC.S13.MNAC</t>
  </si>
  <si>
    <t>VAL.HR.T0200.D91REC.S13.MNAC</t>
  </si>
  <si>
    <t>VAL.IT.T0200.D91REC.S13.MNAC</t>
  </si>
  <si>
    <t>VAL.CY.T0200.D91REC.S13.MNAC</t>
  </si>
  <si>
    <t>VAL.LV.T0200.D91REC.S13.MNAC</t>
  </si>
  <si>
    <t>VAL.LT.T0200.D91REC.S13.MNAC</t>
  </si>
  <si>
    <t>VAL.LU.T0200.D91REC.S13.MNAC</t>
  </si>
  <si>
    <t>VAL.HU.T0200.D91REC.S13.MNAC</t>
  </si>
  <si>
    <t>VAL.MT.T0200.D91REC.S13.MNAC</t>
  </si>
  <si>
    <t>VAL.NL.T0200.D91REC.S13.MNAC</t>
  </si>
  <si>
    <t>VAL.AT.T0200.D91REC.S13.MNAC</t>
  </si>
  <si>
    <t>VAL.PL.T0200.D91REC.S13.MNAC</t>
  </si>
  <si>
    <t>VAL.PT.T0200.D91REC.S13.MNAC</t>
  </si>
  <si>
    <t>VAL.RO.T0200.D91REC.S13.MNAC</t>
  </si>
  <si>
    <t>VAL.SI.T0200.D91REC.S13.MNAC</t>
  </si>
  <si>
    <t>VAL.SK.T0200.D91REC.S13.MNAC</t>
  </si>
  <si>
    <t>VAL.FI.T0200.D91REC.S13.MNAC</t>
  </si>
  <si>
    <t>VAL.SE.T0200.D91REC.S13.MNAC</t>
  </si>
  <si>
    <t>VAL.UK.T0200.D91REC.S13.MNAC</t>
  </si>
  <si>
    <t>VAL.IS.T0200.D91REC.S13.MNAC</t>
  </si>
  <si>
    <t>VAL.NO.T0200.D91REC.S13.MNAC</t>
  </si>
  <si>
    <t>VAL.CH.T0200.D91REC.S13.MNAC</t>
  </si>
  <si>
    <t>VAL.EU28.T0200.D61REC.S13.MNAC</t>
  </si>
  <si>
    <t>VAL.EA19.T0200.D61REC.S13.MNAC</t>
  </si>
  <si>
    <t>VAL.BE.T0200.D61REC.S13.MNAC</t>
  </si>
  <si>
    <t>VAL.BG.T0200.D61REC.S13.MNAC</t>
  </si>
  <si>
    <t>VAL.CZ.T0200.D61REC.S13.MNAC</t>
  </si>
  <si>
    <t>VAL.DK.T0200.D61REC.S13.MNAC</t>
  </si>
  <si>
    <t>VAL.DE.T0200.D61REC.S13.MNAC</t>
  </si>
  <si>
    <t>VAL.EE.T0200.D61REC.S13.MNAC</t>
  </si>
  <si>
    <t>VAL.IE.T0200.D61REC.S13.MNAC</t>
  </si>
  <si>
    <t>VAL.EL.T0200.D61REC.S13.MNAC</t>
  </si>
  <si>
    <t>VAL.ES.T0200.D61REC.S13.MNAC</t>
  </si>
  <si>
    <t>VAL.FR.T0200.D61REC.S13.MNAC</t>
  </si>
  <si>
    <t>VAL.HR.T0200.D61REC.S13.MNAC</t>
  </si>
  <si>
    <t>VAL.IT.T0200.D61REC.S13.MNAC</t>
  </si>
  <si>
    <t>VAL.CY.T0200.D61REC.S13.MNAC</t>
  </si>
  <si>
    <t>VAL.LV.T0200.D61REC.S13.MNAC</t>
  </si>
  <si>
    <t>VAL.LT.T0200.D61REC.S13.MNAC</t>
  </si>
  <si>
    <t>VAL.LU.T0200.D61REC.S13.MNAC</t>
  </si>
  <si>
    <t>VAL.HU.T0200.D61REC.S13.MNAC</t>
  </si>
  <si>
    <t>VAL.MT.T0200.D61REC.S13.MNAC</t>
  </si>
  <si>
    <t>VAL.NL.T0200.D61REC.S13.MNAC</t>
  </si>
  <si>
    <t>VAL.AT.T0200.D61REC.S13.MNAC</t>
  </si>
  <si>
    <t>VAL.PL.T0200.D61REC.S13.MNAC</t>
  </si>
  <si>
    <t>VAL.PT.T0200.D61REC.S13.MNAC</t>
  </si>
  <si>
    <t>VAL.RO.T0200.D61REC.S13.MNAC</t>
  </si>
  <si>
    <t>VAL.SI.T0200.D61REC.S13.MNAC</t>
  </si>
  <si>
    <t>VAL.SK.T0200.D61REC.S13.MNAC</t>
  </si>
  <si>
    <t>VAL.FI.T0200.D61REC.S13.MNAC</t>
  </si>
  <si>
    <t>VAL.SE.T0200.D61REC.S13.MNAC</t>
  </si>
  <si>
    <t>VAL.UK.T0200.D61REC.S13.MNAC</t>
  </si>
  <si>
    <t>VAL.IS.T0200.D61REC.S13.MNAC</t>
  </si>
  <si>
    <t>VAL.NO.T0200.D61REC.S13.MNAC</t>
  </si>
  <si>
    <t>VAL.CH.T0200.D61REC.S13.MNAC</t>
  </si>
  <si>
    <t>VAL.EU28.T0200.P11_P12_P131.S13.MNAC</t>
  </si>
  <si>
    <t>VAL.EA19.T0200.P11_P12_P131.S13.MNAC</t>
  </si>
  <si>
    <t>VAL.BE.T0200.P11_P12_P131.S13.MNAC</t>
  </si>
  <si>
    <t>VAL.BG.T0200.P11_P12_P131.S13.MNAC</t>
  </si>
  <si>
    <t>VAL.CZ.T0200.P11_P12_P131.S13.MNAC</t>
  </si>
  <si>
    <t>VAL.DK.T0200.P11_P12_P131.S13.MNAC</t>
  </si>
  <si>
    <t>VAL.DE.T0200.P11_P12_P131.S13.MNAC</t>
  </si>
  <si>
    <t>VAL.EE.T0200.P11_P12_P131.S13.MNAC</t>
  </si>
  <si>
    <t>VAL.IE.T0200.P11_P12_P131.S13.MNAC</t>
  </si>
  <si>
    <t>VAL.EL.T0200.P11_P12_P131.S13.MNAC</t>
  </si>
  <si>
    <t>VAL.ES.T0200.P11_P12_P131.S13.MNAC</t>
  </si>
  <si>
    <t>VAL.FR.T0200.P11_P12_P131.S13.MNAC</t>
  </si>
  <si>
    <t>VAL.HR.T0200.P11_P12_P131.S13.MNAC</t>
  </si>
  <si>
    <t>VAL.IT.T0200.P11_P12_P131.S13.MNAC</t>
  </si>
  <si>
    <t>VAL.CY.T0200.P11_P12_P131.S13.MNAC</t>
  </si>
  <si>
    <t>VAL.LV.T0200.P11_P12_P131.S13.MNAC</t>
  </si>
  <si>
    <t>VAL.LT.T0200.P11_P12_P131.S13.MNAC</t>
  </si>
  <si>
    <t>VAL.LU.T0200.P11_P12_P131.S13.MNAC</t>
  </si>
  <si>
    <t>VAL.HU.T0200.P11_P12_P131.S13.MNAC</t>
  </si>
  <si>
    <t>VAL.MT.T0200.P11_P12_P131.S13.MNAC</t>
  </si>
  <si>
    <t>VAL.NL.T0200.P11_P12_P131.S13.MNAC</t>
  </si>
  <si>
    <t>VAL.AT.T0200.P11_P12_P131.S13.MNAC</t>
  </si>
  <si>
    <t>VAL.PL.T0200.P11_P12_P131.S13.MNAC</t>
  </si>
  <si>
    <t>VAL.PT.T0200.P11_P12_P131.S13.MNAC</t>
  </si>
  <si>
    <t>VAL.RO.T0200.P11_P12_P131.S13.MNAC</t>
  </si>
  <si>
    <t>VAL.SI.T0200.P11_P12_P131.S13.MNAC</t>
  </si>
  <si>
    <t>VAL.SK.T0200.P11_P12_P131.S13.MNAC</t>
  </si>
  <si>
    <t>VAL.FI.T0200.P11_P12_P131.S13.MNAC</t>
  </si>
  <si>
    <t>VAL.SE.T0200.P11_P12_P131.S13.MNAC</t>
  </si>
  <si>
    <t>VAL.UK.T0200.P11_P12_P131.S13.MNAC</t>
  </si>
  <si>
    <t>VAL.IS.T0200.P11_P12_P131.S13.MNAC</t>
  </si>
  <si>
    <t>VAL.NO.T0200.P11_P12_P131.S13.MNAC</t>
  </si>
  <si>
    <t>VAL.CH.T0200.P11_P12_P131.S13.MNAC</t>
  </si>
  <si>
    <t>VAL.EU28.T0200.D4REC.S13.MNAC</t>
  </si>
  <si>
    <t>VAL.EA19.T0200.D4REC.S13.MNAC</t>
  </si>
  <si>
    <t>VAL.BE.T0200.D4REC.S13.MNAC</t>
  </si>
  <si>
    <t>VAL.BG.T0200.D4REC.S13.MNAC</t>
  </si>
  <si>
    <t>VAL.CZ.T0200.D4REC.S13.MNAC</t>
  </si>
  <si>
    <t>VAL.DK.T0200.D4REC.S13.MNAC</t>
  </si>
  <si>
    <t>VAL.DE.T0200.D4REC.S13.MNAC</t>
  </si>
  <si>
    <t>VAL.EE.T0200.D4REC.S13.MNAC</t>
  </si>
  <si>
    <t>VAL.IE.T0200.D4REC.S13.MNAC</t>
  </si>
  <si>
    <t>VAL.EL.T0200.D4REC.S13.MNAC</t>
  </si>
  <si>
    <t>VAL.ES.T0200.D4REC.S13.MNAC</t>
  </si>
  <si>
    <t>VAL.FR.T0200.D4REC.S13.MNAC</t>
  </si>
  <si>
    <t>VAL.HR.T0200.D4REC.S13.MNAC</t>
  </si>
  <si>
    <t>VAL.IT.T0200.D4REC.S13.MNAC</t>
  </si>
  <si>
    <t>VAL.CY.T0200.D4REC.S13.MNAC</t>
  </si>
  <si>
    <t>VAL.LV.T0200.D4REC.S13.MNAC</t>
  </si>
  <si>
    <t>VAL.LT.T0200.D4REC.S13.MNAC</t>
  </si>
  <si>
    <t>VAL.LU.T0200.D4REC.S13.MNAC</t>
  </si>
  <si>
    <t>VAL.HU.T0200.D4REC.S13.MNAC</t>
  </si>
  <si>
    <t>VAL.MT.T0200.D4REC.S13.MNAC</t>
  </si>
  <si>
    <t>VAL.NL.T0200.D4REC.S13.MNAC</t>
  </si>
  <si>
    <t>VAL.AT.T0200.D4REC.S13.MNAC</t>
  </si>
  <si>
    <t>VAL.PL.T0200.D4REC.S13.MNAC</t>
  </si>
  <si>
    <t>VAL.PT.T0200.D4REC.S13.MNAC</t>
  </si>
  <si>
    <t>VAL.RO.T0200.D4REC.S13.MNAC</t>
  </si>
  <si>
    <t>VAL.SI.T0200.D4REC.S13.MNAC</t>
  </si>
  <si>
    <t>VAL.SK.T0200.D4REC.S13.MNAC</t>
  </si>
  <si>
    <t>VAL.FI.T0200.D4REC.S13.MNAC</t>
  </si>
  <si>
    <t>VAL.SE.T0200.D4REC.S13.MNAC</t>
  </si>
  <si>
    <t>VAL.UK.T0200.D4REC.S13.MNAC</t>
  </si>
  <si>
    <t>VAL.IS.T0200.D4REC.S13.MNAC</t>
  </si>
  <si>
    <t>VAL.NO.T0200.D4REC.S13.MNAC</t>
  </si>
  <si>
    <t>VAL.CH.T0200.D4REC.S13.MNAC</t>
  </si>
  <si>
    <t>VAL.EU28.T0200.TR.S13.MNAC</t>
  </si>
  <si>
    <t>VAL.EA19.T0200.TR.S13.MNAC</t>
  </si>
  <si>
    <t>VAL.BE.T0200.TR.S13.MNAC</t>
  </si>
  <si>
    <t>VAL.BG.T0200.TR.S13.MNAC</t>
  </si>
  <si>
    <t>VAL.CZ.T0200.TR.S13.MNAC</t>
  </si>
  <si>
    <t>VAL.DK.T0200.TR.S13.MNAC</t>
  </si>
  <si>
    <t>VAL.DE.T0200.TR.S13.MNAC</t>
  </si>
  <si>
    <t>VAL.EE.T0200.TR.S13.MNAC</t>
  </si>
  <si>
    <t>VAL.IE.T0200.TR.S13.MNAC</t>
  </si>
  <si>
    <t>VAL.EL.T0200.TR.S13.MNAC</t>
  </si>
  <si>
    <t>VAL.ES.T0200.TR.S13.MNAC</t>
  </si>
  <si>
    <t>VAL.FR.T0200.TR.S13.MNAC</t>
  </si>
  <si>
    <t>VAL.HR.T0200.TR.S13.MNAC</t>
  </si>
  <si>
    <t>VAL.IT.T0200.TR.S13.MNAC</t>
  </si>
  <si>
    <t>VAL.CY.T0200.TR.S13.MNAC</t>
  </si>
  <si>
    <t>VAL.LV.T0200.TR.S13.MNAC</t>
  </si>
  <si>
    <t>VAL.LT.T0200.TR.S13.MNAC</t>
  </si>
  <si>
    <t>VAL.LU.T0200.TR.S13.MNAC</t>
  </si>
  <si>
    <t>VAL.HU.T0200.TR.S13.MNAC</t>
  </si>
  <si>
    <t>VAL.MT.T0200.TR.S13.MNAC</t>
  </si>
  <si>
    <t>VAL.NL.T0200.TR.S13.MNAC</t>
  </si>
  <si>
    <t>VAL.AT.T0200.TR.S13.MNAC</t>
  </si>
  <si>
    <t>VAL.PL.T0200.TR.S13.MNAC</t>
  </si>
  <si>
    <t>VAL.PT.T0200.TR.S13.MNAC</t>
  </si>
  <si>
    <t>VAL.RO.T0200.TR.S13.MNAC</t>
  </si>
  <si>
    <t>VAL.SI.T0200.TR.S13.MNAC</t>
  </si>
  <si>
    <t>VAL.SK.T0200.TR.S13.MNAC</t>
  </si>
  <si>
    <t>VAL.FI.T0200.TR.S13.MNAC</t>
  </si>
  <si>
    <t>VAL.SE.T0200.TR.S13.MNAC</t>
  </si>
  <si>
    <t>VAL.UK.T0200.TR.S13.MNAC</t>
  </si>
  <si>
    <t>VAL.IS.T0200.TR.S13.MNAC</t>
  </si>
  <si>
    <t>VAL.NO.T0200.TR.S13.MNAC</t>
  </si>
  <si>
    <t>VAL.CH.T0200.TR.S13.MNAC</t>
  </si>
  <si>
    <t>VAL.BE.T0200.TR.S13.PC_GDP</t>
  </si>
  <si>
    <t>VAL.BG.T0200.TR.S13.PC_GDP</t>
  </si>
  <si>
    <t>VAL.CZ.T0200.TR.S13.PC_GDP</t>
  </si>
  <si>
    <t>VAL.DK.T0200.TR.S13.PC_GDP</t>
  </si>
  <si>
    <t>VAL.DE.T0200.TR.S13.PC_GDP</t>
  </si>
  <si>
    <t>VAL.EE.T0200.TR.S13.PC_GDP</t>
  </si>
  <si>
    <t>VAL.IE.T0200.TR.S13.PC_GDP</t>
  </si>
  <si>
    <t>VAL.EL.T0200.TR.S13.PC_GDP</t>
  </si>
  <si>
    <t>VAL.ES.T0200.TR.S13.PC_GDP</t>
  </si>
  <si>
    <t>VAL.FR.T0200.TR.S13.PC_GDP</t>
  </si>
  <si>
    <t>VAL.HR.T0200.TR.S13.PC_GDP</t>
  </si>
  <si>
    <t>VAL.IT.T0200.TR.S13.PC_GDP</t>
  </si>
  <si>
    <t>VAL.CY.T0200.TR.S13.PC_GDP</t>
  </si>
  <si>
    <t>VAL.LV.T0200.TR.S13.PC_GDP</t>
  </si>
  <si>
    <t>VAL.LT.T0200.TR.S13.PC_GDP</t>
  </si>
  <si>
    <t>VAL.LU.T0200.TR.S13.PC_GDP</t>
  </si>
  <si>
    <t>VAL.HU.T0200.TR.S13.PC_GDP</t>
  </si>
  <si>
    <t>VAL.MT.T0200.TR.S13.PC_GDP</t>
  </si>
  <si>
    <t>VAL.NL.T0200.TR.S13.PC_GDP</t>
  </si>
  <si>
    <t>VAL.AT.T0200.TR.S13.PC_GDP</t>
  </si>
  <si>
    <t>VAL.PL.T0200.TR.S13.PC_GDP</t>
  </si>
  <si>
    <t>VAL.PT.T0200.TR.S13.PC_GDP</t>
  </si>
  <si>
    <t>VAL.RO.T0200.TR.S13.PC_GDP</t>
  </si>
  <si>
    <t>VAL.SI.T0200.TR.S13.PC_GDP</t>
  </si>
  <si>
    <t>VAL.SK.T0200.TR.S13.PC_GDP</t>
  </si>
  <si>
    <t>VAL.FI.T0200.TR.S13.PC_GDP</t>
  </si>
  <si>
    <t>VAL.SE.T0200.TR.S13.PC_GDP</t>
  </si>
  <si>
    <t>VAL.UK.T0200.TR.S13.PC_GDP</t>
  </si>
  <si>
    <t>VAL.IS.T0200.TR.S13.PC_GDP</t>
  </si>
  <si>
    <t>VAL.NO.T0200.TR.S13.PC_GDP</t>
  </si>
  <si>
    <t>VAL.CH.T0200.TR.S13.PC_GDP</t>
  </si>
  <si>
    <t>VAL.EU28.T0200.D5REC.S13.PC_GDP</t>
  </si>
  <si>
    <t>VAL.EA19.T0200.D5REC.S13.PC_GDP</t>
  </si>
  <si>
    <t>VAL.BE.T0200.D5REC.S13.PC_GDP</t>
  </si>
  <si>
    <t>VAL.BG.T0200.D5REC.S13.PC_GDP</t>
  </si>
  <si>
    <t>VAL.CZ.T0200.D5REC.S13.PC_GDP</t>
  </si>
  <si>
    <t>VAL.DK.T0200.D5REC.S13.PC_GDP</t>
  </si>
  <si>
    <t>VAL.DE.T0200.D5REC.S13.PC_GDP</t>
  </si>
  <si>
    <t>VAL.EE.T0200.D5REC.S13.PC_GDP</t>
  </si>
  <si>
    <t>VAL.IE.T0200.D5REC.S13.PC_GDP</t>
  </si>
  <si>
    <t>VAL.EL.T0200.D5REC.S13.PC_GDP</t>
  </si>
  <si>
    <t>VAL.ES.T0200.D5REC.S13.PC_GDP</t>
  </si>
  <si>
    <t>VAL.FR.T0200.D5REC.S13.PC_GDP</t>
  </si>
  <si>
    <t>VAL.HR.T0200.D5REC.S13.PC_GDP</t>
  </si>
  <si>
    <t>VAL.IT.T0200.D5REC.S13.PC_GDP</t>
  </si>
  <si>
    <t>VAL.CY.T0200.D5REC.S13.PC_GDP</t>
  </si>
  <si>
    <t>VAL.LV.T0200.D5REC.S13.PC_GDP</t>
  </si>
  <si>
    <t>VAL.LT.T0200.D5REC.S13.PC_GDP</t>
  </si>
  <si>
    <t>VAL.LU.T0200.D5REC.S13.PC_GDP</t>
  </si>
  <si>
    <t>VAL.HU.T0200.D5REC.S13.PC_GDP</t>
  </si>
  <si>
    <t>VAL.MT.T0200.D5REC.S13.PC_GDP</t>
  </si>
  <si>
    <t>VAL.NL.T0200.D5REC.S13.PC_GDP</t>
  </si>
  <si>
    <t>VAL.AT.T0200.D5REC.S13.PC_GDP</t>
  </si>
  <si>
    <t>VAL.PL.T0200.D5REC.S13.PC_GDP</t>
  </si>
  <si>
    <t>VAL.PT.T0200.D5REC.S13.PC_GDP</t>
  </si>
  <si>
    <t>VAL.RO.T0200.D5REC.S13.PC_GDP</t>
  </si>
  <si>
    <t>VAL.SI.T0200.D5REC.S13.PC_GDP</t>
  </si>
  <si>
    <t>VAL.SK.T0200.D5REC.S13.PC_GDP</t>
  </si>
  <si>
    <t>VAL.FI.T0200.D5REC.S13.PC_GDP</t>
  </si>
  <si>
    <t>VAL.SE.T0200.D5REC.S13.PC_GDP</t>
  </si>
  <si>
    <t>VAL.UK.T0200.D5REC.S13.PC_GDP</t>
  </si>
  <si>
    <t>VAL.IS.T0200.D5REC.S13.PC_GDP</t>
  </si>
  <si>
    <t>VAL.NO.T0200.D5REC.S13.PC_GDP</t>
  </si>
  <si>
    <t>VAL.CH.T0200.D5REC.S13.PC_GDP</t>
  </si>
  <si>
    <t>VAL.EU28.T0200.D61REC.S13.PC_GDP</t>
  </si>
  <si>
    <t>VAL.EA19.T0200.D61REC.S13.PC_GDP</t>
  </si>
  <si>
    <t>VAL.BE.T0200.D61REC.S13.PC_GDP</t>
  </si>
  <si>
    <t>VAL.BG.T0200.D61REC.S13.PC_GDP</t>
  </si>
  <si>
    <t>VAL.CZ.T0200.D61REC.S13.PC_GDP</t>
  </si>
  <si>
    <t>VAL.DK.T0200.D61REC.S13.PC_GDP</t>
  </si>
  <si>
    <t>VAL.DE.T0200.D61REC.S13.PC_GDP</t>
  </si>
  <si>
    <t>VAL.EE.T0200.D61REC.S13.PC_GDP</t>
  </si>
  <si>
    <t>VAL.IE.T0200.D61REC.S13.PC_GDP</t>
  </si>
  <si>
    <t>VAL.EL.T0200.D61REC.S13.PC_GDP</t>
  </si>
  <si>
    <t>VAL.ES.T0200.D61REC.S13.PC_GDP</t>
  </si>
  <si>
    <t>VAL.FR.T0200.D61REC.S13.PC_GDP</t>
  </si>
  <si>
    <t>VAL.HR.T0200.D61REC.S13.PC_GDP</t>
  </si>
  <si>
    <t>VAL.IT.T0200.D61REC.S13.PC_GDP</t>
  </si>
  <si>
    <t>VAL.CY.T0200.D61REC.S13.PC_GDP</t>
  </si>
  <si>
    <t>VAL.LV.T0200.D61REC.S13.PC_GDP</t>
  </si>
  <si>
    <t>VAL.LT.T0200.D61REC.S13.PC_GDP</t>
  </si>
  <si>
    <t>VAL.LU.T0200.D61REC.S13.PC_GDP</t>
  </si>
  <si>
    <t>VAL.HU.T0200.D61REC.S13.PC_GDP</t>
  </si>
  <si>
    <t>VAL.MT.T0200.D61REC.S13.PC_GDP</t>
  </si>
  <si>
    <t>VAL.NL.T0200.D61REC.S13.PC_GDP</t>
  </si>
  <si>
    <t>VAL.AT.T0200.D61REC.S13.PC_GDP</t>
  </si>
  <si>
    <t>VAL.PL.T0200.D61REC.S13.PC_GDP</t>
  </si>
  <si>
    <t>VAL.PT.T0200.D61REC.S13.PC_GDP</t>
  </si>
  <si>
    <t>VAL.RO.T0200.D61REC.S13.PC_GDP</t>
  </si>
  <si>
    <t>VAL.SI.T0200.D61REC.S13.PC_GDP</t>
  </si>
  <si>
    <t>VAL.SK.T0200.D61REC.S13.PC_GDP</t>
  </si>
  <si>
    <t>VAL.FI.T0200.D61REC.S13.PC_GDP</t>
  </si>
  <si>
    <t>VAL.SE.T0200.D61REC.S13.PC_GDP</t>
  </si>
  <si>
    <t>VAL.UK.T0200.D61REC.S13.PC_GDP</t>
  </si>
  <si>
    <t>VAL.IS.T0200.D61REC.S13.PC_GDP</t>
  </si>
  <si>
    <t>VAL.NO.T0200.D61REC.S13.PC_GDP</t>
  </si>
  <si>
    <t>VAL.CH.T0200.D61REC.S13.PC_GDP</t>
  </si>
  <si>
    <t>VAL.EU28.T0200.D1PAY.S13.MNAC</t>
  </si>
  <si>
    <t>VAL.EA19.T0200.D1PAY.S13.MNAC</t>
  </si>
  <si>
    <t>VAL.BE.T0200.D1PAY.S13.MNAC</t>
  </si>
  <si>
    <t>VAL.BG.T0200.D1PAY.S13.MNAC</t>
  </si>
  <si>
    <t>VAL.CZ.T0200.D1PAY.S13.MNAC</t>
  </si>
  <si>
    <t>VAL.DK.T0200.D1PAY.S13.MNAC</t>
  </si>
  <si>
    <t>VAL.DE.T0200.D1PAY.S13.MNAC</t>
  </si>
  <si>
    <t>VAL.EE.T0200.D1PAY.S13.MNAC</t>
  </si>
  <si>
    <t>VAL.IE.T0200.D1PAY.S13.MNAC</t>
  </si>
  <si>
    <t>VAL.EL.T0200.D1PAY.S13.MNAC</t>
  </si>
  <si>
    <t>VAL.ES.T0200.D1PAY.S13.MNAC</t>
  </si>
  <si>
    <t>VAL.FR.T0200.D1PAY.S13.MNAC</t>
  </si>
  <si>
    <t>VAL.HR.T0200.D1PAY.S13.MNAC</t>
  </si>
  <si>
    <t>VAL.IT.T0200.D1PAY.S13.MNAC</t>
  </si>
  <si>
    <t>VAL.CY.T0200.D1PAY.S13.MNAC</t>
  </si>
  <si>
    <t>VAL.LV.T0200.D1PAY.S13.MNAC</t>
  </si>
  <si>
    <t>VAL.LT.T0200.D1PAY.S13.MNAC</t>
  </si>
  <si>
    <t>VAL.LU.T0200.D1PAY.S13.MNAC</t>
  </si>
  <si>
    <t>VAL.HU.T0200.D1PAY.S13.MNAC</t>
  </si>
  <si>
    <t>VAL.MT.T0200.D1PAY.S13.MNAC</t>
  </si>
  <si>
    <t>VAL.NL.T0200.D1PAY.S13.MNAC</t>
  </si>
  <si>
    <t>VAL.AT.T0200.D1PAY.S13.MNAC</t>
  </si>
  <si>
    <t>VAL.PL.T0200.D1PAY.S13.MNAC</t>
  </si>
  <si>
    <t>VAL.PT.T0200.D1PAY.S13.MNAC</t>
  </si>
  <si>
    <t>VAL.RO.T0200.D1PAY.S13.MNAC</t>
  </si>
  <si>
    <t>VAL.SI.T0200.D1PAY.S13.MNAC</t>
  </si>
  <si>
    <t>VAL.SK.T0200.D1PAY.S13.MNAC</t>
  </si>
  <si>
    <t>VAL.FI.T0200.D1PAY.S13.MNAC</t>
  </si>
  <si>
    <t>VAL.SE.T0200.D1PAY.S13.MNAC</t>
  </si>
  <si>
    <t>VAL.UK.T0200.D1PAY.S13.MNAC</t>
  </si>
  <si>
    <t>VAL.IS.T0200.D1PAY.S13.MNAC</t>
  </si>
  <si>
    <t>VAL.NO.T0200.D1PAY.S13.MNAC</t>
  </si>
  <si>
    <t>VAL.CH.T0200.D1PAY.S13.MNAC</t>
  </si>
  <si>
    <t>VAL.EU28.T0200.P2.S13.MNAC</t>
  </si>
  <si>
    <t>VAL.EA19.T0200.P2.S13.MNAC</t>
  </si>
  <si>
    <t>VAL.BE.T0200.P2.S13.MNAC</t>
  </si>
  <si>
    <t>VAL.BG.T0200.P2.S13.MNAC</t>
  </si>
  <si>
    <t>VAL.CZ.T0200.P2.S13.MNAC</t>
  </si>
  <si>
    <t>VAL.DK.T0200.P2.S13.MNAC</t>
  </si>
  <si>
    <t>VAL.DE.T0200.P2.S13.MNAC</t>
  </si>
  <si>
    <t>VAL.EE.T0200.P2.S13.MNAC</t>
  </si>
  <si>
    <t>VAL.IE.T0200.P2.S13.MNAC</t>
  </si>
  <si>
    <t>VAL.EL.T0200.P2.S13.MNAC</t>
  </si>
  <si>
    <t>VAL.ES.T0200.P2.S13.MNAC</t>
  </si>
  <si>
    <t>VAL.FR.T0200.P2.S13.MNAC</t>
  </si>
  <si>
    <t>VAL.HR.T0200.P2.S13.MNAC</t>
  </si>
  <si>
    <t>VAL.IT.T0200.P2.S13.MNAC</t>
  </si>
  <si>
    <t>VAL.CY.T0200.P2.S13.MNAC</t>
  </si>
  <si>
    <t>VAL.LV.T0200.P2.S13.MNAC</t>
  </si>
  <si>
    <t>VAL.LT.T0200.P2.S13.MNAC</t>
  </si>
  <si>
    <t>VAL.LU.T0200.P2.S13.MNAC</t>
  </si>
  <si>
    <t>VAL.HU.T0200.P2.S13.MNAC</t>
  </si>
  <si>
    <t>VAL.MT.T0200.P2.S13.MNAC</t>
  </si>
  <si>
    <t>VAL.NL.T0200.P2.S13.MNAC</t>
  </si>
  <si>
    <t>VAL.AT.T0200.P2.S13.MNAC</t>
  </si>
  <si>
    <t>VAL.PL.T0200.P2.S13.MNAC</t>
  </si>
  <si>
    <t>VAL.PT.T0200.P2.S13.MNAC</t>
  </si>
  <si>
    <t>VAL.RO.T0200.P2.S13.MNAC</t>
  </si>
  <si>
    <t>VAL.SI.T0200.P2.S13.MNAC</t>
  </si>
  <si>
    <t>VAL.SK.T0200.P2.S13.MNAC</t>
  </si>
  <si>
    <t>VAL.FI.T0200.P2.S13.MNAC</t>
  </si>
  <si>
    <t>VAL.SE.T0200.P2.S13.MNAC</t>
  </si>
  <si>
    <t>VAL.UK.T0200.P2.S13.MNAC</t>
  </si>
  <si>
    <t>VAL.IS.T0200.P2.S13.MNAC</t>
  </si>
  <si>
    <t>VAL.NO.T0200.P2.S13.MNAC</t>
  </si>
  <si>
    <t>VAL.CH.T0200.P2.S13.MNAC</t>
  </si>
  <si>
    <t>VAL.EU28.T0200.P51G.S13.MNAC</t>
  </si>
  <si>
    <t>VAL.EA19.T0200.P51G.S13.MNAC</t>
  </si>
  <si>
    <t>VAL.BE.T0200.P51G.S13.MNAC</t>
  </si>
  <si>
    <t>VAL.BG.T0200.P51G.S13.MNAC</t>
  </si>
  <si>
    <t>VAL.CZ.T0200.P51G.S13.MNAC</t>
  </si>
  <si>
    <t>VAL.DK.T0200.P51G.S13.MNAC</t>
  </si>
  <si>
    <t>VAL.DE.T0200.P51G.S13.MNAC</t>
  </si>
  <si>
    <t>VAL.EE.T0200.P51G.S13.MNAC</t>
  </si>
  <si>
    <t>VAL.IE.T0200.P51G.S13.MNAC</t>
  </si>
  <si>
    <t>VAL.EL.T0200.P51G.S13.MNAC</t>
  </si>
  <si>
    <t>VAL.ES.T0200.P51G.S13.MNAC</t>
  </si>
  <si>
    <t>VAL.FR.T0200.P51G.S13.MNAC</t>
  </si>
  <si>
    <t>VAL.HR.T0200.P51G.S13.MNAC</t>
  </si>
  <si>
    <t>VAL.IT.T0200.P51G.S13.MNAC</t>
  </si>
  <si>
    <t>VAL.CY.T0200.P51G.S13.MNAC</t>
  </si>
  <si>
    <t>VAL.LV.T0200.P51G.S13.MNAC</t>
  </si>
  <si>
    <t>VAL.LT.T0200.P51G.S13.MNAC</t>
  </si>
  <si>
    <t>VAL.LU.T0200.P51G.S13.MNAC</t>
  </si>
  <si>
    <t>VAL.HU.T0200.P51G.S13.MNAC</t>
  </si>
  <si>
    <t>VAL.MT.T0200.P51G.S13.MNAC</t>
  </si>
  <si>
    <t>VAL.NL.T0200.P51G.S13.MNAC</t>
  </si>
  <si>
    <t>VAL.AT.T0200.P51G.S13.MNAC</t>
  </si>
  <si>
    <t>VAL.PL.T0200.P51G.S13.MNAC</t>
  </si>
  <si>
    <t>VAL.PT.T0200.P51G.S13.MNAC</t>
  </si>
  <si>
    <t>VAL.RO.T0200.P51G.S13.MNAC</t>
  </si>
  <si>
    <t>VAL.SI.T0200.P51G.S13.MNAC</t>
  </si>
  <si>
    <t>VAL.SK.T0200.P51G.S13.MNAC</t>
  </si>
  <si>
    <t>VAL.FI.T0200.P51G.S13.MNAC</t>
  </si>
  <si>
    <t>VAL.SE.T0200.P51G.S13.MNAC</t>
  </si>
  <si>
    <t>VAL.UK.T0200.P51G.S13.MNAC</t>
  </si>
  <si>
    <t>VAL.IS.T0200.P51G.S13.MNAC</t>
  </si>
  <si>
    <t>VAL.NO.T0200.P51G.S13.MNAC</t>
  </si>
  <si>
    <t>VAL.CH.T0200.P51G.S13.MNAC</t>
  </si>
  <si>
    <t>VAL.EU28.T0200.D4PAY.S13.MNAC</t>
  </si>
  <si>
    <t>VAL.EA19.T0200.D4PAY.S13.MNAC</t>
  </si>
  <si>
    <t>VAL.BE.T0200.D4PAY.S13.MNAC</t>
  </si>
  <si>
    <t>VAL.BG.T0200.D4PAY.S13.MNAC</t>
  </si>
  <si>
    <t>VAL.CZ.T0200.D4PAY.S13.MNAC</t>
  </si>
  <si>
    <t>VAL.DK.T0200.D4PAY.S13.MNAC</t>
  </si>
  <si>
    <t>VAL.DE.T0200.D4PAY.S13.MNAC</t>
  </si>
  <si>
    <t>VAL.EE.T0200.D4PAY.S13.MNAC</t>
  </si>
  <si>
    <t>VAL.IE.T0200.D4PAY.S13.MNAC</t>
  </si>
  <si>
    <t>VAL.EL.T0200.D4PAY.S13.MNAC</t>
  </si>
  <si>
    <t>VAL.ES.T0200.D4PAY.S13.MNAC</t>
  </si>
  <si>
    <t>VAL.FR.T0200.D4PAY.S13.MNAC</t>
  </si>
  <si>
    <t>VAL.HR.T0200.D4PAY.S13.MNAC</t>
  </si>
  <si>
    <t>VAL.IT.T0200.D4PAY.S13.MNAC</t>
  </si>
  <si>
    <t>VAL.CY.T0200.D4PAY.S13.MNAC</t>
  </si>
  <si>
    <t>VAL.LV.T0200.D4PAY.S13.MNAC</t>
  </si>
  <si>
    <t>VAL.LT.T0200.D4PAY.S13.MNAC</t>
  </si>
  <si>
    <t>VAL.LU.T0200.D4PAY.S13.MNAC</t>
  </si>
  <si>
    <t>VAL.HU.T0200.D4PAY.S13.MNAC</t>
  </si>
  <si>
    <t>VAL.MT.T0200.D4PAY.S13.MNAC</t>
  </si>
  <si>
    <t>VAL.NL.T0200.D4PAY.S13.MNAC</t>
  </si>
  <si>
    <t>VAL.AT.T0200.D4PAY.S13.MNAC</t>
  </si>
  <si>
    <t>VAL.PL.T0200.D4PAY.S13.MNAC</t>
  </si>
  <si>
    <t>VAL.PT.T0200.D4PAY.S13.MNAC</t>
  </si>
  <si>
    <t>VAL.RO.T0200.D4PAY.S13.MNAC</t>
  </si>
  <si>
    <t>VAL.SI.T0200.D4PAY.S13.MNAC</t>
  </si>
  <si>
    <t>VAL.SK.T0200.D4PAY.S13.MNAC</t>
  </si>
  <si>
    <t>VAL.FI.T0200.D4PAY.S13.MNAC</t>
  </si>
  <si>
    <t>VAL.SE.T0200.D4PAY.S13.MNAC</t>
  </si>
  <si>
    <t>VAL.UK.T0200.D4PAY.S13.MNAC</t>
  </si>
  <si>
    <t>VAL.IS.T0200.D4PAY.S13.MNAC</t>
  </si>
  <si>
    <t>VAL.NO.T0200.D4PAY.S13.MNAC</t>
  </si>
  <si>
    <t>VAL.CH.T0200.D4PAY.S13.MNAC</t>
  </si>
  <si>
    <t>VAL.EU28.T0200.D2REC.S13.MNAC</t>
  </si>
  <si>
    <t>VAL.EA19.T0200.D2REC.S13.MNAC</t>
  </si>
  <si>
    <t>VAL.BE.T0200.D2REC.S13.MNAC</t>
  </si>
  <si>
    <t>VAL.BG.T0200.D2REC.S13.MNAC</t>
  </si>
  <si>
    <t>VAL.CZ.T0200.D2REC.S13.MNAC</t>
  </si>
  <si>
    <t>VAL.DK.T0200.D2REC.S13.MNAC</t>
  </si>
  <si>
    <t>VAL.DE.T0200.D2REC.S13.MNAC</t>
  </si>
  <si>
    <t>VAL.EE.T0200.D2REC.S13.MNAC</t>
  </si>
  <si>
    <t>VAL.IE.T0200.D2REC.S13.MNAC</t>
  </si>
  <si>
    <t>VAL.EL.T0200.D2REC.S13.MNAC</t>
  </si>
  <si>
    <t>VAL.ES.T0200.D2REC.S13.MNAC</t>
  </si>
  <si>
    <t>VAL.FR.T0200.D2REC.S13.MNAC</t>
  </si>
  <si>
    <t>VAL.HR.T0200.D2REC.S13.MNAC</t>
  </si>
  <si>
    <t>VAL.IT.T0200.D2REC.S13.MNAC</t>
  </si>
  <si>
    <t>VAL.CY.T0200.D2REC.S13.MNAC</t>
  </si>
  <si>
    <t>VAL.LV.T0200.D2REC.S13.MNAC</t>
  </si>
  <si>
    <t>VAL.LT.T0200.D2REC.S13.MNAC</t>
  </si>
  <si>
    <t>VAL.LU.T0200.D2REC.S13.MNAC</t>
  </si>
  <si>
    <t>VAL.HU.T0200.D2REC.S13.MNAC</t>
  </si>
  <si>
    <t>VAL.MT.T0200.D2REC.S13.MNAC</t>
  </si>
  <si>
    <t>VAL.NL.T0200.D2REC.S13.MNAC</t>
  </si>
  <si>
    <t>VAL.AT.T0200.D2REC.S13.MNAC</t>
  </si>
  <si>
    <t>VAL.PL.T0200.D2REC.S13.MNAC</t>
  </si>
  <si>
    <t>VAL.PT.T0200.D2REC.S13.MNAC</t>
  </si>
  <si>
    <t>VAL.RO.T0200.D2REC.S13.MNAC</t>
  </si>
  <si>
    <t>VAL.SI.T0200.D2REC.S13.MNAC</t>
  </si>
  <si>
    <t>VAL.SK.T0200.D2REC.S13.MNAC</t>
  </si>
  <si>
    <t>VAL.FI.T0200.D2REC.S13.MNAC</t>
  </si>
  <si>
    <t>VAL.SE.T0200.D2REC.S13.MNAC</t>
  </si>
  <si>
    <t>VAL.UK.T0200.D2REC.S13.MNAC</t>
  </si>
  <si>
    <t>VAL.IS.T0200.D2REC.S13.MNAC</t>
  </si>
  <si>
    <t>VAL.NO.T0200.D2REC.S13.MNAC</t>
  </si>
  <si>
    <t>VAL.CH.T0200.D2REC.S13.MNAC</t>
  </si>
  <si>
    <t>VAL.EU28.T0200.B9.S13.PC_GDP</t>
  </si>
  <si>
    <t>VAL.EA19.T0200.B9.S13.PC_GDP</t>
  </si>
  <si>
    <t>VAL.BE.T0200.B9.S13.PC_GDP</t>
  </si>
  <si>
    <t>VAL.BG.T0200.B9.S13.PC_GDP</t>
  </si>
  <si>
    <t>VAL.CZ.T0200.B9.S13.PC_GDP</t>
  </si>
  <si>
    <t>VAL.DK.T0200.B9.S13.PC_GDP</t>
  </si>
  <si>
    <t>VAL.DE.T0200.B9.S13.PC_GDP</t>
  </si>
  <si>
    <t>VAL.EE.T0200.B9.S13.PC_GDP</t>
  </si>
  <si>
    <t>VAL.IE.T0200.B9.S13.PC_GDP</t>
  </si>
  <si>
    <t>VAL.EL.T0200.B9.S13.PC_GDP</t>
  </si>
  <si>
    <t>VAL.ES.T0200.B9.S13.PC_GDP</t>
  </si>
  <si>
    <t>VAL.FR.T0200.B9.S13.PC_GDP</t>
  </si>
  <si>
    <t>VAL.HR.T0200.B9.S13.PC_GDP</t>
  </si>
  <si>
    <t>VAL.IT.T0200.B9.S13.PC_GDP</t>
  </si>
  <si>
    <t>VAL.CY.T0200.B9.S13.PC_GDP</t>
  </si>
  <si>
    <t>VAL.LV.T0200.B9.S13.PC_GDP</t>
  </si>
  <si>
    <t>VAL.LT.T0200.B9.S13.PC_GDP</t>
  </si>
  <si>
    <t>VAL.LU.T0200.B9.S13.PC_GDP</t>
  </si>
  <si>
    <t>VAL.HU.T0200.B9.S13.PC_GDP</t>
  </si>
  <si>
    <t>VAL.MT.T0200.B9.S13.PC_GDP</t>
  </si>
  <si>
    <t>VAL.NL.T0200.B9.S13.PC_GDP</t>
  </si>
  <si>
    <t>VAL.AT.T0200.B9.S13.PC_GDP</t>
  </si>
  <si>
    <t>VAL.PL.T0200.B9.S13.PC_GDP</t>
  </si>
  <si>
    <t>VAL.PT.T0200.B9.S13.PC_GDP</t>
  </si>
  <si>
    <t>VAL.RO.T0200.B9.S13.PC_GDP</t>
  </si>
  <si>
    <t>VAL.SI.T0200.B9.S13.PC_GDP</t>
  </si>
  <si>
    <t>VAL.SK.T0200.B9.S13.PC_GDP</t>
  </si>
  <si>
    <t>VAL.FI.T0200.B9.S13.PC_GDP</t>
  </si>
  <si>
    <t>VAL.SE.T0200.B9.S13.PC_GDP</t>
  </si>
  <si>
    <t>VAL.UK.T0200.B9.S13.PC_GDP</t>
  </si>
  <si>
    <t>VAL.IS.T0200.B9.S13.PC_GDP</t>
  </si>
  <si>
    <t>VAL.NO.T0200.B9.S13.PC_GDP</t>
  </si>
  <si>
    <t>From gov on 20/04/2018 13:45:35</t>
  </si>
  <si>
    <t>VAL.EA19.T1.B9.S13.PC_GDP.W.2018</t>
  </si>
  <si>
    <t>VAL.BE.T1.B9.S13.PC_GDP.W.2018</t>
  </si>
  <si>
    <t>VAL.BG.T1.B9.S13.PC_GDP.W.2018</t>
  </si>
  <si>
    <t>VAL.CZ.T1.B9.S13.PC_GDP.W.2018</t>
  </si>
  <si>
    <t>VAL.DK.T1.B9.S13.PC_GDP.W.2018</t>
  </si>
  <si>
    <t>VAL.DE.T1.B9.S13.PC_GDP.W.2018</t>
  </si>
  <si>
    <t>VAL.EE.T1.B9.S13.PC_GDP.W.2018</t>
  </si>
  <si>
    <t>VAL.IE.T1.B9.S13.PC_GDP.W.2018</t>
  </si>
  <si>
    <t>VAL.EL.T1.B9.S13.PC_GDP.W.2018</t>
  </si>
  <si>
    <t>VAL.ES.T1.B9.S13.PC_GDP.W.2018</t>
  </si>
  <si>
    <t>VAL.FR.T1.B9.S13.PC_GDP.W.2018</t>
  </si>
  <si>
    <t>VAL.HR.T1.B9.S13.PC_GDP.W.2018</t>
  </si>
  <si>
    <t>VAL.IT.T1.B9.S13.PC_GDP.W.2018</t>
  </si>
  <si>
    <t>VAL.CY.T1.B9.S13.PC_GDP.W.2018</t>
  </si>
  <si>
    <t>VAL.LV.T1.B9.S13.PC_GDP.W.2018</t>
  </si>
  <si>
    <t>VAL.LT.T1.B9.S13.PC_GDP.W.2018</t>
  </si>
  <si>
    <t>VAL.LU.T1.B9.S13.PC_GDP.W.2018</t>
  </si>
  <si>
    <t>VAL.HU.T1.B9.S13.PC_GDP.W.2018</t>
  </si>
  <si>
    <t>VAL.MT.T1.B9.S13.PC_GDP.W.2018</t>
  </si>
  <si>
    <t>VAL.NL.T1.B9.S13.PC_GDP.W.2018</t>
  </si>
  <si>
    <t>VAL.AT.T1.B9.S13.PC_GDP.W.2018</t>
  </si>
  <si>
    <t>VAL.PL.T1.B9.S13.PC_GDP.W.2018</t>
  </si>
  <si>
    <t>VAL.PT.T1.B9.S13.PC_GDP.W.2018</t>
  </si>
  <si>
    <t>VAL.RO.T1.B9.S13.PC_GDP.W.2018</t>
  </si>
  <si>
    <t>VAL.SI.T1.B9.S13.PC_GDP.W.2018</t>
  </si>
  <si>
    <t>VAL.SK.T1.B9.S13.PC_GDP.W.2018</t>
  </si>
  <si>
    <t>VAL.FI.T1.B9.S13.PC_GDP.W.2018</t>
  </si>
  <si>
    <t>VAL.SE.T1.B9.S13.PC_GDP.W.2018</t>
  </si>
  <si>
    <t>VAL.UK.T1.B9.S13.PC_GDP.W.2018</t>
  </si>
  <si>
    <t>VAL.NO.T1.B9.S13.PC_GDP.W.2018</t>
  </si>
  <si>
    <t>VAL.EU28.T1.DEBT_CONSO.S13.PC_GDP.W.2018</t>
  </si>
  <si>
    <t>VAL.EA19.T1.DEBT_CONSO.S13.PC_GDP.W.2018</t>
  </si>
  <si>
    <t>VAL.BE.T1.DEBT.S13.PC_GDP.W.2018</t>
  </si>
  <si>
    <t>VAL.BG.T1.DEBT.S13.PC_GDP.W.2018</t>
  </si>
  <si>
    <t>VAL.CZ.T1.DEBT.S13.PC_GDP.W.2018</t>
  </si>
  <si>
    <t>VAL.DK.T1.DEBT.S13.PC_GDP.W.2018</t>
  </si>
  <si>
    <t>VAL.DE.T1.DEBT.S13.PC_GDP.W.2018</t>
  </si>
  <si>
    <t>VAL.EE.T1.DEBT.S13.PC_GDP.W.2018</t>
  </si>
  <si>
    <t>VAL.IE.T1.DEBT.S13.PC_GDP.W.2018</t>
  </si>
  <si>
    <t>VAL.EL.T1.DEBT.S13.PC_GDP.W.2018</t>
  </si>
  <si>
    <t>VAL.ES.T1.DEBT.S13.PC_GDP.W.2018</t>
  </si>
  <si>
    <t>VAL.FR.T1.DEBT.S13.PC_GDP.W.2018</t>
  </si>
  <si>
    <t>VAL.HR.T1.DEBT.S13.PC_GDP.W.2018</t>
  </si>
  <si>
    <t>VAL.IT.T1.DEBT.S13.PC_GDP.W.2018</t>
  </si>
  <si>
    <t>VAL.CY.T1.DEBT.S13.PC_GDP.W.2018</t>
  </si>
  <si>
    <t>VAL.LV.T1.DEBT.S13.PC_GDP.W.2018</t>
  </si>
  <si>
    <t>VAL.LT.T1.DEBT.S13.PC_GDP.W.2018</t>
  </si>
  <si>
    <t>VAL.LU.T1.DEBT.S13.PC_GDP.W.2018</t>
  </si>
  <si>
    <t>VAL.HU.T1.DEBT.S13.PC_GDP.W.2018</t>
  </si>
  <si>
    <t>VAL.MT.T1.DEBT.S13.PC_GDP.W.2018</t>
  </si>
  <si>
    <t>VAL.NL.T1.DEBT.S13.PC_GDP.W.2018</t>
  </si>
  <si>
    <t>VAL.AT.T1.DEBT.S13.PC_GDP.W.2018</t>
  </si>
  <si>
    <t>VAL.PL.T1.DEBT.S13.PC_GDP.W.2018</t>
  </si>
  <si>
    <t>VAL.PT.T1.DEBT.S13.PC_GDP.W.2018</t>
  </si>
  <si>
    <t>VAL.RO.T1.DEBT.S13.PC_GDP.W.2018</t>
  </si>
  <si>
    <t>VAL.SI.T1.DEBT.S13.PC_GDP.W.2018</t>
  </si>
  <si>
    <t>VAL.SK.T1.DEBT.S13.PC_GDP.W.2018</t>
  </si>
  <si>
    <t>VAL.FI.T1.DEBT.S13.PC_GDP.W.2018</t>
  </si>
  <si>
    <t>VAL.SE.T1.DEBT.S13.PC_GDP.W.2018</t>
  </si>
  <si>
    <t>VAL.UK.T1.DEBT.S13.PC_GDP.W.2018</t>
  </si>
  <si>
    <t>VAL.NO.T1.DEBT.S13.PC_GDP.W.2018</t>
  </si>
  <si>
    <t>From edp on 20/04/2018 13:45:36</t>
  </si>
  <si>
    <t>Figure 5: Government revenue and expenditure, 2017 (¹)</t>
  </si>
  <si>
    <t>Table 1: Public balance and general government debt, 2014-2017 (¹)</t>
  </si>
  <si>
    <t>Figure 2: General government debt, 2016 and 2017 (¹)</t>
  </si>
  <si>
    <t>Figure 9: Main components of government expenditure, 2017</t>
  </si>
  <si>
    <t>Figure 1: Public balance, 2016 and 2017 (¹)</t>
  </si>
  <si>
    <t>Figure 11: Main categories of taxes and social contributions, 2017 (¹)</t>
  </si>
  <si>
    <t>Figure 10: Main categories of taxes and social contributions, EU-28, 2007–2017 (¹)</t>
  </si>
  <si>
    <t>Figure 9: Main components of government expenditure, 2017 (¹)</t>
  </si>
  <si>
    <t>Figure 8: Composition of total expenditure, 2017 (¹)</t>
  </si>
  <si>
    <t>Figure 7: Main components of government revenue, 2017 (¹)</t>
  </si>
  <si>
    <t>Figure 6: Composition of total revenue, 2017 (¹)</t>
  </si>
  <si>
    <t>Figure 4: Development of total expenditure and total revenue, 2007–2017 (¹)</t>
  </si>
  <si>
    <t>Figure 3: Development of total expenditure and total revenue, 2007–2017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</si>
</sst>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.0_i"/>
    <numFmt numFmtId="169" formatCode="_-* #,##0.0_-;\-* #,##0.0_-;_-* &quot;-&quot;??_-;_-@_-"/>
    <numFmt numFmtId="170" formatCode="###\ ###"/>
    <numFmt numFmtId="171" formatCode="#,##0.00000"/>
    <numFmt numFmtId="172" formatCode="_-* #.##0.00_-;\-* #.##0.00_-;_-* &quot;-&quot;??_-;_-@_-"/>
  </numFmts>
  <fonts count="4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sz val="9"/>
      <color theme="0" tint="-0.2499700039625167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33" fillId="33" borderId="10" applyNumberFormat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8" fontId="0" fillId="0" borderId="0" applyFill="0" applyBorder="0" applyProtection="0">
      <alignment horizontal="right"/>
    </xf>
    <xf numFmtId="0" fontId="18" fillId="6" borderId="5" applyNumberFormat="0" applyAlignment="0" applyProtection="0"/>
    <xf numFmtId="0" fontId="36" fillId="35" borderId="11" applyNumberFormat="0" applyAlignment="0" applyProtection="0"/>
    <xf numFmtId="0" fontId="18" fillId="6" borderId="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12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6" fontId="0" fillId="0" borderId="0" xfId="20" applyNumberFormat="1" applyFont="1" applyFill="1" applyBorder="1" applyAlignment="1">
      <alignment horizontal="left"/>
      <protection/>
    </xf>
    <xf numFmtId="0" fontId="5" fillId="9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0" fontId="28" fillId="0" borderId="0" xfId="0" applyFont="1"/>
    <xf numFmtId="166" fontId="0" fillId="0" borderId="17" xfId="20" applyNumberFormat="1" applyFont="1" applyFill="1" applyBorder="1" applyAlignment="1">
      <alignment horizontal="left"/>
      <protection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28" fillId="0" borderId="0" xfId="20" applyNumberFormat="1" applyFont="1" applyFill="1" applyBorder="1" applyAlignment="1">
      <alignment horizontal="right"/>
      <protection/>
    </xf>
    <xf numFmtId="0" fontId="28" fillId="0" borderId="0" xfId="0" applyFont="1" applyFill="1" applyBorder="1" applyAlignment="1">
      <alignment horizontal="right"/>
    </xf>
    <xf numFmtId="0" fontId="0" fillId="0" borderId="0" xfId="66" applyFont="1" applyFill="1" applyBorder="1" applyAlignment="1">
      <alignment horizontal="left" vertical="center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6" fontId="0" fillId="0" borderId="0" xfId="0" applyNumberFormat="1" applyFont="1" applyFill="1"/>
    <xf numFmtId="0" fontId="0" fillId="0" borderId="0" xfId="21" applyFont="1">
      <alignment/>
      <protection/>
    </xf>
    <xf numFmtId="0" fontId="29" fillId="0" borderId="0" xfId="62" applyFont="1">
      <alignment/>
      <protection/>
    </xf>
    <xf numFmtId="0" fontId="28" fillId="0" borderId="0" xfId="62" applyFont="1">
      <alignment/>
      <protection/>
    </xf>
    <xf numFmtId="170" fontId="0" fillId="0" borderId="0" xfId="0" applyNumberFormat="1" applyFont="1" applyFill="1"/>
    <xf numFmtId="169" fontId="0" fillId="0" borderId="0" xfId="18" applyNumberFormat="1" applyFont="1"/>
    <xf numFmtId="167" fontId="0" fillId="0" borderId="0" xfId="0" applyNumberFormat="1" applyFont="1"/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 horizontal="right"/>
    </xf>
    <xf numFmtId="166" fontId="0" fillId="0" borderId="0" xfId="64" applyNumberFormat="1" applyFont="1">
      <alignment/>
      <protection/>
    </xf>
    <xf numFmtId="166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/>
    <xf numFmtId="0" fontId="5" fillId="10" borderId="18" xfId="0" applyFont="1" applyFill="1" applyBorder="1" applyAlignment="1">
      <alignment horizontal="left" vertical="center"/>
    </xf>
    <xf numFmtId="1" fontId="5" fillId="9" borderId="19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168" fontId="0" fillId="10" borderId="22" xfId="0" applyNumberFormat="1" applyFont="1" applyFill="1" applyBorder="1" applyAlignment="1">
      <alignment horizontal="center" vertical="center"/>
    </xf>
    <xf numFmtId="168" fontId="0" fillId="10" borderId="13" xfId="0" applyNumberFormat="1" applyFont="1" applyFill="1" applyBorder="1" applyAlignment="1">
      <alignment horizontal="center" vertical="center"/>
    </xf>
    <xf numFmtId="168" fontId="0" fillId="10" borderId="23" xfId="0" applyNumberFormat="1" applyFont="1" applyFill="1" applyBorder="1" applyAlignment="1">
      <alignment horizontal="center" vertical="center"/>
    </xf>
    <xf numFmtId="168" fontId="0" fillId="10" borderId="18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168" fontId="0" fillId="0" borderId="25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70" fontId="0" fillId="0" borderId="0" xfId="0" applyNumberFormat="1" applyFont="1"/>
    <xf numFmtId="171" fontId="0" fillId="0" borderId="0" xfId="0" applyNumberFormat="1" applyFont="1" applyFill="1" applyBorder="1"/>
    <xf numFmtId="0" fontId="0" fillId="0" borderId="0" xfId="0" applyAlignment="1">
      <alignment horizontal="right"/>
    </xf>
    <xf numFmtId="0" fontId="2" fillId="0" borderId="0" xfId="137">
      <alignment/>
      <protection/>
    </xf>
    <xf numFmtId="0" fontId="5" fillId="0" borderId="0" xfId="0" applyFont="1"/>
    <xf numFmtId="0" fontId="5" fillId="9" borderId="2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right"/>
    </xf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onnections" Target="connection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Public balance, 2016 and 2017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(Net borrowing or lending of the general government sector, % of GDP)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"/>
          <c:y val="0.11725"/>
          <c:w val="0.971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1'!$D$11:$D$40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1'!$E$11:$E$40</c:f>
              <c:numCache/>
            </c:numRef>
          </c:val>
        </c:ser>
        <c:gapWidth val="80"/>
        <c:axId val="6363405"/>
        <c:axId val="57270646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1'!$F$11:$F$40</c:f>
              <c:numCache/>
            </c:numRef>
          </c:val>
          <c:smooth val="0"/>
        </c:ser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270646"/>
        <c:crosses val="autoZero"/>
        <c:auto val="1"/>
        <c:lblOffset val="100"/>
        <c:tickLblSkip val="1"/>
        <c:noMultiLvlLbl val="0"/>
      </c:catAx>
      <c:valAx>
        <c:axId val="5727064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3405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75"/>
          <c:y val="0.922"/>
          <c:w val="0.138"/>
          <c:h val="0.07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categories of taxes and social contributions, EU-28, 2007–2017 (¹)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55"/>
          <c:w val="0.97775"/>
          <c:h val="0.61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10'!$D$11:$N$11</c:f>
              <c:numCache/>
            </c:numRef>
          </c:val>
          <c:smooth val="0"/>
        </c:ser>
        <c:ser>
          <c:idx val="1"/>
          <c:order val="1"/>
          <c:tx>
            <c:strRef>
              <c:f>'Figure 10'!$C$12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10'!$D$12:$N$12</c:f>
              <c:numCache/>
            </c:numRef>
          </c:val>
          <c:smooth val="0"/>
        </c:ser>
        <c:ser>
          <c:idx val="2"/>
          <c:order val="2"/>
          <c:tx>
            <c:strRef>
              <c:f>'Figure 10'!$C$13</c:f>
              <c:strCache>
                <c:ptCount val="1"/>
                <c:pt idx="0">
                  <c:v>Net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10'!$D$13:$N$13</c:f>
              <c:numCache/>
            </c:numRef>
          </c:val>
          <c:smooth val="0"/>
        </c:ser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517552"/>
        <c:crossesAt val="12"/>
        <c:auto val="1"/>
        <c:lblOffset val="100"/>
        <c:tickLblSkip val="1"/>
        <c:noMultiLvlLbl val="0"/>
      </c:catAx>
      <c:valAx>
        <c:axId val="18517552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27127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45"/>
          <c:y val="0.812"/>
          <c:w val="0.2737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categories of taxes and social contributions, 2017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4"/>
          <c:w val="0.974"/>
          <c:h val="0.815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11'!$F$10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11'!$F$11:$F$45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11'!$E$11:$E$45</c:f>
              <c:numCache/>
            </c:numRef>
          </c:val>
        </c:ser>
        <c:ser>
          <c:idx val="0"/>
          <c:order val="2"/>
          <c:tx>
            <c:strRef>
              <c:f>'Figure 11'!$D$10</c:f>
              <c:strCache>
                <c:ptCount val="1"/>
                <c:pt idx="0">
                  <c:v>Taxes on production and 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11'!$C$11:$C$45</c:f>
              <c:strCache/>
            </c:strRef>
          </c:cat>
          <c:val>
            <c:numRef>
              <c:f>'Figure 11'!$D$11:$D$45</c:f>
              <c:numCache/>
            </c:numRef>
          </c:val>
        </c:ser>
        <c:overlap val="100"/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1"/>
        <c:lblOffset val="100"/>
        <c:tickLblSkip val="1"/>
        <c:noMultiLvlLbl val="0"/>
      </c:catAx>
      <c:valAx>
        <c:axId val="2352671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40241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9525"/>
          <c:y val="0.8535"/>
          <c:w val="0.249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General government debt, 2016 and 2017 (¹)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25"/>
          <c:w val="0.980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2'!$D$11:$D$40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2'!$E$11:$E$40</c:f>
              <c:numCache/>
            </c:numRef>
          </c:val>
        </c:ser>
        <c:axId val="45673767"/>
        <c:axId val="841072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2'!$F$11:$F$40</c:f>
              <c:numCache/>
            </c:numRef>
          </c:val>
          <c:smooth val="0"/>
        </c:ser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auto val="1"/>
        <c:lblOffset val="100"/>
        <c:tickLblSkip val="1"/>
        <c:noMultiLvlLbl val="0"/>
      </c:catAx>
      <c:valAx>
        <c:axId val="8410720"/>
        <c:scaling>
          <c:orientation val="minMax"/>
          <c:max val="18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73767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63"/>
          <c:y val="0.93825"/>
          <c:w val="0.1247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2007–2017 (¹)</a:t>
            </a:r>
          </a:p>
        </c:rich>
      </c:tx>
      <c:layout>
        <c:manualLayout>
          <c:xMode val="edge"/>
          <c:yMode val="edge"/>
          <c:x val="0.006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7"/>
          <c:w val="0.98075"/>
          <c:h val="0.63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4"/>
          <c:order val="1"/>
          <c:tx>
            <c:strRef>
              <c:f>'Figure 3'!$C$13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2"/>
          <c:order val="2"/>
          <c:tx>
            <c:strRef>
              <c:f>'Figure 3'!$C$12</c:f>
              <c:strCache>
                <c:ptCount val="1"/>
                <c:pt idx="0">
                  <c:v>EA-19: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6"/>
          <c:order val="3"/>
          <c:tx>
            <c:strRef>
              <c:f>'Figure 3'!$C$14</c:f>
              <c:strCache>
                <c:ptCount val="1"/>
                <c:pt idx="0">
                  <c:v>EA-19: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79690"/>
        <c:crossesAt val="12"/>
        <c:auto val="1"/>
        <c:lblOffset val="100"/>
        <c:tickLblSkip val="1"/>
        <c:noMultiLvlLbl val="0"/>
      </c:catAx>
      <c:valAx>
        <c:axId val="10179690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8761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585"/>
          <c:y val="0.80325"/>
          <c:w val="0.483"/>
          <c:h val="0.17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2007–2017 (¹)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99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4"/>
          <c:order val="1"/>
          <c:tx>
            <c:strRef>
              <c:f>'Figure 4'!$C$13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2"/>
          <c:order val="2"/>
          <c:tx>
            <c:strRef>
              <c:f>'Figure 4'!$C$12</c:f>
              <c:strCache>
                <c:ptCount val="1"/>
                <c:pt idx="0">
                  <c:v>EA-19: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4'!$D$12:$N$12</c:f>
              <c:numCache/>
            </c:numRef>
          </c:val>
          <c:smooth val="0"/>
        </c:ser>
        <c:ser>
          <c:idx val="6"/>
          <c:order val="3"/>
          <c:tx>
            <c:strRef>
              <c:f>'Figure 4'!$C$14</c:f>
              <c:strCache>
                <c:ptCount val="1"/>
                <c:pt idx="0">
                  <c:v>EA-19: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48532"/>
        <c:crossesAt val="12"/>
        <c:auto val="1"/>
        <c:lblOffset val="100"/>
        <c:tickLblSkip val="1"/>
        <c:noMultiLvlLbl val="0"/>
      </c:catAx>
      <c:valAx>
        <c:axId val="19248532"/>
        <c:scaling>
          <c:orientation val="minMax"/>
          <c:max val="75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0834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4975"/>
          <c:y val="0.7845"/>
          <c:w val="0.3245"/>
          <c:h val="0.2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Government revenue and expenditure, 2017 (¹)</a:t>
            </a:r>
          </a:p>
        </c:rich>
      </c:tx>
      <c:layout>
        <c:manualLayout>
          <c:xMode val="edge"/>
          <c:yMode val="edge"/>
          <c:x val="0.006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1"/>
          <c:w val="0.97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axId val="39019061"/>
        <c:axId val="15627230"/>
      </c:bar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627230"/>
        <c:crosses val="autoZero"/>
        <c:auto val="1"/>
        <c:lblOffset val="100"/>
        <c:tickLblSkip val="1"/>
        <c:noMultiLvlLbl val="0"/>
      </c:catAx>
      <c:valAx>
        <c:axId val="1562723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19061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73"/>
          <c:y val="0.93625"/>
          <c:w val="0.547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Composition of total revenue, 2017 (¹)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875"/>
          <c:w val="0.993"/>
          <c:h val="0.6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overlap val="100"/>
        <c:axId val="6427343"/>
        <c:axId val="57846088"/>
      </c:barChart>
      <c:catAx>
        <c:axId val="6427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846088"/>
        <c:crossesAt val="0"/>
        <c:auto val="1"/>
        <c:lblOffset val="100"/>
        <c:noMultiLvlLbl val="0"/>
      </c:catAx>
      <c:valAx>
        <c:axId val="5784608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2734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1"/>
          <c:y val="0.9185"/>
          <c:w val="0.98275"/>
          <c:h val="0.06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components of government revenue, 2017 (¹)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125"/>
          <c:w val="0.984"/>
          <c:h val="0.7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7'!$G$11:$G$45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7'!$H$11:$H$45</c:f>
              <c:numCache/>
            </c:numRef>
          </c:val>
        </c:ser>
        <c:overlap val="100"/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52745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425"/>
          <c:y val="0.752"/>
          <c:w val="0.64225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Composition of total expenditure, 2017 (¹)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94"/>
          <c:h val="0.67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8'!$D$11:$D$12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8'!$E$11:$E$12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8'!$F$11:$F$12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8'!$G$11:$G$12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8'!$H$11:$H$12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8'!$I$11:$I$12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8'!$J$11:$J$12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8'!$K$11:$K$12</c:f>
              <c:numCache/>
            </c:numRef>
          </c:val>
        </c:ser>
        <c:overlap val="100"/>
        <c:axId val="25431651"/>
        <c:axId val="27558268"/>
      </c:barChart>
      <c:catAx>
        <c:axId val="25431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558268"/>
        <c:crossesAt val="0"/>
        <c:auto val="1"/>
        <c:lblOffset val="100"/>
        <c:noMultiLvlLbl val="0"/>
      </c:catAx>
      <c:valAx>
        <c:axId val="2755826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43165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components of government expenditure, 2017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625"/>
          <c:w val="0.98675"/>
          <c:h val="0.7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9'!$B$10</c:f>
              <c:strCache>
                <c:ptCount val="1"/>
                <c:pt idx="0">
                  <c:v>Social transfers (²)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9'!$B$11:$B$45</c:f>
              <c:numCache/>
            </c:numRef>
          </c:val>
        </c:ser>
        <c:ser>
          <c:idx val="1"/>
          <c:order val="1"/>
          <c:tx>
            <c:strRef>
              <c:f>'Figure 9'!$C$10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9'!$C$11:$C$45</c:f>
              <c:numCache/>
            </c:numRef>
          </c:val>
        </c:ser>
        <c:ser>
          <c:idx val="2"/>
          <c:order val="2"/>
          <c:tx>
            <c:strRef>
              <c:f>'Figure 9'!$D$10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3"/>
          <c:order val="3"/>
          <c:tx>
            <c:strRef>
              <c:f>'Figure 9'!$E$10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4"/>
          <c:order val="4"/>
          <c:tx>
            <c:strRef>
              <c:f>'Figure 9'!$F$10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5"/>
          <c:order val="5"/>
          <c:tx>
            <c:strRef>
              <c:f>'Figure 9'!$G$10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9'!$G$11:$G$45</c:f>
              <c:numCache/>
            </c:numRef>
          </c:val>
        </c:ser>
        <c:ser>
          <c:idx val="6"/>
          <c:order val="6"/>
          <c:tx>
            <c:strRef>
              <c:f>'Figure 9'!$H$10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9'!$H$11:$H$45</c:f>
              <c:numCache/>
            </c:numRef>
          </c:val>
        </c:ser>
        <c:ser>
          <c:idx val="7"/>
          <c:order val="7"/>
          <c:tx>
            <c:strRef>
              <c:f>'Figure 9'!$I$10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9'!$A$11:$A$45</c:f>
              <c:strCache/>
            </c:strRef>
          </c:cat>
          <c:val>
            <c:numRef>
              <c:f>'Figure 9'!$I$11:$I$45</c:f>
              <c:numCache/>
            </c:numRef>
          </c:val>
        </c:ser>
        <c:overlap val="100"/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97821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6125"/>
          <c:y val="0.73625"/>
          <c:w val="0.3245"/>
          <c:h val="0.26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0.62175</cdr:y>
    </cdr:from>
    <cdr:to>
      <cdr:x>0.19875</cdr:x>
      <cdr:y>0.65825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942975" y="2809875"/>
          <a:ext cx="95250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21</xdr:row>
      <xdr:rowOff>19050</xdr:rowOff>
    </xdr:from>
    <xdr:ext cx="9525000" cy="3905250"/>
    <xdr:graphicFrame macro="">
      <xdr:nvGraphicFramePr>
        <xdr:cNvPr id="158721" name="Chart 1"/>
        <xdr:cNvGraphicFramePr/>
      </xdr:nvGraphicFramePr>
      <xdr:xfrm>
        <a:off x="1285875" y="3409950"/>
        <a:ext cx="952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</xdr:colOff>
      <xdr:row>5</xdr:row>
      <xdr:rowOff>28575</xdr:rowOff>
    </xdr:from>
    <xdr:ext cx="9544050" cy="5705475"/>
    <xdr:graphicFrame macro="">
      <xdr:nvGraphicFramePr>
        <xdr:cNvPr id="2" name="Chart 1"/>
        <xdr:cNvGraphicFramePr/>
      </xdr:nvGraphicFramePr>
      <xdr:xfrm>
        <a:off x="9696450" y="742950"/>
        <a:ext cx="9544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16</xdr:row>
      <xdr:rowOff>95250</xdr:rowOff>
    </xdr:from>
    <xdr:ext cx="9553575" cy="4010025"/>
    <xdr:graphicFrame macro="">
      <xdr:nvGraphicFramePr>
        <xdr:cNvPr id="113665" name="Chart 1"/>
        <xdr:cNvGraphicFramePr/>
      </xdr:nvGraphicFramePr>
      <xdr:xfrm>
        <a:off x="1171575" y="2466975"/>
        <a:ext cx="9553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609600</xdr:colOff>
      <xdr:row>8</xdr:row>
      <xdr:rowOff>0</xdr:rowOff>
    </xdr:from>
    <xdr:ext cx="9525000" cy="4391025"/>
    <xdr:graphicFrame macro="">
      <xdr:nvGraphicFramePr>
        <xdr:cNvPr id="16386" name="Chart 1"/>
        <xdr:cNvGraphicFramePr/>
      </xdr:nvGraphicFramePr>
      <xdr:xfrm>
        <a:off x="6743700" y="1152525"/>
        <a:ext cx="9525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8</xdr:row>
      <xdr:rowOff>104775</xdr:rowOff>
    </xdr:from>
    <xdr:ext cx="9525000" cy="4524375"/>
    <xdr:graphicFrame macro="">
      <xdr:nvGraphicFramePr>
        <xdr:cNvPr id="2" name="Chart 1"/>
        <xdr:cNvGraphicFramePr/>
      </xdr:nvGraphicFramePr>
      <xdr:xfrm>
        <a:off x="4857750" y="1266825"/>
        <a:ext cx="9525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0.5245</cdr:y>
    </cdr:from>
    <cdr:to>
      <cdr:x>0.97325</cdr:x>
      <cdr:y>0.58275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77225" y="2466975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9</xdr:row>
      <xdr:rowOff>133350</xdr:rowOff>
    </xdr:from>
    <xdr:ext cx="9525000" cy="4705350"/>
    <xdr:graphicFrame macro="">
      <xdr:nvGraphicFramePr>
        <xdr:cNvPr id="2" name="Chart 1"/>
        <xdr:cNvGraphicFramePr/>
      </xdr:nvGraphicFramePr>
      <xdr:xfrm>
        <a:off x="6038850" y="1447800"/>
        <a:ext cx="9525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17</xdr:row>
      <xdr:rowOff>28575</xdr:rowOff>
    </xdr:from>
    <xdr:ext cx="7705725" cy="4495800"/>
    <xdr:graphicFrame macro="">
      <xdr:nvGraphicFramePr>
        <xdr:cNvPr id="135169" name="Chart 1"/>
        <xdr:cNvGraphicFramePr/>
      </xdr:nvGraphicFramePr>
      <xdr:xfrm>
        <a:off x="1085850" y="2543175"/>
        <a:ext cx="7705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18</xdr:row>
      <xdr:rowOff>104775</xdr:rowOff>
    </xdr:from>
    <xdr:ext cx="9525000" cy="4314825"/>
    <xdr:graphicFrame macro="">
      <xdr:nvGraphicFramePr>
        <xdr:cNvPr id="156673" name="Chart 1"/>
        <xdr:cNvGraphicFramePr/>
      </xdr:nvGraphicFramePr>
      <xdr:xfrm>
        <a:off x="1304925" y="27717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9</xdr:row>
      <xdr:rowOff>285750</xdr:rowOff>
    </xdr:from>
    <xdr:ext cx="8105775" cy="4152900"/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4591050" y="1590675"/>
        <a:ext cx="8105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17</xdr:row>
      <xdr:rowOff>142875</xdr:rowOff>
    </xdr:from>
    <xdr:ext cx="9525000" cy="3762375"/>
    <xdr:graphicFrame macro="">
      <xdr:nvGraphicFramePr>
        <xdr:cNvPr id="157697" name="Chart 1"/>
        <xdr:cNvGraphicFramePr/>
      </xdr:nvGraphicFramePr>
      <xdr:xfrm>
        <a:off x="1266825" y="3105150"/>
        <a:ext cx="952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</xdr:row>
      <xdr:rowOff>342900</xdr:rowOff>
    </xdr:from>
    <xdr:ext cx="9505950" cy="4762500"/>
    <xdr:graphicFrame macro="">
      <xdr:nvGraphicFramePr>
        <xdr:cNvPr id="137218" name="Chart 1"/>
        <xdr:cNvGraphicFramePr/>
      </xdr:nvGraphicFramePr>
      <xdr:xfrm>
        <a:off x="10058400" y="1657350"/>
        <a:ext cx="95059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791"/>
  <sheetViews>
    <sheetView workbookViewId="0" topLeftCell="A1">
      <selection activeCell="B24" sqref="B24"/>
    </sheetView>
  </sheetViews>
  <sheetFormatPr defaultColWidth="9.140625" defaultRowHeight="12"/>
  <cols>
    <col min="1" max="1" width="34.7109375" style="101" bestFit="1" customWidth="1"/>
    <col min="2" max="2" width="35.7109375" style="101" bestFit="1" customWidth="1"/>
    <col min="3" max="16384" width="9.140625" style="101" customWidth="1"/>
  </cols>
  <sheetData>
    <row r="1" spans="1:2" ht="12">
      <c r="A1" t="e">
        <f>"VAL.EU28."&amp;[0]!CountryCode&amp;".D62_D632PAY.S13.MNAC"</f>
        <v>#REF!</v>
      </c>
      <c r="B1" t="s">
        <v>162</v>
      </c>
    </row>
    <row r="2" spans="1:2" ht="12">
      <c r="A2" t="e">
        <f>"VAL.EA19."&amp;[0]!CountryCode&amp;".D62_D632PAY.S13.MNAC"</f>
        <v>#REF!</v>
      </c>
      <c r="B2" t="e">
        <f>"VAL.EA19.T1.B9.S13.PC_GDP."&amp;[0]!RefVintage</f>
        <v>#REF!</v>
      </c>
    </row>
    <row r="3" spans="1:2" ht="12">
      <c r="A3" t="e">
        <f>"VAL.BE."&amp;[0]!CountryCode&amp;".D62_D632PAY.S13.MNAC"</f>
        <v>#REF!</v>
      </c>
      <c r="B3" t="e">
        <f>"VAL.BE.T1.B9.S13.PC_GDP."&amp;[0]!RefVintage</f>
        <v>#REF!</v>
      </c>
    </row>
    <row r="4" spans="1:2" ht="12">
      <c r="A4" t="e">
        <f>"VAL.BG."&amp;[0]!CountryCode&amp;".D62_D632PAY.S13.MNAC"</f>
        <v>#REF!</v>
      </c>
      <c r="B4" t="e">
        <f>"VAL.BG.T1.B9.S13.PC_GDP."&amp;[0]!RefVintage</f>
        <v>#REF!</v>
      </c>
    </row>
    <row r="5" spans="1:2" ht="12">
      <c r="A5" t="e">
        <f>"VAL.CZ."&amp;[0]!CountryCode&amp;".D62_D632PAY.S13.MNAC"</f>
        <v>#REF!</v>
      </c>
      <c r="B5" t="e">
        <f>"VAL.CZ.T1.B9.S13.PC_GDP."&amp;[0]!RefVintage</f>
        <v>#REF!</v>
      </c>
    </row>
    <row r="6" spans="1:2" ht="12">
      <c r="A6" t="e">
        <f>"VAL.DK."&amp;[0]!CountryCode&amp;".D62_D632PAY.S13.MNAC"</f>
        <v>#REF!</v>
      </c>
      <c r="B6" t="e">
        <f>"VAL.DK.T1.B9.S13.PC_GDP."&amp;[0]!RefVintage</f>
        <v>#REF!</v>
      </c>
    </row>
    <row r="7" spans="1:2" ht="12">
      <c r="A7" t="e">
        <f>"VAL.DE."&amp;[0]!CountryCode&amp;".D62_D632PAY.S13.MNAC"</f>
        <v>#REF!</v>
      </c>
      <c r="B7" t="e">
        <f>"VAL.DE.T1.B9.S13.PC_GDP."&amp;[0]!RefVintage</f>
        <v>#REF!</v>
      </c>
    </row>
    <row r="8" spans="1:2" ht="12">
      <c r="A8" t="e">
        <f>"VAL.EE."&amp;[0]!CountryCode&amp;".D62_D632PAY.S13.MNAC"</f>
        <v>#REF!</v>
      </c>
      <c r="B8" t="e">
        <f>"VAL.EE.T1.B9.S13.PC_GDP."&amp;[0]!RefVintage</f>
        <v>#REF!</v>
      </c>
    </row>
    <row r="9" spans="1:2" ht="12">
      <c r="A9" t="e">
        <f>"VAL.IE."&amp;[0]!CountryCode&amp;".D62_D632PAY.S13.MNAC"</f>
        <v>#REF!</v>
      </c>
      <c r="B9" t="e">
        <f>"VAL.IE.T1.B9.S13.PC_GDP."&amp;[0]!RefVintage</f>
        <v>#REF!</v>
      </c>
    </row>
    <row r="10" spans="1:2" ht="12">
      <c r="A10" t="e">
        <f>"VAL.EL."&amp;[0]!CountryCode&amp;".D62_D632PAY.S13.MNAC"</f>
        <v>#REF!</v>
      </c>
      <c r="B10" t="e">
        <f>"VAL.EL.T1.B9.S13.PC_GDP."&amp;[0]!RefVintage</f>
        <v>#REF!</v>
      </c>
    </row>
    <row r="11" spans="1:2" ht="12">
      <c r="A11" t="e">
        <f>"VAL.ES."&amp;[0]!CountryCode&amp;".D62_D632PAY.S13.MNAC"</f>
        <v>#REF!</v>
      </c>
      <c r="B11" t="e">
        <f>"VAL.ES.T1.B9.S13.PC_GDP."&amp;[0]!RefVintage</f>
        <v>#REF!</v>
      </c>
    </row>
    <row r="12" spans="1:2" ht="12">
      <c r="A12" t="e">
        <f>"VAL.FR."&amp;[0]!CountryCode&amp;".D62_D632PAY.S13.MNAC"</f>
        <v>#REF!</v>
      </c>
      <c r="B12" t="e">
        <f>"VAL.FR.T1.B9.S13.PC_GDP."&amp;[0]!RefVintage</f>
        <v>#REF!</v>
      </c>
    </row>
    <row r="13" spans="1:2" ht="12">
      <c r="A13" t="e">
        <f>"VAL.HR."&amp;[0]!CountryCode&amp;".D62_D632PAY.S13.MNAC"</f>
        <v>#REF!</v>
      </c>
      <c r="B13" t="e">
        <f>"VAL.HR.T1.B9.S13.PC_GDP."&amp;[0]!RefVintage</f>
        <v>#REF!</v>
      </c>
    </row>
    <row r="14" spans="1:2" ht="12">
      <c r="A14" t="e">
        <f>"VAL.IT."&amp;[0]!CountryCode&amp;".D62_D632PAY.S13.MNAC"</f>
        <v>#REF!</v>
      </c>
      <c r="B14" t="e">
        <f>"VAL.IT.T1.B9.S13.PC_GDP."&amp;[0]!RefVintage</f>
        <v>#REF!</v>
      </c>
    </row>
    <row r="15" spans="1:2" ht="12">
      <c r="A15" t="e">
        <f>"VAL.CY."&amp;[0]!CountryCode&amp;".D62_D632PAY.S13.MNAC"</f>
        <v>#REF!</v>
      </c>
      <c r="B15" t="e">
        <f>"VAL.CY.T1.B9.S13.PC_GDP."&amp;[0]!RefVintage</f>
        <v>#REF!</v>
      </c>
    </row>
    <row r="16" spans="1:2" ht="12">
      <c r="A16" t="e">
        <f>"VAL.LV."&amp;[0]!CountryCode&amp;".D62_D632PAY.S13.MNAC"</f>
        <v>#REF!</v>
      </c>
      <c r="B16" t="e">
        <f>"VAL.LV.T1.B9.S13.PC_GDP."&amp;[0]!RefVintage</f>
        <v>#REF!</v>
      </c>
    </row>
    <row r="17" spans="1:2" ht="12">
      <c r="A17" t="e">
        <f>"VAL.LT."&amp;[0]!CountryCode&amp;".D62_D632PAY.S13.MNAC"</f>
        <v>#REF!</v>
      </c>
      <c r="B17" t="e">
        <f>"VAL.LT.T1.B9.S13.PC_GDP."&amp;[0]!RefVintage</f>
        <v>#REF!</v>
      </c>
    </row>
    <row r="18" spans="1:2" ht="12">
      <c r="A18" t="e">
        <f>"VAL.LU."&amp;[0]!CountryCode&amp;".D62_D632PAY.S13.MNAC"</f>
        <v>#REF!</v>
      </c>
      <c r="B18" t="e">
        <f>"VAL.LU.T1.B9.S13.PC_GDP."&amp;[0]!RefVintage</f>
        <v>#REF!</v>
      </c>
    </row>
    <row r="19" spans="1:2" ht="12">
      <c r="A19" t="e">
        <f>"VAL.HU."&amp;[0]!CountryCode&amp;".D62_D632PAY.S13.MNAC"</f>
        <v>#REF!</v>
      </c>
      <c r="B19" t="e">
        <f>"VAL.HU.T1.B9.S13.PC_GDP."&amp;[0]!RefVintage</f>
        <v>#REF!</v>
      </c>
    </row>
    <row r="20" spans="1:2" ht="12">
      <c r="A20" t="e">
        <f>"VAL.MT."&amp;[0]!CountryCode&amp;".D62_D632PAY.S13.MNAC"</f>
        <v>#REF!</v>
      </c>
      <c r="B20" t="e">
        <f>"VAL.MT.T1.B9.S13.PC_GDP."&amp;[0]!RefVintage</f>
        <v>#REF!</v>
      </c>
    </row>
    <row r="21" spans="1:2" ht="12">
      <c r="A21" t="e">
        <f>"VAL.NL."&amp;[0]!CountryCode&amp;".D62_D632PAY.S13.MNAC"</f>
        <v>#REF!</v>
      </c>
      <c r="B21" t="e">
        <f>"VAL.NL.T1.B9.S13.PC_GDP."&amp;[0]!RefVintage</f>
        <v>#REF!</v>
      </c>
    </row>
    <row r="22" spans="1:2" ht="12">
      <c r="A22" t="e">
        <f>"VAL.AT."&amp;[0]!CountryCode&amp;".D62_D632PAY.S13.MNAC"</f>
        <v>#REF!</v>
      </c>
      <c r="B22" t="e">
        <f>"VAL.AT.T1.B9.S13.PC_GDP."&amp;[0]!RefVintage</f>
        <v>#REF!</v>
      </c>
    </row>
    <row r="23" spans="1:2" ht="12">
      <c r="A23" t="e">
        <f>"VAL.PL."&amp;[0]!CountryCode&amp;".D62_D632PAY.S13.MNAC"</f>
        <v>#REF!</v>
      </c>
      <c r="B23" t="e">
        <f>"VAL.PL.T1.B9.S13.PC_GDP."&amp;[0]!RefVintage</f>
        <v>#REF!</v>
      </c>
    </row>
    <row r="24" spans="1:2" ht="12">
      <c r="A24" t="e">
        <f>"VAL.PT."&amp;[0]!CountryCode&amp;".D62_D632PAY.S13.MNAC"</f>
        <v>#REF!</v>
      </c>
      <c r="B24" t="e">
        <f>"VAL.PT.T1.B9.S13.PC_GDP."&amp;[0]!RefVintage</f>
        <v>#REF!</v>
      </c>
    </row>
    <row r="25" spans="1:2" ht="12">
      <c r="A25" t="e">
        <f>"VAL.RO."&amp;[0]!CountryCode&amp;".D62_D632PAY.S13.MNAC"</f>
        <v>#REF!</v>
      </c>
      <c r="B25" t="e">
        <f>"VAL.RO.T1.B9.S13.PC_GDP."&amp;[0]!RefVintage</f>
        <v>#REF!</v>
      </c>
    </row>
    <row r="26" spans="1:2" ht="12">
      <c r="A26" t="e">
        <f>"VAL.SI."&amp;[0]!CountryCode&amp;".D62_D632PAY.S13.MNAC"</f>
        <v>#REF!</v>
      </c>
      <c r="B26" t="e">
        <f>"VAL.SI.T1.B9.S13.PC_GDP."&amp;[0]!RefVintage</f>
        <v>#REF!</v>
      </c>
    </row>
    <row r="27" spans="1:2" ht="12">
      <c r="A27" t="e">
        <f>"VAL.SK."&amp;[0]!CountryCode&amp;".D62_D632PAY.S13.MNAC"</f>
        <v>#REF!</v>
      </c>
      <c r="B27" t="e">
        <f>"VAL.SK.T1.B9.S13.PC_GDP."&amp;[0]!RefVintage</f>
        <v>#REF!</v>
      </c>
    </row>
    <row r="28" spans="1:2" ht="12">
      <c r="A28" t="e">
        <f>"VAL.FI."&amp;[0]!CountryCode&amp;".D62_D632PAY.S13.MNAC"</f>
        <v>#REF!</v>
      </c>
      <c r="B28" t="e">
        <f>"VAL.FI.T1.B9.S13.PC_GDP."&amp;[0]!RefVintage</f>
        <v>#REF!</v>
      </c>
    </row>
    <row r="29" spans="1:2" ht="12">
      <c r="A29" t="e">
        <f>"VAL.SE."&amp;[0]!CountryCode&amp;".D62_D632PAY.S13.MNAC"</f>
        <v>#REF!</v>
      </c>
      <c r="B29" t="e">
        <f>"VAL.SE.T1.B9.S13.PC_GDP."&amp;[0]!RefVintage</f>
        <v>#REF!</v>
      </c>
    </row>
    <row r="30" spans="1:2" ht="12">
      <c r="A30" t="e">
        <f>"VAL.UK."&amp;[0]!CountryCode&amp;".D62_D632PAY.S13.MNAC"</f>
        <v>#REF!</v>
      </c>
      <c r="B30" t="e">
        <f>"VAL.UK.T1.B9.S13.PC_GDP."&amp;[0]!RefVintage</f>
        <v>#REF!</v>
      </c>
    </row>
    <row r="31" spans="1:2" ht="12">
      <c r="A31" t="e">
        <f>"VAL.IS."&amp;[0]!CountryCode&amp;".D62_D632PAY.S13.MNAC"</f>
        <v>#REF!</v>
      </c>
      <c r="B31" t="e">
        <f>"VAL.NO.T1.B9.S13.PC_GDP."&amp;[0]!RefVintage</f>
        <v>#REF!</v>
      </c>
    </row>
    <row r="32" spans="1:2" ht="12">
      <c r="A32" t="e">
        <f>"VAL.NO."&amp;[0]!CountryCode&amp;".D62_D632PAY.S13.MNAC"</f>
        <v>#REF!</v>
      </c>
      <c r="B32" t="e">
        <f>"VAL.EU28.T1.DEBT_CONSO.S13.PC_GDP."&amp;[0]!RefVintage</f>
        <v>#REF!</v>
      </c>
    </row>
    <row r="33" spans="1:2" ht="12">
      <c r="A33" t="e">
        <f>"VAL.CH."&amp;[0]!CountryCode&amp;".D62_D632PAY.S13.MNAC"</f>
        <v>#REF!</v>
      </c>
      <c r="B33" t="e">
        <f>"VAL.EA19.T1.DEBT_CONSO.S13.PC_GDP."&amp;[0]!RefVintage</f>
        <v>#REF!</v>
      </c>
    </row>
    <row r="34" spans="1:2" ht="12">
      <c r="A34" t="e">
        <f>"VAL.EU28."&amp;[0]!CountryCode&amp;".TE.S13.PC_GDP"</f>
        <v>#REF!</v>
      </c>
      <c r="B34" t="e">
        <f>"VAL.BE.T1.DEBT.S13.PC_GDP."&amp;[0]!RefVintage</f>
        <v>#REF!</v>
      </c>
    </row>
    <row r="35" spans="1:2" ht="12">
      <c r="A35" t="e">
        <f>"VAL.EA19."&amp;[0]!CountryCode&amp;".TE.S13.PC_GDP"</f>
        <v>#REF!</v>
      </c>
      <c r="B35" t="e">
        <f>"VAL.BG.T1.DEBT.S13.PC_GDP."&amp;[0]!RefVintage</f>
        <v>#REF!</v>
      </c>
    </row>
    <row r="36" spans="1:2" ht="12">
      <c r="A36" t="e">
        <f>"VAL.BE."&amp;[0]!CountryCode&amp;".TE.S13.PC_GDP"</f>
        <v>#REF!</v>
      </c>
      <c r="B36" t="e">
        <f>"VAL.CZ.T1.DEBT.S13.PC_GDP."&amp;[0]!RefVintage</f>
        <v>#REF!</v>
      </c>
    </row>
    <row r="37" spans="1:2" ht="12">
      <c r="A37" t="e">
        <f>"VAL.BG."&amp;[0]!CountryCode&amp;".TE.S13.PC_GDP"</f>
        <v>#REF!</v>
      </c>
      <c r="B37" t="e">
        <f>"VAL.DK.T1.DEBT.S13.PC_GDP."&amp;[0]!RefVintage</f>
        <v>#REF!</v>
      </c>
    </row>
    <row r="38" spans="1:2" ht="12">
      <c r="A38" t="e">
        <f>"VAL.CZ."&amp;[0]!CountryCode&amp;".TE.S13.PC_GDP"</f>
        <v>#REF!</v>
      </c>
      <c r="B38" t="e">
        <f>"VAL.DE.T1.DEBT.S13.PC_GDP."&amp;[0]!RefVintage</f>
        <v>#REF!</v>
      </c>
    </row>
    <row r="39" spans="1:2" ht="12">
      <c r="A39" t="e">
        <f>"VAL.DK."&amp;[0]!CountryCode&amp;".TE.S13.PC_GDP"</f>
        <v>#REF!</v>
      </c>
      <c r="B39" t="e">
        <f>"VAL.EE.T1.DEBT.S13.PC_GDP."&amp;[0]!RefVintage</f>
        <v>#REF!</v>
      </c>
    </row>
    <row r="40" spans="1:2" ht="12">
      <c r="A40" t="e">
        <f>"VAL.DE."&amp;[0]!CountryCode&amp;".TE.S13.PC_GDP"</f>
        <v>#REF!</v>
      </c>
      <c r="B40" t="e">
        <f>"VAL.IE.T1.DEBT.S13.PC_GDP."&amp;[0]!RefVintage</f>
        <v>#REF!</v>
      </c>
    </row>
    <row r="41" spans="1:2" ht="12">
      <c r="A41" t="e">
        <f>"VAL.EE."&amp;[0]!CountryCode&amp;".TE.S13.PC_GDP"</f>
        <v>#REF!</v>
      </c>
      <c r="B41" t="e">
        <f>"VAL.EL.T1.DEBT.S13.PC_GDP."&amp;[0]!RefVintage</f>
        <v>#REF!</v>
      </c>
    </row>
    <row r="42" spans="1:2" ht="12">
      <c r="A42" t="e">
        <f>"VAL.IE."&amp;[0]!CountryCode&amp;".TE.S13.PC_GDP"</f>
        <v>#REF!</v>
      </c>
      <c r="B42" t="e">
        <f>"VAL.ES.T1.DEBT.S13.PC_GDP."&amp;[0]!RefVintage</f>
        <v>#REF!</v>
      </c>
    </row>
    <row r="43" spans="1:2" ht="12">
      <c r="A43" t="e">
        <f>"VAL.EL."&amp;[0]!CountryCode&amp;".TE.S13.PC_GDP"</f>
        <v>#REF!</v>
      </c>
      <c r="B43" t="e">
        <f>"VAL.FR.T1.DEBT.S13.PC_GDP."&amp;[0]!RefVintage</f>
        <v>#REF!</v>
      </c>
    </row>
    <row r="44" spans="1:2" ht="12">
      <c r="A44" t="e">
        <f>"VAL.ES."&amp;[0]!CountryCode&amp;".TE.S13.PC_GDP"</f>
        <v>#REF!</v>
      </c>
      <c r="B44" t="e">
        <f>"VAL.HR.T1.DEBT.S13.PC_GDP."&amp;[0]!RefVintage</f>
        <v>#REF!</v>
      </c>
    </row>
    <row r="45" spans="1:2" ht="12">
      <c r="A45" t="e">
        <f>"VAL.FR."&amp;[0]!CountryCode&amp;".TE.S13.PC_GDP"</f>
        <v>#REF!</v>
      </c>
      <c r="B45" t="e">
        <f>"VAL.IT.T1.DEBT.S13.PC_GDP."&amp;[0]!RefVintage</f>
        <v>#REF!</v>
      </c>
    </row>
    <row r="46" spans="1:2" ht="12">
      <c r="A46" t="e">
        <f>"VAL.HR."&amp;[0]!CountryCode&amp;".TE.S13.PC_GDP"</f>
        <v>#REF!</v>
      </c>
      <c r="B46" t="e">
        <f>"VAL.CY.T1.DEBT.S13.PC_GDP."&amp;[0]!RefVintage</f>
        <v>#REF!</v>
      </c>
    </row>
    <row r="47" spans="1:2" ht="12">
      <c r="A47" t="e">
        <f>"VAL.IT."&amp;[0]!CountryCode&amp;".TE.S13.PC_GDP"</f>
        <v>#REF!</v>
      </c>
      <c r="B47" t="e">
        <f>"VAL.LV.T1.DEBT.S13.PC_GDP."&amp;[0]!RefVintage</f>
        <v>#REF!</v>
      </c>
    </row>
    <row r="48" spans="1:2" ht="12">
      <c r="A48" t="e">
        <f>"VAL.CY."&amp;[0]!CountryCode&amp;".TE.S13.PC_GDP"</f>
        <v>#REF!</v>
      </c>
      <c r="B48" t="e">
        <f>"VAL.LT.T1.DEBT.S13.PC_GDP."&amp;[0]!RefVintage</f>
        <v>#REF!</v>
      </c>
    </row>
    <row r="49" spans="1:2" ht="12">
      <c r="A49" t="e">
        <f>"VAL.LV."&amp;[0]!CountryCode&amp;".TE.S13.PC_GDP"</f>
        <v>#REF!</v>
      </c>
      <c r="B49" t="e">
        <f>"VAL.LU.T1.DEBT.S13.PC_GDP."&amp;[0]!RefVintage</f>
        <v>#REF!</v>
      </c>
    </row>
    <row r="50" spans="1:2" ht="12">
      <c r="A50" t="e">
        <f>"VAL.LT."&amp;[0]!CountryCode&amp;".TE.S13.PC_GDP"</f>
        <v>#REF!</v>
      </c>
      <c r="B50" t="e">
        <f>"VAL.HU.T1.DEBT.S13.PC_GDP."&amp;[0]!RefVintage</f>
        <v>#REF!</v>
      </c>
    </row>
    <row r="51" spans="1:2" ht="12">
      <c r="A51" t="e">
        <f>"VAL.LU."&amp;[0]!CountryCode&amp;".TE.S13.PC_GDP"</f>
        <v>#REF!</v>
      </c>
      <c r="B51" t="e">
        <f>"VAL.MT.T1.DEBT.S13.PC_GDP."&amp;[0]!RefVintage</f>
        <v>#REF!</v>
      </c>
    </row>
    <row r="52" spans="1:2" ht="12">
      <c r="A52" t="e">
        <f>"VAL.HU."&amp;[0]!CountryCode&amp;".TE.S13.PC_GDP"</f>
        <v>#REF!</v>
      </c>
      <c r="B52" t="e">
        <f>"VAL.NL.T1.DEBT.S13.PC_GDP."&amp;[0]!RefVintage</f>
        <v>#REF!</v>
      </c>
    </row>
    <row r="53" spans="1:2" ht="12">
      <c r="A53" t="e">
        <f>"VAL.MT."&amp;[0]!CountryCode&amp;".TE.S13.PC_GDP"</f>
        <v>#REF!</v>
      </c>
      <c r="B53" t="e">
        <f>"VAL.AT.T1.DEBT.S13.PC_GDP."&amp;[0]!RefVintage</f>
        <v>#REF!</v>
      </c>
    </row>
    <row r="54" spans="1:2" ht="12">
      <c r="A54" t="e">
        <f>"VAL.NL."&amp;[0]!CountryCode&amp;".TE.S13.PC_GDP"</f>
        <v>#REF!</v>
      </c>
      <c r="B54" t="e">
        <f>"VAL.PL.T1.DEBT.S13.PC_GDP."&amp;[0]!RefVintage</f>
        <v>#REF!</v>
      </c>
    </row>
    <row r="55" spans="1:2" ht="12">
      <c r="A55" t="e">
        <f>"VAL.AT."&amp;[0]!CountryCode&amp;".TE.S13.PC_GDP"</f>
        <v>#REF!</v>
      </c>
      <c r="B55" t="e">
        <f>"VAL.PT.T1.DEBT.S13.PC_GDP."&amp;[0]!RefVintage</f>
        <v>#REF!</v>
      </c>
    </row>
    <row r="56" spans="1:2" ht="12">
      <c r="A56" t="e">
        <f>"VAL.PL."&amp;[0]!CountryCode&amp;".TE.S13.PC_GDP"</f>
        <v>#REF!</v>
      </c>
      <c r="B56" t="e">
        <f>"VAL.RO.T1.DEBT.S13.PC_GDP."&amp;[0]!RefVintage</f>
        <v>#REF!</v>
      </c>
    </row>
    <row r="57" spans="1:2" ht="12">
      <c r="A57" t="e">
        <f>"VAL.PT."&amp;[0]!CountryCode&amp;".TE.S13.PC_GDP"</f>
        <v>#REF!</v>
      </c>
      <c r="B57" t="e">
        <f>"VAL.SI.T1.DEBT.S13.PC_GDP."&amp;[0]!RefVintage</f>
        <v>#REF!</v>
      </c>
    </row>
    <row r="58" spans="1:2" ht="12">
      <c r="A58" t="e">
        <f>"VAL.RO."&amp;[0]!CountryCode&amp;".TE.S13.PC_GDP"</f>
        <v>#REF!</v>
      </c>
      <c r="B58" t="e">
        <f>"VAL.SK.T1.DEBT.S13.PC_GDP."&amp;[0]!RefVintage</f>
        <v>#REF!</v>
      </c>
    </row>
    <row r="59" spans="1:2" ht="12">
      <c r="A59" t="e">
        <f>"VAL.SI."&amp;[0]!CountryCode&amp;".TE.S13.PC_GDP"</f>
        <v>#REF!</v>
      </c>
      <c r="B59" t="e">
        <f>"VAL.FI.T1.DEBT.S13.PC_GDP."&amp;[0]!RefVintage</f>
        <v>#REF!</v>
      </c>
    </row>
    <row r="60" spans="1:2" ht="12">
      <c r="A60" t="e">
        <f>"VAL.SK."&amp;[0]!CountryCode&amp;".TE.S13.PC_GDP"</f>
        <v>#REF!</v>
      </c>
      <c r="B60" t="e">
        <f>"VAL.SE.T1.DEBT.S13.PC_GDP."&amp;[0]!RefVintage</f>
        <v>#REF!</v>
      </c>
    </row>
    <row r="61" spans="1:2" ht="12">
      <c r="A61" t="e">
        <f>"VAL.FI."&amp;[0]!CountryCode&amp;".TE.S13.PC_GDP"</f>
        <v>#REF!</v>
      </c>
      <c r="B61" t="e">
        <f>"VAL.UK.T1.DEBT.S13.PC_GDP."&amp;[0]!RefVintage</f>
        <v>#REF!</v>
      </c>
    </row>
    <row r="62" spans="1:2" ht="12">
      <c r="A62" t="e">
        <f>"VAL.SE."&amp;[0]!CountryCode&amp;".TE.S13.PC_GDP"</f>
        <v>#REF!</v>
      </c>
      <c r="B62" t="e">
        <f>"VAL.NO.T1.DEBT.S13.PC_GDP."&amp;[0]!RefVintage</f>
        <v>#REF!</v>
      </c>
    </row>
    <row r="63" ht="12">
      <c r="A63" t="e">
        <f>"VAL.UK."&amp;[0]!CountryCode&amp;".TE.S13.PC_GDP"</f>
        <v>#REF!</v>
      </c>
    </row>
    <row r="64" ht="12">
      <c r="A64" t="e">
        <f>"VAL.IS."&amp;[0]!CountryCode&amp;".TE.S13.PC_GDP"</f>
        <v>#REF!</v>
      </c>
    </row>
    <row r="65" ht="12">
      <c r="A65" t="e">
        <f>"VAL.NO."&amp;[0]!CountryCode&amp;".TE.S13.PC_GDP"</f>
        <v>#REF!</v>
      </c>
    </row>
    <row r="66" ht="12">
      <c r="A66" t="e">
        <f>"VAL.CH."&amp;[0]!CountryCode&amp;".TE.S13.PC_GDP"</f>
        <v>#REF!</v>
      </c>
    </row>
    <row r="67" ht="12">
      <c r="A67" t="e">
        <f>"VAL.BE."&amp;[0]!CountryCode&amp;".D7PAY.S13.MNAC"</f>
        <v>#REF!</v>
      </c>
    </row>
    <row r="68" ht="12">
      <c r="A68" t="e">
        <f>"VAL.BG."&amp;[0]!CountryCode&amp;".D7PAY.S13.MNAC"</f>
        <v>#REF!</v>
      </c>
    </row>
    <row r="69" ht="12">
      <c r="A69" t="e">
        <f>"VAL.CZ."&amp;[0]!CountryCode&amp;".D7PAY.S13.MNAC"</f>
        <v>#REF!</v>
      </c>
    </row>
    <row r="70" ht="12">
      <c r="A70" t="e">
        <f>"VAL.DK."&amp;[0]!CountryCode&amp;".D7PAY.S13.MNAC"</f>
        <v>#REF!</v>
      </c>
    </row>
    <row r="71" ht="12">
      <c r="A71" t="e">
        <f>"VAL.DE."&amp;[0]!CountryCode&amp;".D7PAY.S13.MNAC"</f>
        <v>#REF!</v>
      </c>
    </row>
    <row r="72" ht="12">
      <c r="A72" t="e">
        <f>"VAL.EE."&amp;[0]!CountryCode&amp;".D7PAY.S13.MNAC"</f>
        <v>#REF!</v>
      </c>
    </row>
    <row r="73" ht="12">
      <c r="A73" t="e">
        <f>"VAL.IE."&amp;[0]!CountryCode&amp;".D7PAY.S13.MNAC"</f>
        <v>#REF!</v>
      </c>
    </row>
    <row r="74" ht="12">
      <c r="A74" t="e">
        <f>"VAL.EL."&amp;[0]!CountryCode&amp;".D7PAY.S13.MNAC"</f>
        <v>#REF!</v>
      </c>
    </row>
    <row r="75" ht="12">
      <c r="A75" t="e">
        <f>"VAL.ES."&amp;[0]!CountryCode&amp;".D7PAY.S13.MNAC"</f>
        <v>#REF!</v>
      </c>
    </row>
    <row r="76" ht="12">
      <c r="A76" t="e">
        <f>"VAL.FR."&amp;[0]!CountryCode&amp;".D7PAY.S13.MNAC"</f>
        <v>#REF!</v>
      </c>
    </row>
    <row r="77" ht="12">
      <c r="A77" t="e">
        <f>"VAL.HR."&amp;[0]!CountryCode&amp;".D7PAY.S13.MNAC"</f>
        <v>#REF!</v>
      </c>
    </row>
    <row r="78" ht="12">
      <c r="A78" t="e">
        <f>"VAL.IT."&amp;[0]!CountryCode&amp;".D7PAY.S13.MNAC"</f>
        <v>#REF!</v>
      </c>
    </row>
    <row r="79" ht="12">
      <c r="A79" t="e">
        <f>"VAL.CY."&amp;[0]!CountryCode&amp;".D7PAY.S13.MNAC"</f>
        <v>#REF!</v>
      </c>
    </row>
    <row r="80" ht="12">
      <c r="A80" t="e">
        <f>"VAL.LV."&amp;[0]!CountryCode&amp;".D7PAY.S13.MNAC"</f>
        <v>#REF!</v>
      </c>
    </row>
    <row r="81" ht="12">
      <c r="A81" t="e">
        <f>"VAL.LT."&amp;[0]!CountryCode&amp;".D7PAY.S13.MNAC"</f>
        <v>#REF!</v>
      </c>
    </row>
    <row r="82" ht="12">
      <c r="A82" t="e">
        <f>"VAL.LU."&amp;[0]!CountryCode&amp;".D7PAY.S13.MNAC"</f>
        <v>#REF!</v>
      </c>
    </row>
    <row r="83" ht="12">
      <c r="A83" t="e">
        <f>"VAL.HU."&amp;[0]!CountryCode&amp;".D7PAY.S13.MNAC"</f>
        <v>#REF!</v>
      </c>
    </row>
    <row r="84" ht="12">
      <c r="A84" t="e">
        <f>"VAL.MT."&amp;[0]!CountryCode&amp;".D7PAY.S13.MNAC"</f>
        <v>#REF!</v>
      </c>
    </row>
    <row r="85" ht="12">
      <c r="A85" t="e">
        <f>"VAL.NL."&amp;[0]!CountryCode&amp;".D7PAY.S13.MNAC"</f>
        <v>#REF!</v>
      </c>
    </row>
    <row r="86" ht="12">
      <c r="A86" t="e">
        <f>"VAL.AT."&amp;[0]!CountryCode&amp;".D7PAY.S13.MNAC"</f>
        <v>#REF!</v>
      </c>
    </row>
    <row r="87" ht="12">
      <c r="A87" t="e">
        <f>"VAL.PL."&amp;[0]!CountryCode&amp;".D7PAY.S13.MNAC"</f>
        <v>#REF!</v>
      </c>
    </row>
    <row r="88" ht="12">
      <c r="A88" t="e">
        <f>"VAL.PT."&amp;[0]!CountryCode&amp;".D7PAY.S13.MNAC"</f>
        <v>#REF!</v>
      </c>
    </row>
    <row r="89" ht="12">
      <c r="A89" t="e">
        <f>"VAL.RO."&amp;[0]!CountryCode&amp;".D7PAY.S13.MNAC"</f>
        <v>#REF!</v>
      </c>
    </row>
    <row r="90" ht="12">
      <c r="A90" t="e">
        <f>"VAL.SI."&amp;[0]!CountryCode&amp;".D7PAY.S13.MNAC"</f>
        <v>#REF!</v>
      </c>
    </row>
    <row r="91" ht="12">
      <c r="A91" t="e">
        <f>"VAL.SK."&amp;[0]!CountryCode&amp;".D7PAY.S13.MNAC"</f>
        <v>#REF!</v>
      </c>
    </row>
    <row r="92" ht="12">
      <c r="A92" t="e">
        <f>"VAL.FI."&amp;[0]!CountryCode&amp;".D7PAY.S13.MNAC"</f>
        <v>#REF!</v>
      </c>
    </row>
    <row r="93" ht="12">
      <c r="A93" t="e">
        <f>"VAL.SE."&amp;[0]!CountryCode&amp;".D7PAY.S13.MNAC"</f>
        <v>#REF!</v>
      </c>
    </row>
    <row r="94" ht="12">
      <c r="A94" t="e">
        <f>"VAL.UK."&amp;[0]!CountryCode&amp;".D7PAY.S13.MNAC"</f>
        <v>#REF!</v>
      </c>
    </row>
    <row r="95" ht="12">
      <c r="A95" t="e">
        <f>"VAL.IS."&amp;[0]!CountryCode&amp;".D7PAY.S13.MNAC"</f>
        <v>#REF!</v>
      </c>
    </row>
    <row r="96" ht="12">
      <c r="A96" t="e">
        <f>"VAL.NO."&amp;[0]!CountryCode&amp;".D7PAY.S13.MNAC"</f>
        <v>#REF!</v>
      </c>
    </row>
    <row r="97" ht="12">
      <c r="A97" t="e">
        <f>"VAL.CH."&amp;[0]!CountryCode&amp;".D7PAY.S13.MNAC"</f>
        <v>#REF!</v>
      </c>
    </row>
    <row r="98" ht="12">
      <c r="A98" t="e">
        <f>"VAL.EA19."&amp;[0]!CountryCode&amp;".D7PAY.S13.MNAC"</f>
        <v>#REF!</v>
      </c>
    </row>
    <row r="99" ht="12">
      <c r="A99" t="e">
        <f>"VAL.EU28."&amp;[0]!CountryCode&amp;".D7PAY.S13.MNAC"</f>
        <v>#REF!</v>
      </c>
    </row>
    <row r="100" ht="12">
      <c r="A100" t="e">
        <f>"VAL.BE."&amp;[0]!CountryCode&amp;".D3PAY.S13.MNAC"</f>
        <v>#REF!</v>
      </c>
    </row>
    <row r="101" ht="12">
      <c r="A101" t="e">
        <f>"VAL.BG."&amp;[0]!CountryCode&amp;".D3PAY.S13.MNAC"</f>
        <v>#REF!</v>
      </c>
    </row>
    <row r="102" ht="12">
      <c r="A102" t="e">
        <f>"VAL.CZ."&amp;[0]!CountryCode&amp;".D3PAY.S13.MNAC"</f>
        <v>#REF!</v>
      </c>
    </row>
    <row r="103" ht="12">
      <c r="A103" t="e">
        <f>"VAL.DK."&amp;[0]!CountryCode&amp;".D3PAY.S13.MNAC"</f>
        <v>#REF!</v>
      </c>
    </row>
    <row r="104" ht="12">
      <c r="A104" t="e">
        <f>"VAL.DE."&amp;[0]!CountryCode&amp;".D3PAY.S13.MNAC"</f>
        <v>#REF!</v>
      </c>
    </row>
    <row r="105" ht="12">
      <c r="A105" t="e">
        <f>"VAL.EE."&amp;[0]!CountryCode&amp;".D3PAY.S13.MNAC"</f>
        <v>#REF!</v>
      </c>
    </row>
    <row r="106" ht="12">
      <c r="A106" t="e">
        <f>"VAL.IE."&amp;[0]!CountryCode&amp;".D3PAY.S13.MNAC"</f>
        <v>#REF!</v>
      </c>
    </row>
    <row r="107" ht="12">
      <c r="A107" t="e">
        <f>"VAL.EL."&amp;[0]!CountryCode&amp;".D3PAY.S13.MNAC"</f>
        <v>#REF!</v>
      </c>
    </row>
    <row r="108" ht="12">
      <c r="A108" t="e">
        <f>"VAL.ES."&amp;[0]!CountryCode&amp;".D3PAY.S13.MNAC"</f>
        <v>#REF!</v>
      </c>
    </row>
    <row r="109" ht="12">
      <c r="A109" t="e">
        <f>"VAL.FR."&amp;[0]!CountryCode&amp;".D3PAY.S13.MNAC"</f>
        <v>#REF!</v>
      </c>
    </row>
    <row r="110" ht="12">
      <c r="A110" t="e">
        <f>"VAL.HR."&amp;[0]!CountryCode&amp;".D3PAY.S13.MNAC"</f>
        <v>#REF!</v>
      </c>
    </row>
    <row r="111" ht="12">
      <c r="A111" t="e">
        <f>"VAL.IT."&amp;[0]!CountryCode&amp;".D3PAY.S13.MNAC"</f>
        <v>#REF!</v>
      </c>
    </row>
    <row r="112" ht="12">
      <c r="A112" t="e">
        <f>"VAL.CY."&amp;[0]!CountryCode&amp;".D3PAY.S13.MNAC"</f>
        <v>#REF!</v>
      </c>
    </row>
    <row r="113" ht="12">
      <c r="A113" t="e">
        <f>"VAL.LV."&amp;[0]!CountryCode&amp;".D3PAY.S13.MNAC"</f>
        <v>#REF!</v>
      </c>
    </row>
    <row r="114" ht="12">
      <c r="A114" t="e">
        <f>"VAL.LT."&amp;[0]!CountryCode&amp;".D3PAY.S13.MNAC"</f>
        <v>#REF!</v>
      </c>
    </row>
    <row r="115" ht="12">
      <c r="A115" t="e">
        <f>"VAL.LU."&amp;[0]!CountryCode&amp;".D3PAY.S13.MNAC"</f>
        <v>#REF!</v>
      </c>
    </row>
    <row r="116" ht="12">
      <c r="A116" t="e">
        <f>"VAL.HU."&amp;[0]!CountryCode&amp;".D3PAY.S13.MNAC"</f>
        <v>#REF!</v>
      </c>
    </row>
    <row r="117" ht="12">
      <c r="A117" t="e">
        <f>"VAL.MT."&amp;[0]!CountryCode&amp;".D3PAY.S13.MNAC"</f>
        <v>#REF!</v>
      </c>
    </row>
    <row r="118" ht="12">
      <c r="A118" t="e">
        <f>"VAL.NL."&amp;[0]!CountryCode&amp;".D3PAY.S13.MNAC"</f>
        <v>#REF!</v>
      </c>
    </row>
    <row r="119" ht="12">
      <c r="A119" t="e">
        <f>"VAL.AT."&amp;[0]!CountryCode&amp;".D3PAY.S13.MNAC"</f>
        <v>#REF!</v>
      </c>
    </row>
    <row r="120" ht="12">
      <c r="A120" t="e">
        <f>"VAL.PL."&amp;[0]!CountryCode&amp;".D3PAY.S13.MNAC"</f>
        <v>#REF!</v>
      </c>
    </row>
    <row r="121" ht="12">
      <c r="A121" t="e">
        <f>"VAL.PT."&amp;[0]!CountryCode&amp;".D3PAY.S13.MNAC"</f>
        <v>#REF!</v>
      </c>
    </row>
    <row r="122" ht="12">
      <c r="A122" t="e">
        <f>"VAL.RO."&amp;[0]!CountryCode&amp;".D3PAY.S13.MNAC"</f>
        <v>#REF!</v>
      </c>
    </row>
    <row r="123" ht="12">
      <c r="A123" t="e">
        <f>"VAL.SI."&amp;[0]!CountryCode&amp;".D3PAY.S13.MNAC"</f>
        <v>#REF!</v>
      </c>
    </row>
    <row r="124" ht="12">
      <c r="A124" t="e">
        <f>"VAL.SK."&amp;[0]!CountryCode&amp;".D3PAY.S13.MNAC"</f>
        <v>#REF!</v>
      </c>
    </row>
    <row r="125" ht="12">
      <c r="A125" t="e">
        <f>"VAL.FI."&amp;[0]!CountryCode&amp;".D3PAY.S13.MNAC"</f>
        <v>#REF!</v>
      </c>
    </row>
    <row r="126" ht="12">
      <c r="A126" t="e">
        <f>"VAL.SE."&amp;[0]!CountryCode&amp;".D3PAY.S13.MNAC"</f>
        <v>#REF!</v>
      </c>
    </row>
    <row r="127" ht="12">
      <c r="A127" t="e">
        <f>"VAL.UK."&amp;[0]!CountryCode&amp;".D3PAY.S13.MNAC"</f>
        <v>#REF!</v>
      </c>
    </row>
    <row r="128" ht="12">
      <c r="A128" t="e">
        <f>"VAL.IS."&amp;[0]!CountryCode&amp;".D3PAY.S13.MNAC"</f>
        <v>#REF!</v>
      </c>
    </row>
    <row r="129" ht="12">
      <c r="A129" t="e">
        <f>"VAL.NO."&amp;[0]!CountryCode&amp;".D3PAY.S13.MNAC"</f>
        <v>#REF!</v>
      </c>
    </row>
    <row r="130" ht="12">
      <c r="A130" t="e">
        <f>"VAL.CH."&amp;[0]!CountryCode&amp;".D3PAY.S13.MNAC"</f>
        <v>#REF!</v>
      </c>
    </row>
    <row r="131" ht="12">
      <c r="A131" t="e">
        <f>"VAL.EA19."&amp;[0]!CountryCode&amp;".D3PAY.S13.MNAC"</f>
        <v>#REF!</v>
      </c>
    </row>
    <row r="132" ht="12">
      <c r="A132" t="e">
        <f>"VAL.EU28."&amp;[0]!CountryCode&amp;".D3PAY.S13.MNAC"</f>
        <v>#REF!</v>
      </c>
    </row>
    <row r="133" ht="12">
      <c r="A133" t="e">
        <f>"VAL.BE."&amp;[0]!CountryCode&amp;".TE.S13.MNAC"</f>
        <v>#REF!</v>
      </c>
    </row>
    <row r="134" ht="12">
      <c r="A134" t="e">
        <f>"VAL.BG."&amp;[0]!CountryCode&amp;".TE.S13.MNAC"</f>
        <v>#REF!</v>
      </c>
    </row>
    <row r="135" ht="12">
      <c r="A135" t="e">
        <f>"VAL.CZ."&amp;[0]!CountryCode&amp;".TE.S13.MNAC"</f>
        <v>#REF!</v>
      </c>
    </row>
    <row r="136" ht="12">
      <c r="A136" t="e">
        <f>"VAL.DK."&amp;[0]!CountryCode&amp;".TE.S13.MNAC"</f>
        <v>#REF!</v>
      </c>
    </row>
    <row r="137" ht="12">
      <c r="A137" t="e">
        <f>"VAL.DE."&amp;[0]!CountryCode&amp;".TE.S13.MNAC"</f>
        <v>#REF!</v>
      </c>
    </row>
    <row r="138" ht="12">
      <c r="A138" t="e">
        <f>"VAL.EE."&amp;[0]!CountryCode&amp;".TE.S13.MNAC"</f>
        <v>#REF!</v>
      </c>
    </row>
    <row r="139" ht="12">
      <c r="A139" t="e">
        <f>"VAL.IE."&amp;[0]!CountryCode&amp;".TE.S13.MNAC"</f>
        <v>#REF!</v>
      </c>
    </row>
    <row r="140" ht="12">
      <c r="A140" t="e">
        <f>"VAL.EL."&amp;[0]!CountryCode&amp;".TE.S13.MNAC"</f>
        <v>#REF!</v>
      </c>
    </row>
    <row r="141" ht="12">
      <c r="A141" t="e">
        <f>"VAL.ES."&amp;[0]!CountryCode&amp;".TE.S13.MNAC"</f>
        <v>#REF!</v>
      </c>
    </row>
    <row r="142" ht="12">
      <c r="A142" t="e">
        <f>"VAL.FR."&amp;[0]!CountryCode&amp;".TE.S13.MNAC"</f>
        <v>#REF!</v>
      </c>
    </row>
    <row r="143" ht="12">
      <c r="A143" t="e">
        <f>"VAL.HR."&amp;[0]!CountryCode&amp;".TE.S13.MNAC"</f>
        <v>#REF!</v>
      </c>
    </row>
    <row r="144" ht="12">
      <c r="A144" t="e">
        <f>"VAL.IT."&amp;[0]!CountryCode&amp;".TE.S13.MNAC"</f>
        <v>#REF!</v>
      </c>
    </row>
    <row r="145" ht="12">
      <c r="A145" t="e">
        <f>"VAL.CY."&amp;[0]!CountryCode&amp;".TE.S13.MNAC"</f>
        <v>#REF!</v>
      </c>
    </row>
    <row r="146" ht="12">
      <c r="A146" t="e">
        <f>"VAL.LV."&amp;[0]!CountryCode&amp;".TE.S13.MNAC"</f>
        <v>#REF!</v>
      </c>
    </row>
    <row r="147" ht="12">
      <c r="A147" t="e">
        <f>"VAL.LT."&amp;[0]!CountryCode&amp;".TE.S13.MNAC"</f>
        <v>#REF!</v>
      </c>
    </row>
    <row r="148" ht="12">
      <c r="A148" t="e">
        <f>"VAL.LU."&amp;[0]!CountryCode&amp;".TE.S13.MNAC"</f>
        <v>#REF!</v>
      </c>
    </row>
    <row r="149" ht="12">
      <c r="A149" t="e">
        <f>"VAL.HU."&amp;[0]!CountryCode&amp;".TE.S13.MNAC"</f>
        <v>#REF!</v>
      </c>
    </row>
    <row r="150" ht="12">
      <c r="A150" t="e">
        <f>"VAL.MT."&amp;[0]!CountryCode&amp;".TE.S13.MNAC"</f>
        <v>#REF!</v>
      </c>
    </row>
    <row r="151" ht="12">
      <c r="A151" t="e">
        <f>"VAL.NL."&amp;[0]!CountryCode&amp;".TE.S13.MNAC"</f>
        <v>#REF!</v>
      </c>
    </row>
    <row r="152" ht="12">
      <c r="A152" t="e">
        <f>"VAL.AT."&amp;[0]!CountryCode&amp;".TE.S13.MNAC"</f>
        <v>#REF!</v>
      </c>
    </row>
    <row r="153" ht="12">
      <c r="A153" t="e">
        <f>"VAL.PL."&amp;[0]!CountryCode&amp;".TE.S13.MNAC"</f>
        <v>#REF!</v>
      </c>
    </row>
    <row r="154" ht="12">
      <c r="A154" t="e">
        <f>"VAL.PT."&amp;[0]!CountryCode&amp;".TE.S13.MNAC"</f>
        <v>#REF!</v>
      </c>
    </row>
    <row r="155" ht="12">
      <c r="A155" t="e">
        <f>"VAL.RO."&amp;[0]!CountryCode&amp;".TE.S13.MNAC"</f>
        <v>#REF!</v>
      </c>
    </row>
    <row r="156" ht="12">
      <c r="A156" t="e">
        <f>"VAL.SI."&amp;[0]!CountryCode&amp;".TE.S13.MNAC"</f>
        <v>#REF!</v>
      </c>
    </row>
    <row r="157" ht="12">
      <c r="A157" t="e">
        <f>"VAL.SK."&amp;[0]!CountryCode&amp;".TE.S13.MNAC"</f>
        <v>#REF!</v>
      </c>
    </row>
    <row r="158" ht="12">
      <c r="A158" t="e">
        <f>"VAL.FI."&amp;[0]!CountryCode&amp;".TE.S13.MNAC"</f>
        <v>#REF!</v>
      </c>
    </row>
    <row r="159" ht="12">
      <c r="A159" t="e">
        <f>"VAL.SE."&amp;[0]!CountryCode&amp;".TE.S13.MNAC"</f>
        <v>#REF!</v>
      </c>
    </row>
    <row r="160" ht="12">
      <c r="A160" t="e">
        <f>"VAL.UK."&amp;[0]!CountryCode&amp;".TE.S13.MNAC"</f>
        <v>#REF!</v>
      </c>
    </row>
    <row r="161" ht="12">
      <c r="A161" t="e">
        <f>"VAL.IS."&amp;[0]!CountryCode&amp;".TE.S13.MNAC"</f>
        <v>#REF!</v>
      </c>
    </row>
    <row r="162" ht="12">
      <c r="A162" t="e">
        <f>"VAL.NO."&amp;[0]!CountryCode&amp;".TE.S13.MNAC"</f>
        <v>#REF!</v>
      </c>
    </row>
    <row r="163" ht="12">
      <c r="A163" t="e">
        <f>"VAL.CH."&amp;[0]!CountryCode&amp;".TE.S13.MNAC"</f>
        <v>#REF!</v>
      </c>
    </row>
    <row r="164" ht="12">
      <c r="A164" t="e">
        <f>"VAL.EA19."&amp;[0]!CountryCode&amp;".TE.S13.MNAC"</f>
        <v>#REF!</v>
      </c>
    </row>
    <row r="165" ht="12">
      <c r="A165" t="e">
        <f>"VAL.EU28."&amp;[0]!CountryCode&amp;".TE.S13.MNAC"</f>
        <v>#REF!</v>
      </c>
    </row>
    <row r="166" ht="12">
      <c r="A166" t="e">
        <f>"VAL.EU28."&amp;[0]!CountryCode&amp;".D2REC.S13.PC_GDP"</f>
        <v>#REF!</v>
      </c>
    </row>
    <row r="167" ht="12">
      <c r="A167" t="e">
        <f>"VAL.EA19."&amp;[0]!CountryCode&amp;".D2REC.S13.PC_GDP"</f>
        <v>#REF!</v>
      </c>
    </row>
    <row r="168" ht="12">
      <c r="A168" t="e">
        <f>"VAL.BE."&amp;[0]!CountryCode&amp;".D2REC.S13.PC_GDP"</f>
        <v>#REF!</v>
      </c>
    </row>
    <row r="169" ht="12">
      <c r="A169" t="e">
        <f>"VAL.BG."&amp;[0]!CountryCode&amp;".D2REC.S13.PC_GDP"</f>
        <v>#REF!</v>
      </c>
    </row>
    <row r="170" ht="12">
      <c r="A170" t="e">
        <f>"VAL.CZ."&amp;[0]!CountryCode&amp;".D2REC.S13.PC_GDP"</f>
        <v>#REF!</v>
      </c>
    </row>
    <row r="171" ht="12">
      <c r="A171" t="e">
        <f>"VAL.DK."&amp;[0]!CountryCode&amp;".D2REC.S13.PC_GDP"</f>
        <v>#REF!</v>
      </c>
    </row>
    <row r="172" ht="12">
      <c r="A172" t="e">
        <f>"VAL.DE."&amp;[0]!CountryCode&amp;".D2REC.S13.PC_GDP"</f>
        <v>#REF!</v>
      </c>
    </row>
    <row r="173" ht="12">
      <c r="A173" t="e">
        <f>"VAL.EE."&amp;[0]!CountryCode&amp;".D2REC.S13.PC_GDP"</f>
        <v>#REF!</v>
      </c>
    </row>
    <row r="174" ht="12">
      <c r="A174" t="e">
        <f>"VAL.IE."&amp;[0]!CountryCode&amp;".D2REC.S13.PC_GDP"</f>
        <v>#REF!</v>
      </c>
    </row>
    <row r="175" ht="12">
      <c r="A175" t="e">
        <f>"VAL.EL."&amp;[0]!CountryCode&amp;".D2REC.S13.PC_GDP"</f>
        <v>#REF!</v>
      </c>
    </row>
    <row r="176" ht="12">
      <c r="A176" t="e">
        <f>"VAL.ES."&amp;[0]!CountryCode&amp;".D2REC.S13.PC_GDP"</f>
        <v>#REF!</v>
      </c>
    </row>
    <row r="177" ht="12">
      <c r="A177" t="e">
        <f>"VAL.FR."&amp;[0]!CountryCode&amp;".D2REC.S13.PC_GDP"</f>
        <v>#REF!</v>
      </c>
    </row>
    <row r="178" ht="12">
      <c r="A178" t="e">
        <f>"VAL.HR."&amp;[0]!CountryCode&amp;".D2REC.S13.PC_GDP"</f>
        <v>#REF!</v>
      </c>
    </row>
    <row r="179" ht="12">
      <c r="A179" t="e">
        <f>"VAL.IT."&amp;[0]!CountryCode&amp;".D2REC.S13.PC_GDP"</f>
        <v>#REF!</v>
      </c>
    </row>
    <row r="180" ht="12">
      <c r="A180" t="e">
        <f>"VAL.CY."&amp;[0]!CountryCode&amp;".D2REC.S13.PC_GDP"</f>
        <v>#REF!</v>
      </c>
    </row>
    <row r="181" ht="12">
      <c r="A181" t="e">
        <f>"VAL.LV."&amp;[0]!CountryCode&amp;".D2REC.S13.PC_GDP"</f>
        <v>#REF!</v>
      </c>
    </row>
    <row r="182" ht="12">
      <c r="A182" t="e">
        <f>"VAL.LT."&amp;[0]!CountryCode&amp;".D2REC.S13.PC_GDP"</f>
        <v>#REF!</v>
      </c>
    </row>
    <row r="183" ht="12">
      <c r="A183" t="e">
        <f>"VAL.LU."&amp;[0]!CountryCode&amp;".D2REC.S13.PC_GDP"</f>
        <v>#REF!</v>
      </c>
    </row>
    <row r="184" ht="12">
      <c r="A184" t="e">
        <f>"VAL.HU."&amp;[0]!CountryCode&amp;".D2REC.S13.PC_GDP"</f>
        <v>#REF!</v>
      </c>
    </row>
    <row r="185" ht="12">
      <c r="A185" t="e">
        <f>"VAL.MT."&amp;[0]!CountryCode&amp;".D2REC.S13.PC_GDP"</f>
        <v>#REF!</v>
      </c>
    </row>
    <row r="186" ht="12">
      <c r="A186" t="e">
        <f>"VAL.NL."&amp;[0]!CountryCode&amp;".D2REC.S13.PC_GDP"</f>
        <v>#REF!</v>
      </c>
    </row>
    <row r="187" ht="12">
      <c r="A187" t="e">
        <f>"VAL.AT."&amp;[0]!CountryCode&amp;".D2REC.S13.PC_GDP"</f>
        <v>#REF!</v>
      </c>
    </row>
    <row r="188" ht="12">
      <c r="A188" t="e">
        <f>"VAL.PL."&amp;[0]!CountryCode&amp;".D2REC.S13.PC_GDP"</f>
        <v>#REF!</v>
      </c>
    </row>
    <row r="189" ht="12">
      <c r="A189" t="e">
        <f>"VAL.PT."&amp;[0]!CountryCode&amp;".D2REC.S13.PC_GDP"</f>
        <v>#REF!</v>
      </c>
    </row>
    <row r="190" ht="12">
      <c r="A190" t="e">
        <f>"VAL.RO."&amp;[0]!CountryCode&amp;".D2REC.S13.PC_GDP"</f>
        <v>#REF!</v>
      </c>
    </row>
    <row r="191" ht="12">
      <c r="A191" t="e">
        <f>"VAL.SI."&amp;[0]!CountryCode&amp;".D2REC.S13.PC_GDP"</f>
        <v>#REF!</v>
      </c>
    </row>
    <row r="192" ht="12">
      <c r="A192" t="e">
        <f>"VAL.SK."&amp;[0]!CountryCode&amp;".D2REC.S13.PC_GDP"</f>
        <v>#REF!</v>
      </c>
    </row>
    <row r="193" ht="12">
      <c r="A193" t="e">
        <f>"VAL.FI."&amp;[0]!CountryCode&amp;".D2REC.S13.PC_GDP"</f>
        <v>#REF!</v>
      </c>
    </row>
    <row r="194" ht="12">
      <c r="A194" t="e">
        <f>"VAL.SE."&amp;[0]!CountryCode&amp;".D2REC.S13.PC_GDP"</f>
        <v>#REF!</v>
      </c>
    </row>
    <row r="195" ht="12">
      <c r="A195" t="e">
        <f>"VAL.UK."&amp;[0]!CountryCode&amp;".D2REC.S13.PC_GDP"</f>
        <v>#REF!</v>
      </c>
    </row>
    <row r="196" ht="12">
      <c r="A196" t="e">
        <f>"VAL.IS."&amp;[0]!CountryCode&amp;".D2REC.S13.PC_GDP"</f>
        <v>#REF!</v>
      </c>
    </row>
    <row r="197" ht="12">
      <c r="A197" t="e">
        <f>"VAL.NO."&amp;[0]!CountryCode&amp;".D2REC.S13.PC_GDP"</f>
        <v>#REF!</v>
      </c>
    </row>
    <row r="198" ht="12">
      <c r="A198" t="e">
        <f>"VAL.CH."&amp;[0]!CountryCode&amp;".D2REC.S13.PC_GDP"</f>
        <v>#REF!</v>
      </c>
    </row>
    <row r="199" ht="12">
      <c r="A199" t="e">
        <f>"VAL.EU28."&amp;[0]!CountryCode&amp;".D5REC.S13.MNAC"</f>
        <v>#REF!</v>
      </c>
    </row>
    <row r="200" ht="12">
      <c r="A200" t="e">
        <f>"VAL.EA19."&amp;[0]!CountryCode&amp;".D5REC.S13.MNAC"</f>
        <v>#REF!</v>
      </c>
    </row>
    <row r="201" ht="12">
      <c r="A201" t="e">
        <f>"VAL.BE."&amp;[0]!CountryCode&amp;".D5REC.S13.MNAC"</f>
        <v>#REF!</v>
      </c>
    </row>
    <row r="202" ht="12">
      <c r="A202" t="e">
        <f>"VAL.BG."&amp;[0]!CountryCode&amp;".D5REC.S13.MNAC"</f>
        <v>#REF!</v>
      </c>
    </row>
    <row r="203" ht="12">
      <c r="A203" t="e">
        <f>"VAL.CZ."&amp;[0]!CountryCode&amp;".D5REC.S13.MNAC"</f>
        <v>#REF!</v>
      </c>
    </row>
    <row r="204" ht="12">
      <c r="A204" t="e">
        <f>"VAL.DK."&amp;[0]!CountryCode&amp;".D5REC.S13.MNAC"</f>
        <v>#REF!</v>
      </c>
    </row>
    <row r="205" ht="12">
      <c r="A205" t="e">
        <f>"VAL.DE."&amp;[0]!CountryCode&amp;".D5REC.S13.MNAC"</f>
        <v>#REF!</v>
      </c>
    </row>
    <row r="206" ht="12">
      <c r="A206" t="e">
        <f>"VAL.EE."&amp;[0]!CountryCode&amp;".D5REC.S13.MNAC"</f>
        <v>#REF!</v>
      </c>
    </row>
    <row r="207" ht="12">
      <c r="A207" t="e">
        <f>"VAL.IE."&amp;[0]!CountryCode&amp;".D5REC.S13.MNAC"</f>
        <v>#REF!</v>
      </c>
    </row>
    <row r="208" ht="12">
      <c r="A208" t="e">
        <f>"VAL.EL."&amp;[0]!CountryCode&amp;".D5REC.S13.MNAC"</f>
        <v>#REF!</v>
      </c>
    </row>
    <row r="209" ht="12">
      <c r="A209" t="e">
        <f>"VAL.ES."&amp;[0]!CountryCode&amp;".D5REC.S13.MNAC"</f>
        <v>#REF!</v>
      </c>
    </row>
    <row r="210" ht="12">
      <c r="A210" t="e">
        <f>"VAL.FR."&amp;[0]!CountryCode&amp;".D5REC.S13.MNAC"</f>
        <v>#REF!</v>
      </c>
    </row>
    <row r="211" ht="12">
      <c r="A211" t="e">
        <f>"VAL.HR."&amp;[0]!CountryCode&amp;".D5REC.S13.MNAC"</f>
        <v>#REF!</v>
      </c>
    </row>
    <row r="212" ht="12">
      <c r="A212" t="e">
        <f>"VAL.IT."&amp;[0]!CountryCode&amp;".D5REC.S13.MNAC"</f>
        <v>#REF!</v>
      </c>
    </row>
    <row r="213" ht="12">
      <c r="A213" t="e">
        <f>"VAL.CY."&amp;[0]!CountryCode&amp;".D5REC.S13.MNAC"</f>
        <v>#REF!</v>
      </c>
    </row>
    <row r="214" ht="12">
      <c r="A214" t="e">
        <f>"VAL.LV."&amp;[0]!CountryCode&amp;".D5REC.S13.MNAC"</f>
        <v>#REF!</v>
      </c>
    </row>
    <row r="215" ht="12">
      <c r="A215" t="e">
        <f>"VAL.LT."&amp;[0]!CountryCode&amp;".D5REC.S13.MNAC"</f>
        <v>#REF!</v>
      </c>
    </row>
    <row r="216" ht="12">
      <c r="A216" t="e">
        <f>"VAL.LU."&amp;[0]!CountryCode&amp;".D5REC.S13.MNAC"</f>
        <v>#REF!</v>
      </c>
    </row>
    <row r="217" ht="12">
      <c r="A217" t="e">
        <f>"VAL.HU."&amp;[0]!CountryCode&amp;".D5REC.S13.MNAC"</f>
        <v>#REF!</v>
      </c>
    </row>
    <row r="218" ht="12">
      <c r="A218" t="e">
        <f>"VAL.MT."&amp;[0]!CountryCode&amp;".D5REC.S13.MNAC"</f>
        <v>#REF!</v>
      </c>
    </row>
    <row r="219" ht="12">
      <c r="A219" t="e">
        <f>"VAL.NL."&amp;[0]!CountryCode&amp;".D5REC.S13.MNAC"</f>
        <v>#REF!</v>
      </c>
    </row>
    <row r="220" ht="12">
      <c r="A220" t="e">
        <f>"VAL.AT."&amp;[0]!CountryCode&amp;".D5REC.S13.MNAC"</f>
        <v>#REF!</v>
      </c>
    </row>
    <row r="221" ht="12">
      <c r="A221" t="e">
        <f>"VAL.PL."&amp;[0]!CountryCode&amp;".D5REC.S13.MNAC"</f>
        <v>#REF!</v>
      </c>
    </row>
    <row r="222" ht="12">
      <c r="A222" t="e">
        <f>"VAL.PT."&amp;[0]!CountryCode&amp;".D5REC.S13.MNAC"</f>
        <v>#REF!</v>
      </c>
    </row>
    <row r="223" ht="12">
      <c r="A223" t="e">
        <f>"VAL.RO."&amp;[0]!CountryCode&amp;".D5REC.S13.MNAC"</f>
        <v>#REF!</v>
      </c>
    </row>
    <row r="224" ht="12">
      <c r="A224" t="e">
        <f>"VAL.SI."&amp;[0]!CountryCode&amp;".D5REC.S13.MNAC"</f>
        <v>#REF!</v>
      </c>
    </row>
    <row r="225" ht="12">
      <c r="A225" t="e">
        <f>"VAL.SK."&amp;[0]!CountryCode&amp;".D5REC.S13.MNAC"</f>
        <v>#REF!</v>
      </c>
    </row>
    <row r="226" ht="12">
      <c r="A226" t="e">
        <f>"VAL.FI."&amp;[0]!CountryCode&amp;".D5REC.S13.MNAC"</f>
        <v>#REF!</v>
      </c>
    </row>
    <row r="227" ht="12">
      <c r="A227" t="e">
        <f>"VAL.SE."&amp;[0]!CountryCode&amp;".D5REC.S13.MNAC"</f>
        <v>#REF!</v>
      </c>
    </row>
    <row r="228" ht="12">
      <c r="A228" t="e">
        <f>"VAL.UK."&amp;[0]!CountryCode&amp;".D5REC.S13.MNAC"</f>
        <v>#REF!</v>
      </c>
    </row>
    <row r="229" ht="12">
      <c r="A229" t="e">
        <f>"VAL.IS."&amp;[0]!CountryCode&amp;".D5REC.S13.MNAC"</f>
        <v>#REF!</v>
      </c>
    </row>
    <row r="230" ht="12">
      <c r="A230" t="e">
        <f>"VAL.NO."&amp;[0]!CountryCode&amp;".D5REC.S13.MNAC"</f>
        <v>#REF!</v>
      </c>
    </row>
    <row r="231" ht="12">
      <c r="A231" t="e">
        <f>"VAL.CH."&amp;[0]!CountryCode&amp;".D5REC.S13.MNAC"</f>
        <v>#REF!</v>
      </c>
    </row>
    <row r="232" ht="12">
      <c r="A232" t="e">
        <f>"VAL.EU28."&amp;[0]!CountryCode&amp;".D91REC.S13.MNAC"</f>
        <v>#REF!</v>
      </c>
    </row>
    <row r="233" ht="12">
      <c r="A233" t="e">
        <f>"VAL.EA19."&amp;[0]!CountryCode&amp;".D91REC.S13.MNAC"</f>
        <v>#REF!</v>
      </c>
    </row>
    <row r="234" ht="12">
      <c r="A234" t="e">
        <f>"VAL.BE."&amp;[0]!CountryCode&amp;".D91REC.S13.MNAC"</f>
        <v>#REF!</v>
      </c>
    </row>
    <row r="235" ht="12">
      <c r="A235" t="e">
        <f>"VAL.BG."&amp;[0]!CountryCode&amp;".D91REC.S13.MNAC"</f>
        <v>#REF!</v>
      </c>
    </row>
    <row r="236" ht="12">
      <c r="A236" t="e">
        <f>"VAL.CZ."&amp;[0]!CountryCode&amp;".D91REC.S13.MNAC"</f>
        <v>#REF!</v>
      </c>
    </row>
    <row r="237" ht="12">
      <c r="A237" t="e">
        <f>"VAL.DK."&amp;[0]!CountryCode&amp;".D91REC.S13.MNAC"</f>
        <v>#REF!</v>
      </c>
    </row>
    <row r="238" ht="12">
      <c r="A238" t="e">
        <f>"VAL.DE."&amp;[0]!CountryCode&amp;".D91REC.S13.MNAC"</f>
        <v>#REF!</v>
      </c>
    </row>
    <row r="239" ht="12">
      <c r="A239" t="e">
        <f>"VAL.EE."&amp;[0]!CountryCode&amp;".D91REC.S13.MNAC"</f>
        <v>#REF!</v>
      </c>
    </row>
    <row r="240" ht="12">
      <c r="A240" t="e">
        <f>"VAL.IE."&amp;[0]!CountryCode&amp;".D91REC.S13.MNAC"</f>
        <v>#REF!</v>
      </c>
    </row>
    <row r="241" ht="12">
      <c r="A241" t="e">
        <f>"VAL.EL."&amp;[0]!CountryCode&amp;".D91REC.S13.MNAC"</f>
        <v>#REF!</v>
      </c>
    </row>
    <row r="242" ht="12">
      <c r="A242" t="e">
        <f>"VAL.ES."&amp;[0]!CountryCode&amp;".D91REC.S13.MNAC"</f>
        <v>#REF!</v>
      </c>
    </row>
    <row r="243" ht="12">
      <c r="A243" t="e">
        <f>"VAL.FR."&amp;[0]!CountryCode&amp;".D91REC.S13.MNAC"</f>
        <v>#REF!</v>
      </c>
    </row>
    <row r="244" ht="12">
      <c r="A244" t="e">
        <f>"VAL.HR."&amp;[0]!CountryCode&amp;".D91REC.S13.MNAC"</f>
        <v>#REF!</v>
      </c>
    </row>
    <row r="245" ht="12">
      <c r="A245" t="e">
        <f>"VAL.IT."&amp;[0]!CountryCode&amp;".D91REC.S13.MNAC"</f>
        <v>#REF!</v>
      </c>
    </row>
    <row r="246" ht="12">
      <c r="A246" t="e">
        <f>"VAL.CY."&amp;[0]!CountryCode&amp;".D91REC.S13.MNAC"</f>
        <v>#REF!</v>
      </c>
    </row>
    <row r="247" ht="12">
      <c r="A247" t="e">
        <f>"VAL.LV."&amp;[0]!CountryCode&amp;".D91REC.S13.MNAC"</f>
        <v>#REF!</v>
      </c>
    </row>
    <row r="248" ht="12">
      <c r="A248" t="e">
        <f>"VAL.LT."&amp;[0]!CountryCode&amp;".D91REC.S13.MNAC"</f>
        <v>#REF!</v>
      </c>
    </row>
    <row r="249" ht="12">
      <c r="A249" t="e">
        <f>"VAL.LU."&amp;[0]!CountryCode&amp;".D91REC.S13.MNAC"</f>
        <v>#REF!</v>
      </c>
    </row>
    <row r="250" ht="12">
      <c r="A250" t="e">
        <f>"VAL.HU."&amp;[0]!CountryCode&amp;".D91REC.S13.MNAC"</f>
        <v>#REF!</v>
      </c>
    </row>
    <row r="251" ht="12">
      <c r="A251" t="e">
        <f>"VAL.MT."&amp;[0]!CountryCode&amp;".D91REC.S13.MNAC"</f>
        <v>#REF!</v>
      </c>
    </row>
    <row r="252" ht="12">
      <c r="A252" t="e">
        <f>"VAL.NL."&amp;[0]!CountryCode&amp;".D91REC.S13.MNAC"</f>
        <v>#REF!</v>
      </c>
    </row>
    <row r="253" ht="12">
      <c r="A253" t="e">
        <f>"VAL.AT."&amp;[0]!CountryCode&amp;".D91REC.S13.MNAC"</f>
        <v>#REF!</v>
      </c>
    </row>
    <row r="254" ht="12">
      <c r="A254" t="e">
        <f>"VAL.PL."&amp;[0]!CountryCode&amp;".D91REC.S13.MNAC"</f>
        <v>#REF!</v>
      </c>
    </row>
    <row r="255" ht="12">
      <c r="A255" t="e">
        <f>"VAL.PT."&amp;[0]!CountryCode&amp;".D91REC.S13.MNAC"</f>
        <v>#REF!</v>
      </c>
    </row>
    <row r="256" ht="12">
      <c r="A256" t="e">
        <f>"VAL.RO."&amp;[0]!CountryCode&amp;".D91REC.S13.MNAC"</f>
        <v>#REF!</v>
      </c>
    </row>
    <row r="257" ht="12">
      <c r="A257" t="e">
        <f>"VAL.SI."&amp;[0]!CountryCode&amp;".D91REC.S13.MNAC"</f>
        <v>#REF!</v>
      </c>
    </row>
    <row r="258" ht="12">
      <c r="A258" t="e">
        <f>"VAL.SK."&amp;[0]!CountryCode&amp;".D91REC.S13.MNAC"</f>
        <v>#REF!</v>
      </c>
    </row>
    <row r="259" ht="12">
      <c r="A259" t="e">
        <f>"VAL.FI."&amp;[0]!CountryCode&amp;".D91REC.S13.MNAC"</f>
        <v>#REF!</v>
      </c>
    </row>
    <row r="260" ht="12">
      <c r="A260" t="e">
        <f>"VAL.SE."&amp;[0]!CountryCode&amp;".D91REC.S13.MNAC"</f>
        <v>#REF!</v>
      </c>
    </row>
    <row r="261" ht="12">
      <c r="A261" t="e">
        <f>"VAL.UK."&amp;[0]!CountryCode&amp;".D91REC.S13.MNAC"</f>
        <v>#REF!</v>
      </c>
    </row>
    <row r="262" ht="12">
      <c r="A262" t="e">
        <f>"VAL.IS."&amp;[0]!CountryCode&amp;".D91REC.S13.MNAC"</f>
        <v>#REF!</v>
      </c>
    </row>
    <row r="263" ht="12">
      <c r="A263" t="e">
        <f>"VAL.NO."&amp;[0]!CountryCode&amp;".D91REC.S13.MNAC"</f>
        <v>#REF!</v>
      </c>
    </row>
    <row r="264" ht="12">
      <c r="A264" t="e">
        <f>"VAL.CH."&amp;[0]!CountryCode&amp;".D91REC.S13.MNAC"</f>
        <v>#REF!</v>
      </c>
    </row>
    <row r="265" ht="12">
      <c r="A265" t="e">
        <f>"VAL.EU28."&amp;[0]!CountryCode&amp;".D61REC.S13.MNAC"</f>
        <v>#REF!</v>
      </c>
    </row>
    <row r="266" ht="12">
      <c r="A266" t="e">
        <f>"VAL.EA19."&amp;[0]!CountryCode&amp;".D61REC.S13.MNAC"</f>
        <v>#REF!</v>
      </c>
    </row>
    <row r="267" ht="12">
      <c r="A267" t="e">
        <f>"VAL.BE."&amp;[0]!CountryCode&amp;".D61REC.S13.MNAC"</f>
        <v>#REF!</v>
      </c>
    </row>
    <row r="268" ht="12">
      <c r="A268" t="e">
        <f>"VAL.BG."&amp;[0]!CountryCode&amp;".D61REC.S13.MNAC"</f>
        <v>#REF!</v>
      </c>
    </row>
    <row r="269" ht="12">
      <c r="A269" t="e">
        <f>"VAL.CZ."&amp;[0]!CountryCode&amp;".D61REC.S13.MNAC"</f>
        <v>#REF!</v>
      </c>
    </row>
    <row r="270" ht="12">
      <c r="A270" t="e">
        <f>"VAL.DK."&amp;[0]!CountryCode&amp;".D61REC.S13.MNAC"</f>
        <v>#REF!</v>
      </c>
    </row>
    <row r="271" ht="12">
      <c r="A271" t="e">
        <f>"VAL.DE."&amp;[0]!CountryCode&amp;".D61REC.S13.MNAC"</f>
        <v>#REF!</v>
      </c>
    </row>
    <row r="272" ht="12">
      <c r="A272" t="e">
        <f>"VAL.EE."&amp;[0]!CountryCode&amp;".D61REC.S13.MNAC"</f>
        <v>#REF!</v>
      </c>
    </row>
    <row r="273" ht="12">
      <c r="A273" t="e">
        <f>"VAL.IE."&amp;[0]!CountryCode&amp;".D61REC.S13.MNAC"</f>
        <v>#REF!</v>
      </c>
    </row>
    <row r="274" ht="12">
      <c r="A274" t="e">
        <f>"VAL.EL."&amp;[0]!CountryCode&amp;".D61REC.S13.MNAC"</f>
        <v>#REF!</v>
      </c>
    </row>
    <row r="275" ht="12">
      <c r="A275" t="e">
        <f>"VAL.ES."&amp;[0]!CountryCode&amp;".D61REC.S13.MNAC"</f>
        <v>#REF!</v>
      </c>
    </row>
    <row r="276" ht="12">
      <c r="A276" t="e">
        <f>"VAL.FR."&amp;[0]!CountryCode&amp;".D61REC.S13.MNAC"</f>
        <v>#REF!</v>
      </c>
    </row>
    <row r="277" ht="12">
      <c r="A277" t="e">
        <f>"VAL.HR."&amp;[0]!CountryCode&amp;".D61REC.S13.MNAC"</f>
        <v>#REF!</v>
      </c>
    </row>
    <row r="278" ht="12">
      <c r="A278" t="e">
        <f>"VAL.IT."&amp;[0]!CountryCode&amp;".D61REC.S13.MNAC"</f>
        <v>#REF!</v>
      </c>
    </row>
    <row r="279" ht="12">
      <c r="A279" t="e">
        <f>"VAL.CY."&amp;[0]!CountryCode&amp;".D61REC.S13.MNAC"</f>
        <v>#REF!</v>
      </c>
    </row>
    <row r="280" ht="12">
      <c r="A280" t="e">
        <f>"VAL.LV."&amp;[0]!CountryCode&amp;".D61REC.S13.MNAC"</f>
        <v>#REF!</v>
      </c>
    </row>
    <row r="281" ht="12">
      <c r="A281" t="e">
        <f>"VAL.LT."&amp;[0]!CountryCode&amp;".D61REC.S13.MNAC"</f>
        <v>#REF!</v>
      </c>
    </row>
    <row r="282" ht="12">
      <c r="A282" t="e">
        <f>"VAL.LU."&amp;[0]!CountryCode&amp;".D61REC.S13.MNAC"</f>
        <v>#REF!</v>
      </c>
    </row>
    <row r="283" ht="12">
      <c r="A283" t="e">
        <f>"VAL.HU."&amp;[0]!CountryCode&amp;".D61REC.S13.MNAC"</f>
        <v>#REF!</v>
      </c>
    </row>
    <row r="284" ht="12">
      <c r="A284" t="e">
        <f>"VAL.MT."&amp;[0]!CountryCode&amp;".D61REC.S13.MNAC"</f>
        <v>#REF!</v>
      </c>
    </row>
    <row r="285" ht="12">
      <c r="A285" t="e">
        <f>"VAL.NL."&amp;[0]!CountryCode&amp;".D61REC.S13.MNAC"</f>
        <v>#REF!</v>
      </c>
    </row>
    <row r="286" ht="12">
      <c r="A286" t="e">
        <f>"VAL.AT."&amp;[0]!CountryCode&amp;".D61REC.S13.MNAC"</f>
        <v>#REF!</v>
      </c>
    </row>
    <row r="287" ht="12">
      <c r="A287" t="e">
        <f>"VAL.PL."&amp;[0]!CountryCode&amp;".D61REC.S13.MNAC"</f>
        <v>#REF!</v>
      </c>
    </row>
    <row r="288" ht="12">
      <c r="A288" t="e">
        <f>"VAL.PT."&amp;[0]!CountryCode&amp;".D61REC.S13.MNAC"</f>
        <v>#REF!</v>
      </c>
    </row>
    <row r="289" ht="12">
      <c r="A289" t="e">
        <f>"VAL.RO."&amp;[0]!CountryCode&amp;".D61REC.S13.MNAC"</f>
        <v>#REF!</v>
      </c>
    </row>
    <row r="290" ht="12">
      <c r="A290" t="e">
        <f>"VAL.SI."&amp;[0]!CountryCode&amp;".D61REC.S13.MNAC"</f>
        <v>#REF!</v>
      </c>
    </row>
    <row r="291" ht="12">
      <c r="A291" t="e">
        <f>"VAL.SK."&amp;[0]!CountryCode&amp;".D61REC.S13.MNAC"</f>
        <v>#REF!</v>
      </c>
    </row>
    <row r="292" ht="12">
      <c r="A292" t="e">
        <f>"VAL.FI."&amp;[0]!CountryCode&amp;".D61REC.S13.MNAC"</f>
        <v>#REF!</v>
      </c>
    </row>
    <row r="293" ht="12">
      <c r="A293" t="e">
        <f>"VAL.SE."&amp;[0]!CountryCode&amp;".D61REC.S13.MNAC"</f>
        <v>#REF!</v>
      </c>
    </row>
    <row r="294" ht="12">
      <c r="A294" t="e">
        <f>"VAL.UK."&amp;[0]!CountryCode&amp;".D61REC.S13.MNAC"</f>
        <v>#REF!</v>
      </c>
    </row>
    <row r="295" ht="12">
      <c r="A295" t="e">
        <f>"VAL.IS."&amp;[0]!CountryCode&amp;".D61REC.S13.MNAC"</f>
        <v>#REF!</v>
      </c>
    </row>
    <row r="296" ht="12">
      <c r="A296" t="e">
        <f>"VAL.NO."&amp;[0]!CountryCode&amp;".D61REC.S13.MNAC"</f>
        <v>#REF!</v>
      </c>
    </row>
    <row r="297" ht="12">
      <c r="A297" t="e">
        <f>"VAL.CH."&amp;[0]!CountryCode&amp;".D61REC.S13.MNAC"</f>
        <v>#REF!</v>
      </c>
    </row>
    <row r="298" ht="12">
      <c r="A298" t="e">
        <f>"VAL.EU28."&amp;[0]!CountryCode&amp;".P11_P12_P131.S13.MNAC"</f>
        <v>#REF!</v>
      </c>
    </row>
    <row r="299" ht="12">
      <c r="A299" t="e">
        <f>"VAL.EA19."&amp;[0]!CountryCode&amp;".P11_P12_P131.S13.MNAC"</f>
        <v>#REF!</v>
      </c>
    </row>
    <row r="300" ht="12">
      <c r="A300" t="e">
        <f>"VAL.BE."&amp;[0]!CountryCode&amp;".P11_P12_P131.S13.MNAC"</f>
        <v>#REF!</v>
      </c>
    </row>
    <row r="301" ht="12">
      <c r="A301" t="e">
        <f>"VAL.BG."&amp;[0]!CountryCode&amp;".P11_P12_P131.S13.MNAC"</f>
        <v>#REF!</v>
      </c>
    </row>
    <row r="302" ht="12">
      <c r="A302" t="e">
        <f>"VAL.CZ."&amp;[0]!CountryCode&amp;".P11_P12_P131.S13.MNAC"</f>
        <v>#REF!</v>
      </c>
    </row>
    <row r="303" ht="12">
      <c r="A303" t="e">
        <f>"VAL.DK."&amp;[0]!CountryCode&amp;".P11_P12_P131.S13.MNAC"</f>
        <v>#REF!</v>
      </c>
    </row>
    <row r="304" ht="12">
      <c r="A304" t="e">
        <f>"VAL.DE."&amp;[0]!CountryCode&amp;".P11_P12_P131.S13.MNAC"</f>
        <v>#REF!</v>
      </c>
    </row>
    <row r="305" ht="12">
      <c r="A305" t="e">
        <f>"VAL.EE."&amp;[0]!CountryCode&amp;".P11_P12_P131.S13.MNAC"</f>
        <v>#REF!</v>
      </c>
    </row>
    <row r="306" ht="12">
      <c r="A306" t="e">
        <f>"VAL.IE."&amp;[0]!CountryCode&amp;".P11_P12_P131.S13.MNAC"</f>
        <v>#REF!</v>
      </c>
    </row>
    <row r="307" ht="12">
      <c r="A307" t="e">
        <f>"VAL.EL."&amp;[0]!CountryCode&amp;".P11_P12_P131.S13.MNAC"</f>
        <v>#REF!</v>
      </c>
    </row>
    <row r="308" ht="12">
      <c r="A308" t="e">
        <f>"VAL.ES."&amp;[0]!CountryCode&amp;".P11_P12_P131.S13.MNAC"</f>
        <v>#REF!</v>
      </c>
    </row>
    <row r="309" ht="12">
      <c r="A309" t="e">
        <f>"VAL.FR."&amp;[0]!CountryCode&amp;".P11_P12_P131.S13.MNAC"</f>
        <v>#REF!</v>
      </c>
    </row>
    <row r="310" ht="12">
      <c r="A310" t="e">
        <f>"VAL.HR."&amp;[0]!CountryCode&amp;".P11_P12_P131.S13.MNAC"</f>
        <v>#REF!</v>
      </c>
    </row>
    <row r="311" ht="12">
      <c r="A311" t="e">
        <f>"VAL.IT."&amp;[0]!CountryCode&amp;".P11_P12_P131.S13.MNAC"</f>
        <v>#REF!</v>
      </c>
    </row>
    <row r="312" ht="12">
      <c r="A312" t="e">
        <f>"VAL.CY."&amp;[0]!CountryCode&amp;".P11_P12_P131.S13.MNAC"</f>
        <v>#REF!</v>
      </c>
    </row>
    <row r="313" ht="12">
      <c r="A313" t="e">
        <f>"VAL.LV."&amp;[0]!CountryCode&amp;".P11_P12_P131.S13.MNAC"</f>
        <v>#REF!</v>
      </c>
    </row>
    <row r="314" ht="12">
      <c r="A314" t="e">
        <f>"VAL.LT."&amp;[0]!CountryCode&amp;".P11_P12_P131.S13.MNAC"</f>
        <v>#REF!</v>
      </c>
    </row>
    <row r="315" ht="12">
      <c r="A315" t="e">
        <f>"VAL.LU."&amp;[0]!CountryCode&amp;".P11_P12_P131.S13.MNAC"</f>
        <v>#REF!</v>
      </c>
    </row>
    <row r="316" ht="12">
      <c r="A316" t="e">
        <f>"VAL.HU."&amp;[0]!CountryCode&amp;".P11_P12_P131.S13.MNAC"</f>
        <v>#REF!</v>
      </c>
    </row>
    <row r="317" ht="12">
      <c r="A317" t="e">
        <f>"VAL.MT."&amp;[0]!CountryCode&amp;".P11_P12_P131.S13.MNAC"</f>
        <v>#REF!</v>
      </c>
    </row>
    <row r="318" ht="12">
      <c r="A318" t="e">
        <f>"VAL.NL."&amp;[0]!CountryCode&amp;".P11_P12_P131.S13.MNAC"</f>
        <v>#REF!</v>
      </c>
    </row>
    <row r="319" ht="12">
      <c r="A319" t="e">
        <f>"VAL.AT."&amp;[0]!CountryCode&amp;".P11_P12_P131.S13.MNAC"</f>
        <v>#REF!</v>
      </c>
    </row>
    <row r="320" ht="12">
      <c r="A320" t="e">
        <f>"VAL.PL."&amp;[0]!CountryCode&amp;".P11_P12_P131.S13.MNAC"</f>
        <v>#REF!</v>
      </c>
    </row>
    <row r="321" ht="12">
      <c r="A321" t="e">
        <f>"VAL.PT."&amp;[0]!CountryCode&amp;".P11_P12_P131.S13.MNAC"</f>
        <v>#REF!</v>
      </c>
    </row>
    <row r="322" ht="12">
      <c r="A322" t="e">
        <f>"VAL.RO."&amp;[0]!CountryCode&amp;".P11_P12_P131.S13.MNAC"</f>
        <v>#REF!</v>
      </c>
    </row>
    <row r="323" ht="12">
      <c r="A323" t="e">
        <f>"VAL.SI."&amp;[0]!CountryCode&amp;".P11_P12_P131.S13.MNAC"</f>
        <v>#REF!</v>
      </c>
    </row>
    <row r="324" ht="12">
      <c r="A324" t="e">
        <f>"VAL.SK."&amp;[0]!CountryCode&amp;".P11_P12_P131.S13.MNAC"</f>
        <v>#REF!</v>
      </c>
    </row>
    <row r="325" ht="12">
      <c r="A325" t="e">
        <f>"VAL.FI."&amp;[0]!CountryCode&amp;".P11_P12_P131.S13.MNAC"</f>
        <v>#REF!</v>
      </c>
    </row>
    <row r="326" ht="12">
      <c r="A326" t="e">
        <f>"VAL.SE."&amp;[0]!CountryCode&amp;".P11_P12_P131.S13.MNAC"</f>
        <v>#REF!</v>
      </c>
    </row>
    <row r="327" ht="12">
      <c r="A327" t="e">
        <f>"VAL.UK."&amp;[0]!CountryCode&amp;".P11_P12_P131.S13.MNAC"</f>
        <v>#REF!</v>
      </c>
    </row>
    <row r="328" ht="12">
      <c r="A328" t="e">
        <f>"VAL.IS."&amp;[0]!CountryCode&amp;".P11_P12_P131.S13.MNAC"</f>
        <v>#REF!</v>
      </c>
    </row>
    <row r="329" ht="12">
      <c r="A329" t="e">
        <f>"VAL.NO."&amp;[0]!CountryCode&amp;".P11_P12_P131.S13.MNAC"</f>
        <v>#REF!</v>
      </c>
    </row>
    <row r="330" ht="12">
      <c r="A330" t="e">
        <f>"VAL.CH."&amp;[0]!CountryCode&amp;".P11_P12_P131.S13.MNAC"</f>
        <v>#REF!</v>
      </c>
    </row>
    <row r="331" ht="12">
      <c r="A331" t="e">
        <f>"VAL.EU28."&amp;[0]!CountryCode&amp;".D4REC.S13.MNAC"</f>
        <v>#REF!</v>
      </c>
    </row>
    <row r="332" ht="12">
      <c r="A332" t="e">
        <f>"VAL.EA19."&amp;[0]!CountryCode&amp;".D4REC.S13.MNAC"</f>
        <v>#REF!</v>
      </c>
    </row>
    <row r="333" ht="12">
      <c r="A333" t="e">
        <f>"VAL.BE."&amp;[0]!CountryCode&amp;".D4REC.S13.MNAC"</f>
        <v>#REF!</v>
      </c>
    </row>
    <row r="334" ht="12">
      <c r="A334" t="e">
        <f>"VAL.BG."&amp;[0]!CountryCode&amp;".D4REC.S13.MNAC"</f>
        <v>#REF!</v>
      </c>
    </row>
    <row r="335" ht="12">
      <c r="A335" t="e">
        <f>"VAL.CZ."&amp;[0]!CountryCode&amp;".D4REC.S13.MNAC"</f>
        <v>#REF!</v>
      </c>
    </row>
    <row r="336" ht="12">
      <c r="A336" t="e">
        <f>"VAL.DK."&amp;[0]!CountryCode&amp;".D4REC.S13.MNAC"</f>
        <v>#REF!</v>
      </c>
    </row>
    <row r="337" ht="12">
      <c r="A337" t="e">
        <f>"VAL.DE."&amp;[0]!CountryCode&amp;".D4REC.S13.MNAC"</f>
        <v>#REF!</v>
      </c>
    </row>
    <row r="338" ht="12">
      <c r="A338" t="e">
        <f>"VAL.EE."&amp;[0]!CountryCode&amp;".D4REC.S13.MNAC"</f>
        <v>#REF!</v>
      </c>
    </row>
    <row r="339" ht="12">
      <c r="A339" t="e">
        <f>"VAL.IE."&amp;[0]!CountryCode&amp;".D4REC.S13.MNAC"</f>
        <v>#REF!</v>
      </c>
    </row>
    <row r="340" ht="12">
      <c r="A340" t="e">
        <f>"VAL.EL."&amp;[0]!CountryCode&amp;".D4REC.S13.MNAC"</f>
        <v>#REF!</v>
      </c>
    </row>
    <row r="341" ht="12">
      <c r="A341" t="e">
        <f>"VAL.ES."&amp;[0]!CountryCode&amp;".D4REC.S13.MNAC"</f>
        <v>#REF!</v>
      </c>
    </row>
    <row r="342" ht="12">
      <c r="A342" t="e">
        <f>"VAL.FR."&amp;[0]!CountryCode&amp;".D4REC.S13.MNAC"</f>
        <v>#REF!</v>
      </c>
    </row>
    <row r="343" ht="12">
      <c r="A343" t="e">
        <f>"VAL.HR."&amp;[0]!CountryCode&amp;".D4REC.S13.MNAC"</f>
        <v>#REF!</v>
      </c>
    </row>
    <row r="344" ht="12">
      <c r="A344" t="e">
        <f>"VAL.IT."&amp;[0]!CountryCode&amp;".D4REC.S13.MNAC"</f>
        <v>#REF!</v>
      </c>
    </row>
    <row r="345" ht="12">
      <c r="A345" t="e">
        <f>"VAL.CY."&amp;[0]!CountryCode&amp;".D4REC.S13.MNAC"</f>
        <v>#REF!</v>
      </c>
    </row>
    <row r="346" ht="12">
      <c r="A346" t="e">
        <f>"VAL.LV."&amp;[0]!CountryCode&amp;".D4REC.S13.MNAC"</f>
        <v>#REF!</v>
      </c>
    </row>
    <row r="347" ht="12">
      <c r="A347" t="e">
        <f>"VAL.LT."&amp;[0]!CountryCode&amp;".D4REC.S13.MNAC"</f>
        <v>#REF!</v>
      </c>
    </row>
    <row r="348" ht="12">
      <c r="A348" t="e">
        <f>"VAL.LU."&amp;[0]!CountryCode&amp;".D4REC.S13.MNAC"</f>
        <v>#REF!</v>
      </c>
    </row>
    <row r="349" ht="12">
      <c r="A349" t="e">
        <f>"VAL.HU."&amp;[0]!CountryCode&amp;".D4REC.S13.MNAC"</f>
        <v>#REF!</v>
      </c>
    </row>
    <row r="350" ht="12">
      <c r="A350" t="e">
        <f>"VAL.MT."&amp;[0]!CountryCode&amp;".D4REC.S13.MNAC"</f>
        <v>#REF!</v>
      </c>
    </row>
    <row r="351" ht="12">
      <c r="A351" t="e">
        <f>"VAL.NL."&amp;[0]!CountryCode&amp;".D4REC.S13.MNAC"</f>
        <v>#REF!</v>
      </c>
    </row>
    <row r="352" ht="12">
      <c r="A352" t="e">
        <f>"VAL.AT."&amp;[0]!CountryCode&amp;".D4REC.S13.MNAC"</f>
        <v>#REF!</v>
      </c>
    </row>
    <row r="353" ht="12">
      <c r="A353" t="e">
        <f>"VAL.PL."&amp;[0]!CountryCode&amp;".D4REC.S13.MNAC"</f>
        <v>#REF!</v>
      </c>
    </row>
    <row r="354" ht="12">
      <c r="A354" t="e">
        <f>"VAL.PT."&amp;[0]!CountryCode&amp;".D4REC.S13.MNAC"</f>
        <v>#REF!</v>
      </c>
    </row>
    <row r="355" ht="12">
      <c r="A355" t="e">
        <f>"VAL.RO."&amp;[0]!CountryCode&amp;".D4REC.S13.MNAC"</f>
        <v>#REF!</v>
      </c>
    </row>
    <row r="356" ht="12">
      <c r="A356" t="e">
        <f>"VAL.SI."&amp;[0]!CountryCode&amp;".D4REC.S13.MNAC"</f>
        <v>#REF!</v>
      </c>
    </row>
    <row r="357" ht="12">
      <c r="A357" t="e">
        <f>"VAL.SK."&amp;[0]!CountryCode&amp;".D4REC.S13.MNAC"</f>
        <v>#REF!</v>
      </c>
    </row>
    <row r="358" ht="12">
      <c r="A358" t="e">
        <f>"VAL.FI."&amp;[0]!CountryCode&amp;".D4REC.S13.MNAC"</f>
        <v>#REF!</v>
      </c>
    </row>
    <row r="359" ht="12">
      <c r="A359" t="e">
        <f>"VAL.SE."&amp;[0]!CountryCode&amp;".D4REC.S13.MNAC"</f>
        <v>#REF!</v>
      </c>
    </row>
    <row r="360" ht="12">
      <c r="A360" t="e">
        <f>"VAL.UK."&amp;[0]!CountryCode&amp;".D4REC.S13.MNAC"</f>
        <v>#REF!</v>
      </c>
    </row>
    <row r="361" ht="12">
      <c r="A361" t="e">
        <f>"VAL.IS."&amp;[0]!CountryCode&amp;".D4REC.S13.MNAC"</f>
        <v>#REF!</v>
      </c>
    </row>
    <row r="362" ht="12">
      <c r="A362" t="e">
        <f>"VAL.NO."&amp;[0]!CountryCode&amp;".D4REC.S13.MNAC"</f>
        <v>#REF!</v>
      </c>
    </row>
    <row r="363" ht="12">
      <c r="A363" t="e">
        <f>"VAL.CH."&amp;[0]!CountryCode&amp;".D4REC.S13.MNAC"</f>
        <v>#REF!</v>
      </c>
    </row>
    <row r="364" ht="12">
      <c r="A364" t="e">
        <f>"VAL.EU28."&amp;[0]!CountryCode&amp;".TR.S13.MNAC"</f>
        <v>#REF!</v>
      </c>
    </row>
    <row r="365" ht="12">
      <c r="A365" t="e">
        <f>"VAL.EA19."&amp;[0]!CountryCode&amp;".TR.S13.MNAC"</f>
        <v>#REF!</v>
      </c>
    </row>
    <row r="366" ht="12">
      <c r="A366" t="e">
        <f>"VAL.BE."&amp;[0]!CountryCode&amp;".TR.S13.MNAC"</f>
        <v>#REF!</v>
      </c>
    </row>
    <row r="367" ht="12">
      <c r="A367" t="e">
        <f>"VAL.BG."&amp;[0]!CountryCode&amp;".TR.S13.MNAC"</f>
        <v>#REF!</v>
      </c>
    </row>
    <row r="368" ht="12">
      <c r="A368" t="e">
        <f>"VAL.CZ."&amp;[0]!CountryCode&amp;".TR.S13.MNAC"</f>
        <v>#REF!</v>
      </c>
    </row>
    <row r="369" ht="12">
      <c r="A369" t="e">
        <f>"VAL.DK."&amp;[0]!CountryCode&amp;".TR.S13.MNAC"</f>
        <v>#REF!</v>
      </c>
    </row>
    <row r="370" ht="12">
      <c r="A370" t="e">
        <f>"VAL.DE."&amp;[0]!CountryCode&amp;".TR.S13.MNAC"</f>
        <v>#REF!</v>
      </c>
    </row>
    <row r="371" ht="12">
      <c r="A371" t="e">
        <f>"VAL.EE."&amp;[0]!CountryCode&amp;".TR.S13.MNAC"</f>
        <v>#REF!</v>
      </c>
    </row>
    <row r="372" ht="12">
      <c r="A372" t="e">
        <f>"VAL.IE."&amp;[0]!CountryCode&amp;".TR.S13.MNAC"</f>
        <v>#REF!</v>
      </c>
    </row>
    <row r="373" ht="12">
      <c r="A373" t="e">
        <f>"VAL.EL."&amp;[0]!CountryCode&amp;".TR.S13.MNAC"</f>
        <v>#REF!</v>
      </c>
    </row>
    <row r="374" ht="12">
      <c r="A374" t="e">
        <f>"VAL.ES."&amp;[0]!CountryCode&amp;".TR.S13.MNAC"</f>
        <v>#REF!</v>
      </c>
    </row>
    <row r="375" ht="12">
      <c r="A375" t="e">
        <f>"VAL.FR."&amp;[0]!CountryCode&amp;".TR.S13.MNAC"</f>
        <v>#REF!</v>
      </c>
    </row>
    <row r="376" ht="12">
      <c r="A376" t="e">
        <f>"VAL.HR."&amp;[0]!CountryCode&amp;".TR.S13.MNAC"</f>
        <v>#REF!</v>
      </c>
    </row>
    <row r="377" ht="12">
      <c r="A377" t="e">
        <f>"VAL.IT."&amp;[0]!CountryCode&amp;".TR.S13.MNAC"</f>
        <v>#REF!</v>
      </c>
    </row>
    <row r="378" ht="12">
      <c r="A378" t="e">
        <f>"VAL.CY."&amp;[0]!CountryCode&amp;".TR.S13.MNAC"</f>
        <v>#REF!</v>
      </c>
    </row>
    <row r="379" ht="12">
      <c r="A379" t="e">
        <f>"VAL.LV."&amp;[0]!CountryCode&amp;".TR.S13.MNAC"</f>
        <v>#REF!</v>
      </c>
    </row>
    <row r="380" ht="12">
      <c r="A380" t="e">
        <f>"VAL.LT."&amp;[0]!CountryCode&amp;".TR.S13.MNAC"</f>
        <v>#REF!</v>
      </c>
    </row>
    <row r="381" ht="12">
      <c r="A381" t="e">
        <f>"VAL.LU."&amp;[0]!CountryCode&amp;".TR.S13.MNAC"</f>
        <v>#REF!</v>
      </c>
    </row>
    <row r="382" ht="12">
      <c r="A382" t="e">
        <f>"VAL.HU."&amp;[0]!CountryCode&amp;".TR.S13.MNAC"</f>
        <v>#REF!</v>
      </c>
    </row>
    <row r="383" ht="12">
      <c r="A383" t="e">
        <f>"VAL.MT."&amp;[0]!CountryCode&amp;".TR.S13.MNAC"</f>
        <v>#REF!</v>
      </c>
    </row>
    <row r="384" ht="12">
      <c r="A384" t="e">
        <f>"VAL.NL."&amp;[0]!CountryCode&amp;".TR.S13.MNAC"</f>
        <v>#REF!</v>
      </c>
    </row>
    <row r="385" ht="12">
      <c r="A385" t="e">
        <f>"VAL.AT."&amp;[0]!CountryCode&amp;".TR.S13.MNAC"</f>
        <v>#REF!</v>
      </c>
    </row>
    <row r="386" ht="12">
      <c r="A386" t="e">
        <f>"VAL.PL."&amp;[0]!CountryCode&amp;".TR.S13.MNAC"</f>
        <v>#REF!</v>
      </c>
    </row>
    <row r="387" ht="12">
      <c r="A387" t="e">
        <f>"VAL.PT."&amp;[0]!CountryCode&amp;".TR.S13.MNAC"</f>
        <v>#REF!</v>
      </c>
    </row>
    <row r="388" ht="12">
      <c r="A388" t="e">
        <f>"VAL.RO."&amp;[0]!CountryCode&amp;".TR.S13.MNAC"</f>
        <v>#REF!</v>
      </c>
    </row>
    <row r="389" ht="12">
      <c r="A389" t="e">
        <f>"VAL.SI."&amp;[0]!CountryCode&amp;".TR.S13.MNAC"</f>
        <v>#REF!</v>
      </c>
    </row>
    <row r="390" ht="12">
      <c r="A390" t="e">
        <f>"VAL.SK."&amp;[0]!CountryCode&amp;".TR.S13.MNAC"</f>
        <v>#REF!</v>
      </c>
    </row>
    <row r="391" ht="12">
      <c r="A391" t="e">
        <f>"VAL.FI."&amp;[0]!CountryCode&amp;".TR.S13.MNAC"</f>
        <v>#REF!</v>
      </c>
    </row>
    <row r="392" ht="12">
      <c r="A392" t="e">
        <f>"VAL.SE."&amp;[0]!CountryCode&amp;".TR.S13.MNAC"</f>
        <v>#REF!</v>
      </c>
    </row>
    <row r="393" ht="12">
      <c r="A393" t="e">
        <f>"VAL.UK."&amp;[0]!CountryCode&amp;".TR.S13.MNAC"</f>
        <v>#REF!</v>
      </c>
    </row>
    <row r="394" ht="12">
      <c r="A394" t="e">
        <f>"VAL.IS."&amp;[0]!CountryCode&amp;".TR.S13.MNAC"</f>
        <v>#REF!</v>
      </c>
    </row>
    <row r="395" ht="12">
      <c r="A395" t="e">
        <f>"VAL.NO."&amp;[0]!CountryCode&amp;".TR.S13.MNAC"</f>
        <v>#REF!</v>
      </c>
    </row>
    <row r="396" ht="12">
      <c r="A396" t="e">
        <f>"VAL.CH."&amp;[0]!CountryCode&amp;".TR.S13.MNAC"</f>
        <v>#REF!</v>
      </c>
    </row>
    <row r="397" ht="12">
      <c r="A397" t="e">
        <f>"VAL.EU28."&amp;[0]!CountryCode&amp;".TR.S13.PC_GDP"</f>
        <v>#REF!</v>
      </c>
    </row>
    <row r="398" ht="12">
      <c r="A398" t="e">
        <f>"VAL.EA19."&amp;[0]!CountryCode&amp;".TR.S13.PC_GDP"</f>
        <v>#REF!</v>
      </c>
    </row>
    <row r="399" ht="12">
      <c r="A399" t="e">
        <f>"VAL.BE."&amp;[0]!CountryCode&amp;".TR.S13.PC_GDP"</f>
        <v>#REF!</v>
      </c>
    </row>
    <row r="400" ht="12">
      <c r="A400" t="e">
        <f>"VAL.BG."&amp;[0]!CountryCode&amp;".TR.S13.PC_GDP"</f>
        <v>#REF!</v>
      </c>
    </row>
    <row r="401" ht="12">
      <c r="A401" t="e">
        <f>"VAL.CZ."&amp;[0]!CountryCode&amp;".TR.S13.PC_GDP"</f>
        <v>#REF!</v>
      </c>
    </row>
    <row r="402" ht="12">
      <c r="A402" t="e">
        <f>"VAL.DK."&amp;[0]!CountryCode&amp;".TR.S13.PC_GDP"</f>
        <v>#REF!</v>
      </c>
    </row>
    <row r="403" ht="12">
      <c r="A403" t="e">
        <f>"VAL.DE."&amp;[0]!CountryCode&amp;".TR.S13.PC_GDP"</f>
        <v>#REF!</v>
      </c>
    </row>
    <row r="404" ht="12">
      <c r="A404" t="e">
        <f>"VAL.EE."&amp;[0]!CountryCode&amp;".TR.S13.PC_GDP"</f>
        <v>#REF!</v>
      </c>
    </row>
    <row r="405" ht="12">
      <c r="A405" t="e">
        <f>"VAL.IE."&amp;[0]!CountryCode&amp;".TR.S13.PC_GDP"</f>
        <v>#REF!</v>
      </c>
    </row>
    <row r="406" ht="12">
      <c r="A406" t="e">
        <f>"VAL.EL."&amp;[0]!CountryCode&amp;".TR.S13.PC_GDP"</f>
        <v>#REF!</v>
      </c>
    </row>
    <row r="407" ht="12">
      <c r="A407" t="e">
        <f>"VAL.ES."&amp;[0]!CountryCode&amp;".TR.S13.PC_GDP"</f>
        <v>#REF!</v>
      </c>
    </row>
    <row r="408" ht="12">
      <c r="A408" t="e">
        <f>"VAL.FR."&amp;[0]!CountryCode&amp;".TR.S13.PC_GDP"</f>
        <v>#REF!</v>
      </c>
    </row>
    <row r="409" ht="12">
      <c r="A409" t="e">
        <f>"VAL.HR."&amp;[0]!CountryCode&amp;".TR.S13.PC_GDP"</f>
        <v>#REF!</v>
      </c>
    </row>
    <row r="410" ht="12">
      <c r="A410" t="e">
        <f>"VAL.IT."&amp;[0]!CountryCode&amp;".TR.S13.PC_GDP"</f>
        <v>#REF!</v>
      </c>
    </row>
    <row r="411" ht="12">
      <c r="A411" t="e">
        <f>"VAL.CY."&amp;[0]!CountryCode&amp;".TR.S13.PC_GDP"</f>
        <v>#REF!</v>
      </c>
    </row>
    <row r="412" ht="12">
      <c r="A412" t="e">
        <f>"VAL.LV."&amp;[0]!CountryCode&amp;".TR.S13.PC_GDP"</f>
        <v>#REF!</v>
      </c>
    </row>
    <row r="413" ht="12">
      <c r="A413" t="e">
        <f>"VAL.LT."&amp;[0]!CountryCode&amp;".TR.S13.PC_GDP"</f>
        <v>#REF!</v>
      </c>
    </row>
    <row r="414" ht="12">
      <c r="A414" t="e">
        <f>"VAL.LU."&amp;[0]!CountryCode&amp;".TR.S13.PC_GDP"</f>
        <v>#REF!</v>
      </c>
    </row>
    <row r="415" ht="12">
      <c r="A415" t="e">
        <f>"VAL.HU."&amp;[0]!CountryCode&amp;".TR.S13.PC_GDP"</f>
        <v>#REF!</v>
      </c>
    </row>
    <row r="416" ht="12">
      <c r="A416" t="e">
        <f>"VAL.MT."&amp;[0]!CountryCode&amp;".TR.S13.PC_GDP"</f>
        <v>#REF!</v>
      </c>
    </row>
    <row r="417" ht="12">
      <c r="A417" t="e">
        <f>"VAL.NL."&amp;[0]!CountryCode&amp;".TR.S13.PC_GDP"</f>
        <v>#REF!</v>
      </c>
    </row>
    <row r="418" ht="12">
      <c r="A418" t="e">
        <f>"VAL.AT."&amp;[0]!CountryCode&amp;".TR.S13.PC_GDP"</f>
        <v>#REF!</v>
      </c>
    </row>
    <row r="419" ht="12">
      <c r="A419" t="e">
        <f>"VAL.PL."&amp;[0]!CountryCode&amp;".TR.S13.PC_GDP"</f>
        <v>#REF!</v>
      </c>
    </row>
    <row r="420" ht="12">
      <c r="A420" t="e">
        <f>"VAL.PT."&amp;[0]!CountryCode&amp;".TR.S13.PC_GDP"</f>
        <v>#REF!</v>
      </c>
    </row>
    <row r="421" ht="12">
      <c r="A421" t="e">
        <f>"VAL.RO."&amp;[0]!CountryCode&amp;".TR.S13.PC_GDP"</f>
        <v>#REF!</v>
      </c>
    </row>
    <row r="422" ht="12">
      <c r="A422" t="e">
        <f>"VAL.SI."&amp;[0]!CountryCode&amp;".TR.S13.PC_GDP"</f>
        <v>#REF!</v>
      </c>
    </row>
    <row r="423" ht="12">
      <c r="A423" t="e">
        <f>"VAL.SK."&amp;[0]!CountryCode&amp;".TR.S13.PC_GDP"</f>
        <v>#REF!</v>
      </c>
    </row>
    <row r="424" ht="12">
      <c r="A424" t="e">
        <f>"VAL.FI."&amp;[0]!CountryCode&amp;".TR.S13.PC_GDP"</f>
        <v>#REF!</v>
      </c>
    </row>
    <row r="425" ht="12">
      <c r="A425" t="e">
        <f>"VAL.SE."&amp;[0]!CountryCode&amp;".TR.S13.PC_GDP"</f>
        <v>#REF!</v>
      </c>
    </row>
    <row r="426" ht="12">
      <c r="A426" t="e">
        <f>"VAL.UK."&amp;[0]!CountryCode&amp;".TR.S13.PC_GDP"</f>
        <v>#REF!</v>
      </c>
    </row>
    <row r="427" ht="12">
      <c r="A427" t="e">
        <f>"VAL.IS."&amp;[0]!CountryCode&amp;".TR.S13.PC_GDP"</f>
        <v>#REF!</v>
      </c>
    </row>
    <row r="428" ht="12">
      <c r="A428" t="e">
        <f>"VAL.NO."&amp;[0]!CountryCode&amp;".TR.S13.PC_GDP"</f>
        <v>#REF!</v>
      </c>
    </row>
    <row r="429" ht="12">
      <c r="A429" t="e">
        <f>"VAL.CH."&amp;[0]!CountryCode&amp;".TR.S13.PC_GDP"</f>
        <v>#REF!</v>
      </c>
    </row>
    <row r="430" ht="12">
      <c r="A430" t="e">
        <f>"VAL.EU28."&amp;[0]!CountryCode&amp;".D5REC.S13.PC_GDP"</f>
        <v>#REF!</v>
      </c>
    </row>
    <row r="431" ht="12">
      <c r="A431" t="e">
        <f>"VAL.EA19."&amp;[0]!CountryCode&amp;".D5REC.S13.PC_GDP"</f>
        <v>#REF!</v>
      </c>
    </row>
    <row r="432" ht="12">
      <c r="A432" t="e">
        <f>"VAL.BE."&amp;[0]!CountryCode&amp;".D5REC.S13.PC_GDP"</f>
        <v>#REF!</v>
      </c>
    </row>
    <row r="433" ht="12">
      <c r="A433" t="e">
        <f>"VAL.BG."&amp;[0]!CountryCode&amp;".D5REC.S13.PC_GDP"</f>
        <v>#REF!</v>
      </c>
    </row>
    <row r="434" ht="12">
      <c r="A434" t="e">
        <f>"VAL.CZ."&amp;[0]!CountryCode&amp;".D5REC.S13.PC_GDP"</f>
        <v>#REF!</v>
      </c>
    </row>
    <row r="435" ht="12">
      <c r="A435" t="e">
        <f>"VAL.DK."&amp;[0]!CountryCode&amp;".D5REC.S13.PC_GDP"</f>
        <v>#REF!</v>
      </c>
    </row>
    <row r="436" ht="12">
      <c r="A436" t="e">
        <f>"VAL.DE."&amp;[0]!CountryCode&amp;".D5REC.S13.PC_GDP"</f>
        <v>#REF!</v>
      </c>
    </row>
    <row r="437" ht="12">
      <c r="A437" t="e">
        <f>"VAL.EE."&amp;[0]!CountryCode&amp;".D5REC.S13.PC_GDP"</f>
        <v>#REF!</v>
      </c>
    </row>
    <row r="438" ht="12">
      <c r="A438" t="e">
        <f>"VAL.IE."&amp;[0]!CountryCode&amp;".D5REC.S13.PC_GDP"</f>
        <v>#REF!</v>
      </c>
    </row>
    <row r="439" ht="12">
      <c r="A439" t="e">
        <f>"VAL.EL."&amp;[0]!CountryCode&amp;".D5REC.S13.PC_GDP"</f>
        <v>#REF!</v>
      </c>
    </row>
    <row r="440" ht="12">
      <c r="A440" t="e">
        <f>"VAL.ES."&amp;[0]!CountryCode&amp;".D5REC.S13.PC_GDP"</f>
        <v>#REF!</v>
      </c>
    </row>
    <row r="441" ht="12">
      <c r="A441" t="e">
        <f>"VAL.FR."&amp;[0]!CountryCode&amp;".D5REC.S13.PC_GDP"</f>
        <v>#REF!</v>
      </c>
    </row>
    <row r="442" ht="12">
      <c r="A442" t="e">
        <f>"VAL.HR."&amp;[0]!CountryCode&amp;".D5REC.S13.PC_GDP"</f>
        <v>#REF!</v>
      </c>
    </row>
    <row r="443" ht="12">
      <c r="A443" t="e">
        <f>"VAL.IT."&amp;[0]!CountryCode&amp;".D5REC.S13.PC_GDP"</f>
        <v>#REF!</v>
      </c>
    </row>
    <row r="444" ht="12">
      <c r="A444" t="e">
        <f>"VAL.CY."&amp;[0]!CountryCode&amp;".D5REC.S13.PC_GDP"</f>
        <v>#REF!</v>
      </c>
    </row>
    <row r="445" ht="12">
      <c r="A445" t="e">
        <f>"VAL.LV."&amp;[0]!CountryCode&amp;".D5REC.S13.PC_GDP"</f>
        <v>#REF!</v>
      </c>
    </row>
    <row r="446" ht="12">
      <c r="A446" t="e">
        <f>"VAL.LT."&amp;[0]!CountryCode&amp;".D5REC.S13.PC_GDP"</f>
        <v>#REF!</v>
      </c>
    </row>
    <row r="447" ht="12">
      <c r="A447" t="e">
        <f>"VAL.LU."&amp;[0]!CountryCode&amp;".D5REC.S13.PC_GDP"</f>
        <v>#REF!</v>
      </c>
    </row>
    <row r="448" ht="12">
      <c r="A448" t="e">
        <f>"VAL.HU."&amp;[0]!CountryCode&amp;".D5REC.S13.PC_GDP"</f>
        <v>#REF!</v>
      </c>
    </row>
    <row r="449" ht="12">
      <c r="A449" t="e">
        <f>"VAL.MT."&amp;[0]!CountryCode&amp;".D5REC.S13.PC_GDP"</f>
        <v>#REF!</v>
      </c>
    </row>
    <row r="450" ht="12">
      <c r="A450" t="e">
        <f>"VAL.NL."&amp;[0]!CountryCode&amp;".D5REC.S13.PC_GDP"</f>
        <v>#REF!</v>
      </c>
    </row>
    <row r="451" ht="12">
      <c r="A451" t="e">
        <f>"VAL.AT."&amp;[0]!CountryCode&amp;".D5REC.S13.PC_GDP"</f>
        <v>#REF!</v>
      </c>
    </row>
    <row r="452" ht="12">
      <c r="A452" t="e">
        <f>"VAL.PL."&amp;[0]!CountryCode&amp;".D5REC.S13.PC_GDP"</f>
        <v>#REF!</v>
      </c>
    </row>
    <row r="453" ht="12">
      <c r="A453" t="e">
        <f>"VAL.PT."&amp;[0]!CountryCode&amp;".D5REC.S13.PC_GDP"</f>
        <v>#REF!</v>
      </c>
    </row>
    <row r="454" ht="12">
      <c r="A454" t="e">
        <f>"VAL.RO."&amp;[0]!CountryCode&amp;".D5REC.S13.PC_GDP"</f>
        <v>#REF!</v>
      </c>
    </row>
    <row r="455" ht="12">
      <c r="A455" t="e">
        <f>"VAL.SI."&amp;[0]!CountryCode&amp;".D5REC.S13.PC_GDP"</f>
        <v>#REF!</v>
      </c>
    </row>
    <row r="456" ht="12">
      <c r="A456" t="e">
        <f>"VAL.SK."&amp;[0]!CountryCode&amp;".D5REC.S13.PC_GDP"</f>
        <v>#REF!</v>
      </c>
    </row>
    <row r="457" ht="12">
      <c r="A457" t="e">
        <f>"VAL.FI."&amp;[0]!CountryCode&amp;".D5REC.S13.PC_GDP"</f>
        <v>#REF!</v>
      </c>
    </row>
    <row r="458" ht="12">
      <c r="A458" t="e">
        <f>"VAL.SE."&amp;[0]!CountryCode&amp;".D5REC.S13.PC_GDP"</f>
        <v>#REF!</v>
      </c>
    </row>
    <row r="459" ht="12">
      <c r="A459" t="e">
        <f>"VAL.UK."&amp;[0]!CountryCode&amp;".D5REC.S13.PC_GDP"</f>
        <v>#REF!</v>
      </c>
    </row>
    <row r="460" ht="12">
      <c r="A460" t="e">
        <f>"VAL.IS."&amp;[0]!CountryCode&amp;".D5REC.S13.PC_GDP"</f>
        <v>#REF!</v>
      </c>
    </row>
    <row r="461" ht="12">
      <c r="A461" t="e">
        <f>"VAL.NO."&amp;[0]!CountryCode&amp;".D5REC.S13.PC_GDP"</f>
        <v>#REF!</v>
      </c>
    </row>
    <row r="462" ht="12">
      <c r="A462" t="e">
        <f>"VAL.CH."&amp;[0]!CountryCode&amp;".D5REC.S13.PC_GDP"</f>
        <v>#REF!</v>
      </c>
    </row>
    <row r="463" ht="12">
      <c r="A463" t="e">
        <f>"VAL.EU28."&amp;[0]!CountryCode&amp;".D61REC.S13.PC_GDP"</f>
        <v>#REF!</v>
      </c>
    </row>
    <row r="464" ht="12">
      <c r="A464" t="e">
        <f>"VAL.EA19."&amp;[0]!CountryCode&amp;".D61REC.S13.PC_GDP"</f>
        <v>#REF!</v>
      </c>
    </row>
    <row r="465" ht="12">
      <c r="A465" t="e">
        <f>"VAL.BE."&amp;[0]!CountryCode&amp;".D61REC.S13.PC_GDP"</f>
        <v>#REF!</v>
      </c>
    </row>
    <row r="466" ht="12">
      <c r="A466" t="e">
        <f>"VAL.BG."&amp;[0]!CountryCode&amp;".D61REC.S13.PC_GDP"</f>
        <v>#REF!</v>
      </c>
    </row>
    <row r="467" ht="12">
      <c r="A467" t="e">
        <f>"VAL.CZ."&amp;[0]!CountryCode&amp;".D61REC.S13.PC_GDP"</f>
        <v>#REF!</v>
      </c>
    </row>
    <row r="468" ht="12">
      <c r="A468" t="e">
        <f>"VAL.DK."&amp;[0]!CountryCode&amp;".D61REC.S13.PC_GDP"</f>
        <v>#REF!</v>
      </c>
    </row>
    <row r="469" ht="12">
      <c r="A469" t="e">
        <f>"VAL.DE."&amp;[0]!CountryCode&amp;".D61REC.S13.PC_GDP"</f>
        <v>#REF!</v>
      </c>
    </row>
    <row r="470" ht="12">
      <c r="A470" t="e">
        <f>"VAL.EE."&amp;[0]!CountryCode&amp;".D61REC.S13.PC_GDP"</f>
        <v>#REF!</v>
      </c>
    </row>
    <row r="471" ht="12">
      <c r="A471" t="e">
        <f>"VAL.IE."&amp;[0]!CountryCode&amp;".D61REC.S13.PC_GDP"</f>
        <v>#REF!</v>
      </c>
    </row>
    <row r="472" ht="12">
      <c r="A472" t="e">
        <f>"VAL.EL."&amp;[0]!CountryCode&amp;".D61REC.S13.PC_GDP"</f>
        <v>#REF!</v>
      </c>
    </row>
    <row r="473" ht="12">
      <c r="A473" t="e">
        <f>"VAL.ES."&amp;[0]!CountryCode&amp;".D61REC.S13.PC_GDP"</f>
        <v>#REF!</v>
      </c>
    </row>
    <row r="474" ht="12">
      <c r="A474" t="e">
        <f>"VAL.FR."&amp;[0]!CountryCode&amp;".D61REC.S13.PC_GDP"</f>
        <v>#REF!</v>
      </c>
    </row>
    <row r="475" ht="12">
      <c r="A475" t="e">
        <f>"VAL.HR."&amp;[0]!CountryCode&amp;".D61REC.S13.PC_GDP"</f>
        <v>#REF!</v>
      </c>
    </row>
    <row r="476" ht="12">
      <c r="A476" t="e">
        <f>"VAL.IT."&amp;[0]!CountryCode&amp;".D61REC.S13.PC_GDP"</f>
        <v>#REF!</v>
      </c>
    </row>
    <row r="477" ht="12">
      <c r="A477" t="e">
        <f>"VAL.CY."&amp;[0]!CountryCode&amp;".D61REC.S13.PC_GDP"</f>
        <v>#REF!</v>
      </c>
    </row>
    <row r="478" ht="12">
      <c r="A478" t="e">
        <f>"VAL.LV."&amp;[0]!CountryCode&amp;".D61REC.S13.PC_GDP"</f>
        <v>#REF!</v>
      </c>
    </row>
    <row r="479" ht="12">
      <c r="A479" t="e">
        <f>"VAL.LT."&amp;[0]!CountryCode&amp;".D61REC.S13.PC_GDP"</f>
        <v>#REF!</v>
      </c>
    </row>
    <row r="480" ht="12">
      <c r="A480" t="e">
        <f>"VAL.LU."&amp;[0]!CountryCode&amp;".D61REC.S13.PC_GDP"</f>
        <v>#REF!</v>
      </c>
    </row>
    <row r="481" ht="12">
      <c r="A481" t="e">
        <f>"VAL.HU."&amp;[0]!CountryCode&amp;".D61REC.S13.PC_GDP"</f>
        <v>#REF!</v>
      </c>
    </row>
    <row r="482" ht="12">
      <c r="A482" t="e">
        <f>"VAL.MT."&amp;[0]!CountryCode&amp;".D61REC.S13.PC_GDP"</f>
        <v>#REF!</v>
      </c>
    </row>
    <row r="483" ht="12">
      <c r="A483" t="e">
        <f>"VAL.NL."&amp;[0]!CountryCode&amp;".D61REC.S13.PC_GDP"</f>
        <v>#REF!</v>
      </c>
    </row>
    <row r="484" ht="12">
      <c r="A484" t="e">
        <f>"VAL.AT."&amp;[0]!CountryCode&amp;".D61REC.S13.PC_GDP"</f>
        <v>#REF!</v>
      </c>
    </row>
    <row r="485" ht="12">
      <c r="A485" t="e">
        <f>"VAL.PL."&amp;[0]!CountryCode&amp;".D61REC.S13.PC_GDP"</f>
        <v>#REF!</v>
      </c>
    </row>
    <row r="486" ht="12">
      <c r="A486" t="e">
        <f>"VAL.PT."&amp;[0]!CountryCode&amp;".D61REC.S13.PC_GDP"</f>
        <v>#REF!</v>
      </c>
    </row>
    <row r="487" ht="12">
      <c r="A487" t="e">
        <f>"VAL.RO."&amp;[0]!CountryCode&amp;".D61REC.S13.PC_GDP"</f>
        <v>#REF!</v>
      </c>
    </row>
    <row r="488" ht="12">
      <c r="A488" t="e">
        <f>"VAL.SI."&amp;[0]!CountryCode&amp;".D61REC.S13.PC_GDP"</f>
        <v>#REF!</v>
      </c>
    </row>
    <row r="489" ht="12">
      <c r="A489" t="e">
        <f>"VAL.SK."&amp;[0]!CountryCode&amp;".D61REC.S13.PC_GDP"</f>
        <v>#REF!</v>
      </c>
    </row>
    <row r="490" ht="12">
      <c r="A490" t="e">
        <f>"VAL.FI."&amp;[0]!CountryCode&amp;".D61REC.S13.PC_GDP"</f>
        <v>#REF!</v>
      </c>
    </row>
    <row r="491" ht="12">
      <c r="A491" t="e">
        <f>"VAL.SE."&amp;[0]!CountryCode&amp;".D61REC.S13.PC_GDP"</f>
        <v>#REF!</v>
      </c>
    </row>
    <row r="492" ht="12">
      <c r="A492" t="e">
        <f>"VAL.UK."&amp;[0]!CountryCode&amp;".D61REC.S13.PC_GDP"</f>
        <v>#REF!</v>
      </c>
    </row>
    <row r="493" ht="12">
      <c r="A493" t="e">
        <f>"VAL.IS."&amp;[0]!CountryCode&amp;".D61REC.S13.PC_GDP"</f>
        <v>#REF!</v>
      </c>
    </row>
    <row r="494" ht="12">
      <c r="A494" t="e">
        <f>"VAL.NO."&amp;[0]!CountryCode&amp;".D61REC.S13.PC_GDP"</f>
        <v>#REF!</v>
      </c>
    </row>
    <row r="495" ht="12">
      <c r="A495" t="e">
        <f>"VAL.CH."&amp;[0]!CountryCode&amp;".D61REC.S13.PC_GDP"</f>
        <v>#REF!</v>
      </c>
    </row>
    <row r="496" ht="12">
      <c r="A496" t="e">
        <f>"VAL.EU28."&amp;[0]!CountryCode&amp;".D62_D632PAY.S13.MNAC"</f>
        <v>#REF!</v>
      </c>
    </row>
    <row r="497" ht="12">
      <c r="A497" t="e">
        <f>"VAL.EA19."&amp;[0]!CountryCode&amp;".D62_D632PAY.S13.MNAC"</f>
        <v>#REF!</v>
      </c>
    </row>
    <row r="498" ht="12">
      <c r="A498" t="e">
        <f>"VAL.BE."&amp;[0]!CountryCode&amp;".D62_D632PAY.S13.MNAC"</f>
        <v>#REF!</v>
      </c>
    </row>
    <row r="499" ht="12">
      <c r="A499" t="e">
        <f>"VAL.BG."&amp;[0]!CountryCode&amp;".D62_D632PAY.S13.MNAC"</f>
        <v>#REF!</v>
      </c>
    </row>
    <row r="500" ht="12">
      <c r="A500" t="e">
        <f>"VAL.CZ."&amp;[0]!CountryCode&amp;".D62_D632PAY.S13.MNAC"</f>
        <v>#REF!</v>
      </c>
    </row>
    <row r="501" ht="12">
      <c r="A501" t="e">
        <f>"VAL.DK."&amp;[0]!CountryCode&amp;".D62_D632PAY.S13.MNAC"</f>
        <v>#REF!</v>
      </c>
    </row>
    <row r="502" ht="12">
      <c r="A502" t="e">
        <f>"VAL.DE."&amp;[0]!CountryCode&amp;".D62_D632PAY.S13.MNAC"</f>
        <v>#REF!</v>
      </c>
    </row>
    <row r="503" ht="12">
      <c r="A503" t="e">
        <f>"VAL.EE."&amp;[0]!CountryCode&amp;".D62_D632PAY.S13.MNAC"</f>
        <v>#REF!</v>
      </c>
    </row>
    <row r="504" ht="12">
      <c r="A504" t="e">
        <f>"VAL.IE."&amp;[0]!CountryCode&amp;".D62_D632PAY.S13.MNAC"</f>
        <v>#REF!</v>
      </c>
    </row>
    <row r="505" ht="12">
      <c r="A505" t="e">
        <f>"VAL.EL."&amp;[0]!CountryCode&amp;".D62_D632PAY.S13.MNAC"</f>
        <v>#REF!</v>
      </c>
    </row>
    <row r="506" ht="12">
      <c r="A506" t="e">
        <f>"VAL.ES."&amp;[0]!CountryCode&amp;".D62_D632PAY.S13.MNAC"</f>
        <v>#REF!</v>
      </c>
    </row>
    <row r="507" ht="12">
      <c r="A507" t="e">
        <f>"VAL.FR."&amp;[0]!CountryCode&amp;".D62_D632PAY.S13.MNAC"</f>
        <v>#REF!</v>
      </c>
    </row>
    <row r="508" ht="12">
      <c r="A508" t="e">
        <f>"VAL.HR."&amp;[0]!CountryCode&amp;".D62_D632PAY.S13.MNAC"</f>
        <v>#REF!</v>
      </c>
    </row>
    <row r="509" ht="12">
      <c r="A509" t="e">
        <f>"VAL.IT."&amp;[0]!CountryCode&amp;".D62_D632PAY.S13.MNAC"</f>
        <v>#REF!</v>
      </c>
    </row>
    <row r="510" ht="12">
      <c r="A510" t="e">
        <f>"VAL.CY."&amp;[0]!CountryCode&amp;".D62_D632PAY.S13.MNAC"</f>
        <v>#REF!</v>
      </c>
    </row>
    <row r="511" ht="12">
      <c r="A511" t="e">
        <f>"VAL.LV."&amp;[0]!CountryCode&amp;".D62_D632PAY.S13.MNAC"</f>
        <v>#REF!</v>
      </c>
    </row>
    <row r="512" ht="12">
      <c r="A512" t="e">
        <f>"VAL.LT."&amp;[0]!CountryCode&amp;".D62_D632PAY.S13.MNAC"</f>
        <v>#REF!</v>
      </c>
    </row>
    <row r="513" ht="12">
      <c r="A513" t="e">
        <f>"VAL.LU."&amp;[0]!CountryCode&amp;".D62_D632PAY.S13.MNAC"</f>
        <v>#REF!</v>
      </c>
    </row>
    <row r="514" ht="12">
      <c r="A514" t="e">
        <f>"VAL.HU."&amp;[0]!CountryCode&amp;".D62_D632PAY.S13.MNAC"</f>
        <v>#REF!</v>
      </c>
    </row>
    <row r="515" ht="12">
      <c r="A515" t="e">
        <f>"VAL.MT."&amp;[0]!CountryCode&amp;".D62_D632PAY.S13.MNAC"</f>
        <v>#REF!</v>
      </c>
    </row>
    <row r="516" ht="12">
      <c r="A516" t="e">
        <f>"VAL.NL."&amp;[0]!CountryCode&amp;".D62_D632PAY.S13.MNAC"</f>
        <v>#REF!</v>
      </c>
    </row>
    <row r="517" ht="12">
      <c r="A517" t="e">
        <f>"VAL.AT."&amp;[0]!CountryCode&amp;".D62_D632PAY.S13.MNAC"</f>
        <v>#REF!</v>
      </c>
    </row>
    <row r="518" ht="12">
      <c r="A518" t="e">
        <f>"VAL.PL."&amp;[0]!CountryCode&amp;".D62_D632PAY.S13.MNAC"</f>
        <v>#REF!</v>
      </c>
    </row>
    <row r="519" ht="12">
      <c r="A519" t="e">
        <f>"VAL.PT."&amp;[0]!CountryCode&amp;".D62_D632PAY.S13.MNAC"</f>
        <v>#REF!</v>
      </c>
    </row>
    <row r="520" ht="12">
      <c r="A520" t="e">
        <f>"VAL.RO."&amp;[0]!CountryCode&amp;".D62_D632PAY.S13.MNAC"</f>
        <v>#REF!</v>
      </c>
    </row>
    <row r="521" ht="12">
      <c r="A521" t="e">
        <f>"VAL.SI."&amp;[0]!CountryCode&amp;".D62_D632PAY.S13.MNAC"</f>
        <v>#REF!</v>
      </c>
    </row>
    <row r="522" ht="12">
      <c r="A522" t="e">
        <f>"VAL.SK."&amp;[0]!CountryCode&amp;".D62_D632PAY.S13.MNAC"</f>
        <v>#REF!</v>
      </c>
    </row>
    <row r="523" ht="12">
      <c r="A523" t="e">
        <f>"VAL.FI."&amp;[0]!CountryCode&amp;".D62_D632PAY.S13.MNAC"</f>
        <v>#REF!</v>
      </c>
    </row>
    <row r="524" ht="12">
      <c r="A524" t="e">
        <f>"VAL.SE."&amp;[0]!CountryCode&amp;".D62_D632PAY.S13.MNAC"</f>
        <v>#REF!</v>
      </c>
    </row>
    <row r="525" ht="12">
      <c r="A525" t="e">
        <f>"VAL.UK."&amp;[0]!CountryCode&amp;".D62_D632PAY.S13.MNAC"</f>
        <v>#REF!</v>
      </c>
    </row>
    <row r="526" ht="12">
      <c r="A526" t="e">
        <f>"VAL.IS."&amp;[0]!CountryCode&amp;".D62_D632PAY.S13.MNAC"</f>
        <v>#REF!</v>
      </c>
    </row>
    <row r="527" ht="12">
      <c r="A527" t="e">
        <f>"VAL.NO."&amp;[0]!CountryCode&amp;".D62_D632PAY.S13.MNAC"</f>
        <v>#REF!</v>
      </c>
    </row>
    <row r="528" ht="12">
      <c r="A528" t="e">
        <f>"VAL.CH."&amp;[0]!CountryCode&amp;".D62_D632PAY.S13.MNAC"</f>
        <v>#REF!</v>
      </c>
    </row>
    <row r="529" ht="12">
      <c r="A529" t="e">
        <f>"VAL.EU28."&amp;[0]!CountryCode&amp;".D1PAY.S13.MNAC"</f>
        <v>#REF!</v>
      </c>
    </row>
    <row r="530" ht="12">
      <c r="A530" t="e">
        <f>"VAL.EA19."&amp;[0]!CountryCode&amp;".D1PAY.S13.MNAC"</f>
        <v>#REF!</v>
      </c>
    </row>
    <row r="531" ht="12">
      <c r="A531" t="e">
        <f>"VAL.BE."&amp;[0]!CountryCode&amp;".D1PAY.S13.MNAC"</f>
        <v>#REF!</v>
      </c>
    </row>
    <row r="532" ht="12">
      <c r="A532" t="e">
        <f>"VAL.BG."&amp;[0]!CountryCode&amp;".D1PAY.S13.MNAC"</f>
        <v>#REF!</v>
      </c>
    </row>
    <row r="533" ht="12">
      <c r="A533" t="e">
        <f>"VAL.CZ."&amp;[0]!CountryCode&amp;".D1PAY.S13.MNAC"</f>
        <v>#REF!</v>
      </c>
    </row>
    <row r="534" ht="12">
      <c r="A534" t="e">
        <f>"VAL.DK."&amp;[0]!CountryCode&amp;".D1PAY.S13.MNAC"</f>
        <v>#REF!</v>
      </c>
    </row>
    <row r="535" ht="12">
      <c r="A535" t="e">
        <f>"VAL.DE."&amp;[0]!CountryCode&amp;".D1PAY.S13.MNAC"</f>
        <v>#REF!</v>
      </c>
    </row>
    <row r="536" ht="12">
      <c r="A536" t="e">
        <f>"VAL.EE."&amp;[0]!CountryCode&amp;".D1PAY.S13.MNAC"</f>
        <v>#REF!</v>
      </c>
    </row>
    <row r="537" ht="12">
      <c r="A537" t="e">
        <f>"VAL.IE."&amp;[0]!CountryCode&amp;".D1PAY.S13.MNAC"</f>
        <v>#REF!</v>
      </c>
    </row>
    <row r="538" ht="12">
      <c r="A538" t="e">
        <f>"VAL.EL."&amp;[0]!CountryCode&amp;".D1PAY.S13.MNAC"</f>
        <v>#REF!</v>
      </c>
    </row>
    <row r="539" ht="12">
      <c r="A539" t="e">
        <f>"VAL.ES."&amp;[0]!CountryCode&amp;".D1PAY.S13.MNAC"</f>
        <v>#REF!</v>
      </c>
    </row>
    <row r="540" ht="12">
      <c r="A540" t="e">
        <f>"VAL.FR."&amp;[0]!CountryCode&amp;".D1PAY.S13.MNAC"</f>
        <v>#REF!</v>
      </c>
    </row>
    <row r="541" ht="12">
      <c r="A541" t="e">
        <f>"VAL.HR."&amp;[0]!CountryCode&amp;".D1PAY.S13.MNAC"</f>
        <v>#REF!</v>
      </c>
    </row>
    <row r="542" ht="12">
      <c r="A542" t="e">
        <f>"VAL.IT."&amp;[0]!CountryCode&amp;".D1PAY.S13.MNAC"</f>
        <v>#REF!</v>
      </c>
    </row>
    <row r="543" ht="12">
      <c r="A543" t="e">
        <f>"VAL.CY."&amp;[0]!CountryCode&amp;".D1PAY.S13.MNAC"</f>
        <v>#REF!</v>
      </c>
    </row>
    <row r="544" ht="12">
      <c r="A544" t="e">
        <f>"VAL.LV."&amp;[0]!CountryCode&amp;".D1PAY.S13.MNAC"</f>
        <v>#REF!</v>
      </c>
    </row>
    <row r="545" ht="12">
      <c r="A545" t="e">
        <f>"VAL.LT."&amp;[0]!CountryCode&amp;".D1PAY.S13.MNAC"</f>
        <v>#REF!</v>
      </c>
    </row>
    <row r="546" ht="12">
      <c r="A546" t="e">
        <f>"VAL.LU."&amp;[0]!CountryCode&amp;".D1PAY.S13.MNAC"</f>
        <v>#REF!</v>
      </c>
    </row>
    <row r="547" ht="12">
      <c r="A547" t="e">
        <f>"VAL.HU."&amp;[0]!CountryCode&amp;".D1PAY.S13.MNAC"</f>
        <v>#REF!</v>
      </c>
    </row>
    <row r="548" ht="12">
      <c r="A548" t="e">
        <f>"VAL.MT."&amp;[0]!CountryCode&amp;".D1PAY.S13.MNAC"</f>
        <v>#REF!</v>
      </c>
    </row>
    <row r="549" ht="12">
      <c r="A549" t="e">
        <f>"VAL.NL."&amp;[0]!CountryCode&amp;".D1PAY.S13.MNAC"</f>
        <v>#REF!</v>
      </c>
    </row>
    <row r="550" ht="12">
      <c r="A550" t="e">
        <f>"VAL.AT."&amp;[0]!CountryCode&amp;".D1PAY.S13.MNAC"</f>
        <v>#REF!</v>
      </c>
    </row>
    <row r="551" ht="12">
      <c r="A551" t="e">
        <f>"VAL.PL."&amp;[0]!CountryCode&amp;".D1PAY.S13.MNAC"</f>
        <v>#REF!</v>
      </c>
    </row>
    <row r="552" ht="12">
      <c r="A552" t="e">
        <f>"VAL.PT."&amp;[0]!CountryCode&amp;".D1PAY.S13.MNAC"</f>
        <v>#REF!</v>
      </c>
    </row>
    <row r="553" ht="12">
      <c r="A553" t="e">
        <f>"VAL.RO."&amp;[0]!CountryCode&amp;".D1PAY.S13.MNAC"</f>
        <v>#REF!</v>
      </c>
    </row>
    <row r="554" ht="12">
      <c r="A554" t="e">
        <f>"VAL.SI."&amp;[0]!CountryCode&amp;".D1PAY.S13.MNAC"</f>
        <v>#REF!</v>
      </c>
    </row>
    <row r="555" ht="12">
      <c r="A555" t="e">
        <f>"VAL.SK."&amp;[0]!CountryCode&amp;".D1PAY.S13.MNAC"</f>
        <v>#REF!</v>
      </c>
    </row>
    <row r="556" ht="12">
      <c r="A556" t="e">
        <f>"VAL.FI."&amp;[0]!CountryCode&amp;".D1PAY.S13.MNAC"</f>
        <v>#REF!</v>
      </c>
    </row>
    <row r="557" ht="12">
      <c r="A557" t="e">
        <f>"VAL.SE."&amp;[0]!CountryCode&amp;".D1PAY.S13.MNAC"</f>
        <v>#REF!</v>
      </c>
    </row>
    <row r="558" ht="12">
      <c r="A558" t="e">
        <f>"VAL.UK."&amp;[0]!CountryCode&amp;".D1PAY.S13.MNAC"</f>
        <v>#REF!</v>
      </c>
    </row>
    <row r="559" ht="12">
      <c r="A559" t="e">
        <f>"VAL.IS."&amp;[0]!CountryCode&amp;".D1PAY.S13.MNAC"</f>
        <v>#REF!</v>
      </c>
    </row>
    <row r="560" ht="12">
      <c r="A560" t="e">
        <f>"VAL.NO."&amp;[0]!CountryCode&amp;".D1PAY.S13.MNAC"</f>
        <v>#REF!</v>
      </c>
    </row>
    <row r="561" ht="12">
      <c r="A561" t="e">
        <f>"VAL.CH."&amp;[0]!CountryCode&amp;".D1PAY.S13.MNAC"</f>
        <v>#REF!</v>
      </c>
    </row>
    <row r="562" ht="12">
      <c r="A562" t="e">
        <f>"VAL.EU28."&amp;[0]!CountryCode&amp;".P2.S13.MNAC"</f>
        <v>#REF!</v>
      </c>
    </row>
    <row r="563" ht="12">
      <c r="A563" t="e">
        <f>"VAL.EA19."&amp;[0]!CountryCode&amp;".P2.S13.MNAC"</f>
        <v>#REF!</v>
      </c>
    </row>
    <row r="564" ht="12">
      <c r="A564" t="e">
        <f>"VAL.BE."&amp;[0]!CountryCode&amp;".P2.S13.MNAC"</f>
        <v>#REF!</v>
      </c>
    </row>
    <row r="565" ht="12">
      <c r="A565" t="e">
        <f>"VAL.BG."&amp;[0]!CountryCode&amp;".P2.S13.MNAC"</f>
        <v>#REF!</v>
      </c>
    </row>
    <row r="566" ht="12">
      <c r="A566" t="e">
        <f>"VAL.CZ."&amp;[0]!CountryCode&amp;".P2.S13.MNAC"</f>
        <v>#REF!</v>
      </c>
    </row>
    <row r="567" ht="12">
      <c r="A567" t="e">
        <f>"VAL.DK."&amp;[0]!CountryCode&amp;".P2.S13.MNAC"</f>
        <v>#REF!</v>
      </c>
    </row>
    <row r="568" ht="12">
      <c r="A568" t="e">
        <f>"VAL.DE."&amp;[0]!CountryCode&amp;".P2.S13.MNAC"</f>
        <v>#REF!</v>
      </c>
    </row>
    <row r="569" ht="12">
      <c r="A569" t="e">
        <f>"VAL.EE."&amp;[0]!CountryCode&amp;".P2.S13.MNAC"</f>
        <v>#REF!</v>
      </c>
    </row>
    <row r="570" ht="12">
      <c r="A570" t="e">
        <f>"VAL.IE."&amp;[0]!CountryCode&amp;".P2.S13.MNAC"</f>
        <v>#REF!</v>
      </c>
    </row>
    <row r="571" ht="12">
      <c r="A571" t="e">
        <f>"VAL.EL."&amp;[0]!CountryCode&amp;".P2.S13.MNAC"</f>
        <v>#REF!</v>
      </c>
    </row>
    <row r="572" ht="12">
      <c r="A572" t="e">
        <f>"VAL.ES."&amp;[0]!CountryCode&amp;".P2.S13.MNAC"</f>
        <v>#REF!</v>
      </c>
    </row>
    <row r="573" ht="12">
      <c r="A573" t="e">
        <f>"VAL.FR."&amp;[0]!CountryCode&amp;".P2.S13.MNAC"</f>
        <v>#REF!</v>
      </c>
    </row>
    <row r="574" ht="12">
      <c r="A574" t="e">
        <f>"VAL.HR."&amp;[0]!CountryCode&amp;".P2.S13.MNAC"</f>
        <v>#REF!</v>
      </c>
    </row>
    <row r="575" ht="12">
      <c r="A575" t="e">
        <f>"VAL.IT."&amp;[0]!CountryCode&amp;".P2.S13.MNAC"</f>
        <v>#REF!</v>
      </c>
    </row>
    <row r="576" ht="12">
      <c r="A576" t="e">
        <f>"VAL.CY."&amp;[0]!CountryCode&amp;".P2.S13.MNAC"</f>
        <v>#REF!</v>
      </c>
    </row>
    <row r="577" ht="12">
      <c r="A577" t="e">
        <f>"VAL.LV."&amp;[0]!CountryCode&amp;".P2.S13.MNAC"</f>
        <v>#REF!</v>
      </c>
    </row>
    <row r="578" ht="12">
      <c r="A578" t="e">
        <f>"VAL.LT."&amp;[0]!CountryCode&amp;".P2.S13.MNAC"</f>
        <v>#REF!</v>
      </c>
    </row>
    <row r="579" ht="12">
      <c r="A579" t="e">
        <f>"VAL.LU."&amp;[0]!CountryCode&amp;".P2.S13.MNAC"</f>
        <v>#REF!</v>
      </c>
    </row>
    <row r="580" ht="12">
      <c r="A580" t="e">
        <f>"VAL.HU."&amp;[0]!CountryCode&amp;".P2.S13.MNAC"</f>
        <v>#REF!</v>
      </c>
    </row>
    <row r="581" ht="12">
      <c r="A581" t="e">
        <f>"VAL.MT."&amp;[0]!CountryCode&amp;".P2.S13.MNAC"</f>
        <v>#REF!</v>
      </c>
    </row>
    <row r="582" ht="12">
      <c r="A582" t="e">
        <f>"VAL.NL."&amp;[0]!CountryCode&amp;".P2.S13.MNAC"</f>
        <v>#REF!</v>
      </c>
    </row>
    <row r="583" ht="12">
      <c r="A583" t="e">
        <f>"VAL.AT."&amp;[0]!CountryCode&amp;".P2.S13.MNAC"</f>
        <v>#REF!</v>
      </c>
    </row>
    <row r="584" ht="12">
      <c r="A584" t="e">
        <f>"VAL.PL."&amp;[0]!CountryCode&amp;".P2.S13.MNAC"</f>
        <v>#REF!</v>
      </c>
    </row>
    <row r="585" ht="12">
      <c r="A585" t="e">
        <f>"VAL.PT."&amp;[0]!CountryCode&amp;".P2.S13.MNAC"</f>
        <v>#REF!</v>
      </c>
    </row>
    <row r="586" ht="12">
      <c r="A586" t="e">
        <f>"VAL.RO."&amp;[0]!CountryCode&amp;".P2.S13.MNAC"</f>
        <v>#REF!</v>
      </c>
    </row>
    <row r="587" ht="12">
      <c r="A587" t="e">
        <f>"VAL.SI."&amp;[0]!CountryCode&amp;".P2.S13.MNAC"</f>
        <v>#REF!</v>
      </c>
    </row>
    <row r="588" ht="12">
      <c r="A588" t="e">
        <f>"VAL.SK."&amp;[0]!CountryCode&amp;".P2.S13.MNAC"</f>
        <v>#REF!</v>
      </c>
    </row>
    <row r="589" ht="12">
      <c r="A589" t="e">
        <f>"VAL.FI."&amp;[0]!CountryCode&amp;".P2.S13.MNAC"</f>
        <v>#REF!</v>
      </c>
    </row>
    <row r="590" ht="12">
      <c r="A590" t="e">
        <f>"VAL.SE."&amp;[0]!CountryCode&amp;".P2.S13.MNAC"</f>
        <v>#REF!</v>
      </c>
    </row>
    <row r="591" ht="12">
      <c r="A591" t="e">
        <f>"VAL.UK."&amp;[0]!CountryCode&amp;".P2.S13.MNAC"</f>
        <v>#REF!</v>
      </c>
    </row>
    <row r="592" ht="12">
      <c r="A592" t="e">
        <f>"VAL.IS."&amp;[0]!CountryCode&amp;".P2.S13.MNAC"</f>
        <v>#REF!</v>
      </c>
    </row>
    <row r="593" ht="12">
      <c r="A593" t="e">
        <f>"VAL.NO."&amp;[0]!CountryCode&amp;".P2.S13.MNAC"</f>
        <v>#REF!</v>
      </c>
    </row>
    <row r="594" ht="12">
      <c r="A594" t="e">
        <f>"VAL.CH."&amp;[0]!CountryCode&amp;".P2.S13.MNAC"</f>
        <v>#REF!</v>
      </c>
    </row>
    <row r="595" ht="12">
      <c r="A595" t="e">
        <f>"VAL.EU28."&amp;[0]!CountryCode&amp;".P51G.S13.MNAC"</f>
        <v>#REF!</v>
      </c>
    </row>
    <row r="596" ht="12">
      <c r="A596" t="e">
        <f>"VAL.EA19."&amp;[0]!CountryCode&amp;".P51G.S13.MNAC"</f>
        <v>#REF!</v>
      </c>
    </row>
    <row r="597" ht="12">
      <c r="A597" t="e">
        <f>"VAL.BE."&amp;[0]!CountryCode&amp;".P51G.S13.MNAC"</f>
        <v>#REF!</v>
      </c>
    </row>
    <row r="598" ht="12">
      <c r="A598" t="e">
        <f>"VAL.BG."&amp;[0]!CountryCode&amp;".P51G.S13.MNAC"</f>
        <v>#REF!</v>
      </c>
    </row>
    <row r="599" ht="12">
      <c r="A599" t="e">
        <f>"VAL.CZ."&amp;[0]!CountryCode&amp;".P51G.S13.MNAC"</f>
        <v>#REF!</v>
      </c>
    </row>
    <row r="600" ht="12">
      <c r="A600" t="e">
        <f>"VAL.DK."&amp;[0]!CountryCode&amp;".P51G.S13.MNAC"</f>
        <v>#REF!</v>
      </c>
    </row>
    <row r="601" ht="12">
      <c r="A601" t="e">
        <f>"VAL.DE."&amp;[0]!CountryCode&amp;".P51G.S13.MNAC"</f>
        <v>#REF!</v>
      </c>
    </row>
    <row r="602" ht="12">
      <c r="A602" t="e">
        <f>"VAL.EE."&amp;[0]!CountryCode&amp;".P51G.S13.MNAC"</f>
        <v>#REF!</v>
      </c>
    </row>
    <row r="603" ht="12">
      <c r="A603" t="e">
        <f>"VAL.IE."&amp;[0]!CountryCode&amp;".P51G.S13.MNAC"</f>
        <v>#REF!</v>
      </c>
    </row>
    <row r="604" ht="12">
      <c r="A604" t="e">
        <f>"VAL.EL."&amp;[0]!CountryCode&amp;".P51G.S13.MNAC"</f>
        <v>#REF!</v>
      </c>
    </row>
    <row r="605" ht="12">
      <c r="A605" t="e">
        <f>"VAL.ES."&amp;[0]!CountryCode&amp;".P51G.S13.MNAC"</f>
        <v>#REF!</v>
      </c>
    </row>
    <row r="606" ht="12">
      <c r="A606" t="e">
        <f>"VAL.FR."&amp;[0]!CountryCode&amp;".P51G.S13.MNAC"</f>
        <v>#REF!</v>
      </c>
    </row>
    <row r="607" ht="12">
      <c r="A607" t="e">
        <f>"VAL.HR."&amp;[0]!CountryCode&amp;".P51G.S13.MNAC"</f>
        <v>#REF!</v>
      </c>
    </row>
    <row r="608" ht="12">
      <c r="A608" t="e">
        <f>"VAL.IT."&amp;[0]!CountryCode&amp;".P51G.S13.MNAC"</f>
        <v>#REF!</v>
      </c>
    </row>
    <row r="609" ht="12">
      <c r="A609" t="e">
        <f>"VAL.CY."&amp;[0]!CountryCode&amp;".P51G.S13.MNAC"</f>
        <v>#REF!</v>
      </c>
    </row>
    <row r="610" ht="12">
      <c r="A610" t="e">
        <f>"VAL.LV."&amp;[0]!CountryCode&amp;".P51G.S13.MNAC"</f>
        <v>#REF!</v>
      </c>
    </row>
    <row r="611" ht="12">
      <c r="A611" t="e">
        <f>"VAL.LT."&amp;[0]!CountryCode&amp;".P51G.S13.MNAC"</f>
        <v>#REF!</v>
      </c>
    </row>
    <row r="612" ht="12">
      <c r="A612" t="e">
        <f>"VAL.LU."&amp;[0]!CountryCode&amp;".P51G.S13.MNAC"</f>
        <v>#REF!</v>
      </c>
    </row>
    <row r="613" ht="12">
      <c r="A613" t="e">
        <f>"VAL.HU."&amp;[0]!CountryCode&amp;".P51G.S13.MNAC"</f>
        <v>#REF!</v>
      </c>
    </row>
    <row r="614" ht="12">
      <c r="A614" t="e">
        <f>"VAL.MT."&amp;[0]!CountryCode&amp;".P51G.S13.MNAC"</f>
        <v>#REF!</v>
      </c>
    </row>
    <row r="615" ht="12">
      <c r="A615" t="e">
        <f>"VAL.NL."&amp;[0]!CountryCode&amp;".P51G.S13.MNAC"</f>
        <v>#REF!</v>
      </c>
    </row>
    <row r="616" ht="12">
      <c r="A616" t="e">
        <f>"VAL.AT."&amp;[0]!CountryCode&amp;".P51G.S13.MNAC"</f>
        <v>#REF!</v>
      </c>
    </row>
    <row r="617" ht="12">
      <c r="A617" t="e">
        <f>"VAL.PL."&amp;[0]!CountryCode&amp;".P51G.S13.MNAC"</f>
        <v>#REF!</v>
      </c>
    </row>
    <row r="618" ht="12">
      <c r="A618" t="e">
        <f>"VAL.PT."&amp;[0]!CountryCode&amp;".P51G.S13.MNAC"</f>
        <v>#REF!</v>
      </c>
    </row>
    <row r="619" ht="12">
      <c r="A619" t="e">
        <f>"VAL.RO."&amp;[0]!CountryCode&amp;".P51G.S13.MNAC"</f>
        <v>#REF!</v>
      </c>
    </row>
    <row r="620" ht="12">
      <c r="A620" t="e">
        <f>"VAL.SI."&amp;[0]!CountryCode&amp;".P51G.S13.MNAC"</f>
        <v>#REF!</v>
      </c>
    </row>
    <row r="621" ht="12">
      <c r="A621" t="e">
        <f>"VAL.SK."&amp;[0]!CountryCode&amp;".P51G.S13.MNAC"</f>
        <v>#REF!</v>
      </c>
    </row>
    <row r="622" ht="12">
      <c r="A622" t="e">
        <f>"VAL.FI."&amp;[0]!CountryCode&amp;".P51G.S13.MNAC"</f>
        <v>#REF!</v>
      </c>
    </row>
    <row r="623" ht="12">
      <c r="A623" t="e">
        <f>"VAL.SE."&amp;[0]!CountryCode&amp;".P51G.S13.MNAC"</f>
        <v>#REF!</v>
      </c>
    </row>
    <row r="624" ht="12">
      <c r="A624" t="e">
        <f>"VAL.UK."&amp;[0]!CountryCode&amp;".P51G.S13.MNAC"</f>
        <v>#REF!</v>
      </c>
    </row>
    <row r="625" ht="12">
      <c r="A625" t="e">
        <f>"VAL.IS."&amp;[0]!CountryCode&amp;".P51G.S13.MNAC"</f>
        <v>#REF!</v>
      </c>
    </row>
    <row r="626" ht="12">
      <c r="A626" t="e">
        <f>"VAL.NO."&amp;[0]!CountryCode&amp;".P51G.S13.MNAC"</f>
        <v>#REF!</v>
      </c>
    </row>
    <row r="627" ht="12">
      <c r="A627" t="e">
        <f>"VAL.CH."&amp;[0]!CountryCode&amp;".P51G.S13.MNAC"</f>
        <v>#REF!</v>
      </c>
    </row>
    <row r="628" ht="12">
      <c r="A628" t="e">
        <f>"VAL.EU28."&amp;[0]!CountryCode&amp;".D7PAY.S13.MNAC"</f>
        <v>#REF!</v>
      </c>
    </row>
    <row r="629" ht="12">
      <c r="A629" t="e">
        <f>"VAL.EA19."&amp;[0]!CountryCode&amp;".D7PAY.S13.MNAC"</f>
        <v>#REF!</v>
      </c>
    </row>
    <row r="630" ht="12">
      <c r="A630" t="e">
        <f>"VAL.BE."&amp;[0]!CountryCode&amp;".D7PAY.S13.MNAC"</f>
        <v>#REF!</v>
      </c>
    </row>
    <row r="631" ht="12">
      <c r="A631" t="e">
        <f>"VAL.BG."&amp;[0]!CountryCode&amp;".D7PAY.S13.MNAC"</f>
        <v>#REF!</v>
      </c>
    </row>
    <row r="632" ht="12">
      <c r="A632" t="e">
        <f>"VAL.CZ."&amp;[0]!CountryCode&amp;".D7PAY.S13.MNAC"</f>
        <v>#REF!</v>
      </c>
    </row>
    <row r="633" ht="12">
      <c r="A633" t="e">
        <f>"VAL.DK."&amp;[0]!CountryCode&amp;".D7PAY.S13.MNAC"</f>
        <v>#REF!</v>
      </c>
    </row>
    <row r="634" ht="12">
      <c r="A634" t="e">
        <f>"VAL.DE."&amp;[0]!CountryCode&amp;".D7PAY.S13.MNAC"</f>
        <v>#REF!</v>
      </c>
    </row>
    <row r="635" ht="12">
      <c r="A635" t="e">
        <f>"VAL.EE."&amp;[0]!CountryCode&amp;".D7PAY.S13.MNAC"</f>
        <v>#REF!</v>
      </c>
    </row>
    <row r="636" ht="12">
      <c r="A636" t="e">
        <f>"VAL.IE."&amp;[0]!CountryCode&amp;".D7PAY.S13.MNAC"</f>
        <v>#REF!</v>
      </c>
    </row>
    <row r="637" ht="12">
      <c r="A637" t="e">
        <f>"VAL.EL."&amp;[0]!CountryCode&amp;".D7PAY.S13.MNAC"</f>
        <v>#REF!</v>
      </c>
    </row>
    <row r="638" ht="12">
      <c r="A638" t="e">
        <f>"VAL.ES."&amp;[0]!CountryCode&amp;".D7PAY.S13.MNAC"</f>
        <v>#REF!</v>
      </c>
    </row>
    <row r="639" ht="12">
      <c r="A639" t="e">
        <f>"VAL.FR."&amp;[0]!CountryCode&amp;".D7PAY.S13.MNAC"</f>
        <v>#REF!</v>
      </c>
    </row>
    <row r="640" ht="12">
      <c r="A640" t="e">
        <f>"VAL.HR."&amp;[0]!CountryCode&amp;".D7PAY.S13.MNAC"</f>
        <v>#REF!</v>
      </c>
    </row>
    <row r="641" ht="12">
      <c r="A641" t="e">
        <f>"VAL.IT."&amp;[0]!CountryCode&amp;".D7PAY.S13.MNAC"</f>
        <v>#REF!</v>
      </c>
    </row>
    <row r="642" ht="12">
      <c r="A642" t="e">
        <f>"VAL.CY."&amp;[0]!CountryCode&amp;".D7PAY.S13.MNAC"</f>
        <v>#REF!</v>
      </c>
    </row>
    <row r="643" ht="12">
      <c r="A643" t="e">
        <f>"VAL.LV."&amp;[0]!CountryCode&amp;".D7PAY.S13.MNAC"</f>
        <v>#REF!</v>
      </c>
    </row>
    <row r="644" ht="12">
      <c r="A644" t="e">
        <f>"VAL.LT."&amp;[0]!CountryCode&amp;".D7PAY.S13.MNAC"</f>
        <v>#REF!</v>
      </c>
    </row>
    <row r="645" ht="12">
      <c r="A645" t="e">
        <f>"VAL.LU."&amp;[0]!CountryCode&amp;".D7PAY.S13.MNAC"</f>
        <v>#REF!</v>
      </c>
    </row>
    <row r="646" ht="12">
      <c r="A646" t="e">
        <f>"VAL.HU."&amp;[0]!CountryCode&amp;".D7PAY.S13.MNAC"</f>
        <v>#REF!</v>
      </c>
    </row>
    <row r="647" ht="12">
      <c r="A647" t="e">
        <f>"VAL.MT."&amp;[0]!CountryCode&amp;".D7PAY.S13.MNAC"</f>
        <v>#REF!</v>
      </c>
    </row>
    <row r="648" ht="12">
      <c r="A648" t="e">
        <f>"VAL.NL."&amp;[0]!CountryCode&amp;".D7PAY.S13.MNAC"</f>
        <v>#REF!</v>
      </c>
    </row>
    <row r="649" ht="12">
      <c r="A649" t="e">
        <f>"VAL.AT."&amp;[0]!CountryCode&amp;".D7PAY.S13.MNAC"</f>
        <v>#REF!</v>
      </c>
    </row>
    <row r="650" ht="12">
      <c r="A650" t="e">
        <f>"VAL.PL."&amp;[0]!CountryCode&amp;".D7PAY.S13.MNAC"</f>
        <v>#REF!</v>
      </c>
    </row>
    <row r="651" ht="12">
      <c r="A651" t="e">
        <f>"VAL.PT."&amp;[0]!CountryCode&amp;".D7PAY.S13.MNAC"</f>
        <v>#REF!</v>
      </c>
    </row>
    <row r="652" ht="12">
      <c r="A652" t="e">
        <f>"VAL.RO."&amp;[0]!CountryCode&amp;".D7PAY.S13.MNAC"</f>
        <v>#REF!</v>
      </c>
    </row>
    <row r="653" ht="12">
      <c r="A653" t="e">
        <f>"VAL.SI."&amp;[0]!CountryCode&amp;".D7PAY.S13.MNAC"</f>
        <v>#REF!</v>
      </c>
    </row>
    <row r="654" ht="12">
      <c r="A654" t="e">
        <f>"VAL.SK."&amp;[0]!CountryCode&amp;".D7PAY.S13.MNAC"</f>
        <v>#REF!</v>
      </c>
    </row>
    <row r="655" ht="12">
      <c r="A655" t="e">
        <f>"VAL.FI."&amp;[0]!CountryCode&amp;".D7PAY.S13.MNAC"</f>
        <v>#REF!</v>
      </c>
    </row>
    <row r="656" ht="12">
      <c r="A656" t="e">
        <f>"VAL.SE."&amp;[0]!CountryCode&amp;".D7PAY.S13.MNAC"</f>
        <v>#REF!</v>
      </c>
    </row>
    <row r="657" ht="12">
      <c r="A657" t="e">
        <f>"VAL.UK."&amp;[0]!CountryCode&amp;".D7PAY.S13.MNAC"</f>
        <v>#REF!</v>
      </c>
    </row>
    <row r="658" ht="12">
      <c r="A658" t="e">
        <f>"VAL.IS."&amp;[0]!CountryCode&amp;".D7PAY.S13.MNAC"</f>
        <v>#REF!</v>
      </c>
    </row>
    <row r="659" ht="12">
      <c r="A659" t="e">
        <f>"VAL.NO."&amp;[0]!CountryCode&amp;".D7PAY.S13.MNAC"</f>
        <v>#REF!</v>
      </c>
    </row>
    <row r="660" ht="12">
      <c r="A660" t="e">
        <f>"VAL.CH."&amp;[0]!CountryCode&amp;".D7PAY.S13.MNAC"</f>
        <v>#REF!</v>
      </c>
    </row>
    <row r="661" ht="12">
      <c r="A661" t="e">
        <f>"VAL.EU28."&amp;[0]!CountryCode&amp;".D3PAY.S13.MNAC"</f>
        <v>#REF!</v>
      </c>
    </row>
    <row r="662" ht="12">
      <c r="A662" t="e">
        <f>"VAL.EA19."&amp;[0]!CountryCode&amp;".D3PAY.S13.MNAC"</f>
        <v>#REF!</v>
      </c>
    </row>
    <row r="663" ht="12">
      <c r="A663" t="e">
        <f>"VAL.BE."&amp;[0]!CountryCode&amp;".D3PAY.S13.MNAC"</f>
        <v>#REF!</v>
      </c>
    </row>
    <row r="664" ht="12">
      <c r="A664" t="e">
        <f>"VAL.BG."&amp;[0]!CountryCode&amp;".D3PAY.S13.MNAC"</f>
        <v>#REF!</v>
      </c>
    </row>
    <row r="665" ht="12">
      <c r="A665" t="e">
        <f>"VAL.CZ."&amp;[0]!CountryCode&amp;".D3PAY.S13.MNAC"</f>
        <v>#REF!</v>
      </c>
    </row>
    <row r="666" ht="12">
      <c r="A666" t="e">
        <f>"VAL.DK."&amp;[0]!CountryCode&amp;".D3PAY.S13.MNAC"</f>
        <v>#REF!</v>
      </c>
    </row>
    <row r="667" ht="12">
      <c r="A667" t="e">
        <f>"VAL.DE."&amp;[0]!CountryCode&amp;".D3PAY.S13.MNAC"</f>
        <v>#REF!</v>
      </c>
    </row>
    <row r="668" ht="12">
      <c r="A668" t="e">
        <f>"VAL.EE."&amp;[0]!CountryCode&amp;".D3PAY.S13.MNAC"</f>
        <v>#REF!</v>
      </c>
    </row>
    <row r="669" ht="12">
      <c r="A669" t="e">
        <f>"VAL.IE."&amp;[0]!CountryCode&amp;".D3PAY.S13.MNAC"</f>
        <v>#REF!</v>
      </c>
    </row>
    <row r="670" ht="12">
      <c r="A670" t="e">
        <f>"VAL.EL."&amp;[0]!CountryCode&amp;".D3PAY.S13.MNAC"</f>
        <v>#REF!</v>
      </c>
    </row>
    <row r="671" ht="12">
      <c r="A671" t="e">
        <f>"VAL.ES."&amp;[0]!CountryCode&amp;".D3PAY.S13.MNAC"</f>
        <v>#REF!</v>
      </c>
    </row>
    <row r="672" ht="12">
      <c r="A672" t="e">
        <f>"VAL.FR."&amp;[0]!CountryCode&amp;".D3PAY.S13.MNAC"</f>
        <v>#REF!</v>
      </c>
    </row>
    <row r="673" ht="12">
      <c r="A673" t="e">
        <f>"VAL.HR."&amp;[0]!CountryCode&amp;".D3PAY.S13.MNAC"</f>
        <v>#REF!</v>
      </c>
    </row>
    <row r="674" ht="12">
      <c r="A674" t="e">
        <f>"VAL.IT."&amp;[0]!CountryCode&amp;".D3PAY.S13.MNAC"</f>
        <v>#REF!</v>
      </c>
    </row>
    <row r="675" ht="12">
      <c r="A675" t="e">
        <f>"VAL.CY."&amp;[0]!CountryCode&amp;".D3PAY.S13.MNAC"</f>
        <v>#REF!</v>
      </c>
    </row>
    <row r="676" ht="12">
      <c r="A676" t="e">
        <f>"VAL.LV."&amp;[0]!CountryCode&amp;".D3PAY.S13.MNAC"</f>
        <v>#REF!</v>
      </c>
    </row>
    <row r="677" ht="12">
      <c r="A677" t="e">
        <f>"VAL.LT."&amp;[0]!CountryCode&amp;".D3PAY.S13.MNAC"</f>
        <v>#REF!</v>
      </c>
    </row>
    <row r="678" ht="12">
      <c r="A678" t="e">
        <f>"VAL.LU."&amp;[0]!CountryCode&amp;".D3PAY.S13.MNAC"</f>
        <v>#REF!</v>
      </c>
    </row>
    <row r="679" ht="12">
      <c r="A679" t="e">
        <f>"VAL.HU."&amp;[0]!CountryCode&amp;".D3PAY.S13.MNAC"</f>
        <v>#REF!</v>
      </c>
    </row>
    <row r="680" ht="12">
      <c r="A680" t="e">
        <f>"VAL.MT."&amp;[0]!CountryCode&amp;".D3PAY.S13.MNAC"</f>
        <v>#REF!</v>
      </c>
    </row>
    <row r="681" ht="12">
      <c r="A681" t="e">
        <f>"VAL.NL."&amp;[0]!CountryCode&amp;".D3PAY.S13.MNAC"</f>
        <v>#REF!</v>
      </c>
    </row>
    <row r="682" ht="12">
      <c r="A682" t="e">
        <f>"VAL.AT."&amp;[0]!CountryCode&amp;".D3PAY.S13.MNAC"</f>
        <v>#REF!</v>
      </c>
    </row>
    <row r="683" ht="12">
      <c r="A683" t="e">
        <f>"VAL.PL."&amp;[0]!CountryCode&amp;".D3PAY.S13.MNAC"</f>
        <v>#REF!</v>
      </c>
    </row>
    <row r="684" ht="12">
      <c r="A684" t="e">
        <f>"VAL.PT."&amp;[0]!CountryCode&amp;".D3PAY.S13.MNAC"</f>
        <v>#REF!</v>
      </c>
    </row>
    <row r="685" ht="12">
      <c r="A685" t="e">
        <f>"VAL.RO."&amp;[0]!CountryCode&amp;".D3PAY.S13.MNAC"</f>
        <v>#REF!</v>
      </c>
    </row>
    <row r="686" ht="12">
      <c r="A686" t="e">
        <f>"VAL.SI."&amp;[0]!CountryCode&amp;".D3PAY.S13.MNAC"</f>
        <v>#REF!</v>
      </c>
    </row>
    <row r="687" ht="12">
      <c r="A687" t="e">
        <f>"VAL.SK."&amp;[0]!CountryCode&amp;".D3PAY.S13.MNAC"</f>
        <v>#REF!</v>
      </c>
    </row>
    <row r="688" ht="12">
      <c r="A688" t="e">
        <f>"VAL.FI."&amp;[0]!CountryCode&amp;".D3PAY.S13.MNAC"</f>
        <v>#REF!</v>
      </c>
    </row>
    <row r="689" ht="12">
      <c r="A689" t="e">
        <f>"VAL.SE."&amp;[0]!CountryCode&amp;".D3PAY.S13.MNAC"</f>
        <v>#REF!</v>
      </c>
    </row>
    <row r="690" ht="12">
      <c r="A690" t="e">
        <f>"VAL.UK."&amp;[0]!CountryCode&amp;".D3PAY.S13.MNAC"</f>
        <v>#REF!</v>
      </c>
    </row>
    <row r="691" ht="12">
      <c r="A691" t="e">
        <f>"VAL.IS."&amp;[0]!CountryCode&amp;".D3PAY.S13.MNAC"</f>
        <v>#REF!</v>
      </c>
    </row>
    <row r="692" ht="12">
      <c r="A692" t="e">
        <f>"VAL.NO."&amp;[0]!CountryCode&amp;".D3PAY.S13.MNAC"</f>
        <v>#REF!</v>
      </c>
    </row>
    <row r="693" ht="12">
      <c r="A693" t="e">
        <f>"VAL.CH."&amp;[0]!CountryCode&amp;".D3PAY.S13.MNAC"</f>
        <v>#REF!</v>
      </c>
    </row>
    <row r="694" ht="12">
      <c r="A694" t="e">
        <f>"VAL.EU28."&amp;[0]!CountryCode&amp;".D4PAY.S13.MNAC"</f>
        <v>#REF!</v>
      </c>
    </row>
    <row r="695" ht="12">
      <c r="A695" t="e">
        <f>"VAL.EA19."&amp;[0]!CountryCode&amp;".D4PAY.S13.MNAC"</f>
        <v>#REF!</v>
      </c>
    </row>
    <row r="696" ht="12">
      <c r="A696" t="e">
        <f>"VAL.BE."&amp;[0]!CountryCode&amp;".D4PAY.S13.MNAC"</f>
        <v>#REF!</v>
      </c>
    </row>
    <row r="697" ht="12">
      <c r="A697" t="e">
        <f>"VAL.BG."&amp;[0]!CountryCode&amp;".D4PAY.S13.MNAC"</f>
        <v>#REF!</v>
      </c>
    </row>
    <row r="698" ht="12">
      <c r="A698" t="e">
        <f>"VAL.CZ."&amp;[0]!CountryCode&amp;".D4PAY.S13.MNAC"</f>
        <v>#REF!</v>
      </c>
    </row>
    <row r="699" ht="12">
      <c r="A699" t="e">
        <f>"VAL.DK."&amp;[0]!CountryCode&amp;".D4PAY.S13.MNAC"</f>
        <v>#REF!</v>
      </c>
    </row>
    <row r="700" ht="12">
      <c r="A700" t="e">
        <f>"VAL.DE."&amp;[0]!CountryCode&amp;".D4PAY.S13.MNAC"</f>
        <v>#REF!</v>
      </c>
    </row>
    <row r="701" ht="12">
      <c r="A701" t="e">
        <f>"VAL.EE."&amp;[0]!CountryCode&amp;".D4PAY.S13.MNAC"</f>
        <v>#REF!</v>
      </c>
    </row>
    <row r="702" ht="12">
      <c r="A702" t="e">
        <f>"VAL.IE."&amp;[0]!CountryCode&amp;".D4PAY.S13.MNAC"</f>
        <v>#REF!</v>
      </c>
    </row>
    <row r="703" ht="12">
      <c r="A703" t="e">
        <f>"VAL.EL."&amp;[0]!CountryCode&amp;".D4PAY.S13.MNAC"</f>
        <v>#REF!</v>
      </c>
    </row>
    <row r="704" ht="12">
      <c r="A704" t="e">
        <f>"VAL.ES."&amp;[0]!CountryCode&amp;".D4PAY.S13.MNAC"</f>
        <v>#REF!</v>
      </c>
    </row>
    <row r="705" ht="12">
      <c r="A705" t="e">
        <f>"VAL.FR."&amp;[0]!CountryCode&amp;".D4PAY.S13.MNAC"</f>
        <v>#REF!</v>
      </c>
    </row>
    <row r="706" ht="12">
      <c r="A706" t="e">
        <f>"VAL.HR."&amp;[0]!CountryCode&amp;".D4PAY.S13.MNAC"</f>
        <v>#REF!</v>
      </c>
    </row>
    <row r="707" ht="12">
      <c r="A707" t="e">
        <f>"VAL.IT."&amp;[0]!CountryCode&amp;".D4PAY.S13.MNAC"</f>
        <v>#REF!</v>
      </c>
    </row>
    <row r="708" ht="12">
      <c r="A708" t="e">
        <f>"VAL.CY."&amp;[0]!CountryCode&amp;".D4PAY.S13.MNAC"</f>
        <v>#REF!</v>
      </c>
    </row>
    <row r="709" ht="12">
      <c r="A709" t="e">
        <f>"VAL.LV."&amp;[0]!CountryCode&amp;".D4PAY.S13.MNAC"</f>
        <v>#REF!</v>
      </c>
    </row>
    <row r="710" ht="12">
      <c r="A710" t="e">
        <f>"VAL.LT."&amp;[0]!CountryCode&amp;".D4PAY.S13.MNAC"</f>
        <v>#REF!</v>
      </c>
    </row>
    <row r="711" ht="12">
      <c r="A711" t="e">
        <f>"VAL.LU."&amp;[0]!CountryCode&amp;".D4PAY.S13.MNAC"</f>
        <v>#REF!</v>
      </c>
    </row>
    <row r="712" ht="12">
      <c r="A712" t="e">
        <f>"VAL.HU."&amp;[0]!CountryCode&amp;".D4PAY.S13.MNAC"</f>
        <v>#REF!</v>
      </c>
    </row>
    <row r="713" ht="12">
      <c r="A713" t="e">
        <f>"VAL.MT."&amp;[0]!CountryCode&amp;".D4PAY.S13.MNAC"</f>
        <v>#REF!</v>
      </c>
    </row>
    <row r="714" ht="12">
      <c r="A714" t="e">
        <f>"VAL.NL."&amp;[0]!CountryCode&amp;".D4PAY.S13.MNAC"</f>
        <v>#REF!</v>
      </c>
    </row>
    <row r="715" ht="12">
      <c r="A715" t="e">
        <f>"VAL.AT."&amp;[0]!CountryCode&amp;".D4PAY.S13.MNAC"</f>
        <v>#REF!</v>
      </c>
    </row>
    <row r="716" ht="12">
      <c r="A716" t="e">
        <f>"VAL.PL."&amp;[0]!CountryCode&amp;".D4PAY.S13.MNAC"</f>
        <v>#REF!</v>
      </c>
    </row>
    <row r="717" ht="12">
      <c r="A717" t="e">
        <f>"VAL.PT."&amp;[0]!CountryCode&amp;".D4PAY.S13.MNAC"</f>
        <v>#REF!</v>
      </c>
    </row>
    <row r="718" ht="12">
      <c r="A718" t="e">
        <f>"VAL.RO."&amp;[0]!CountryCode&amp;".D4PAY.S13.MNAC"</f>
        <v>#REF!</v>
      </c>
    </row>
    <row r="719" ht="12">
      <c r="A719" t="e">
        <f>"VAL.SI."&amp;[0]!CountryCode&amp;".D4PAY.S13.MNAC"</f>
        <v>#REF!</v>
      </c>
    </row>
    <row r="720" ht="12">
      <c r="A720" t="e">
        <f>"VAL.SK."&amp;[0]!CountryCode&amp;".D4PAY.S13.MNAC"</f>
        <v>#REF!</v>
      </c>
    </row>
    <row r="721" ht="12">
      <c r="A721" t="e">
        <f>"VAL.FI."&amp;[0]!CountryCode&amp;".D4PAY.S13.MNAC"</f>
        <v>#REF!</v>
      </c>
    </row>
    <row r="722" ht="12">
      <c r="A722" t="e">
        <f>"VAL.SE."&amp;[0]!CountryCode&amp;".D4PAY.S13.MNAC"</f>
        <v>#REF!</v>
      </c>
    </row>
    <row r="723" ht="12">
      <c r="A723" t="e">
        <f>"VAL.UK."&amp;[0]!CountryCode&amp;".D4PAY.S13.MNAC"</f>
        <v>#REF!</v>
      </c>
    </row>
    <row r="724" ht="12">
      <c r="A724" t="e">
        <f>"VAL.IS."&amp;[0]!CountryCode&amp;".D4PAY.S13.MNAC"</f>
        <v>#REF!</v>
      </c>
    </row>
    <row r="725" ht="12">
      <c r="A725" t="e">
        <f>"VAL.NO."&amp;[0]!CountryCode&amp;".D4PAY.S13.MNAC"</f>
        <v>#REF!</v>
      </c>
    </row>
    <row r="726" ht="12">
      <c r="A726" t="e">
        <f>"VAL.CH."&amp;[0]!CountryCode&amp;".D4PAY.S13.MNAC"</f>
        <v>#REF!</v>
      </c>
    </row>
    <row r="727" ht="12">
      <c r="A727" t="e">
        <f>"VAL.EU28."&amp;[0]!CountryCode&amp;".D2REC.S13.MNAC"</f>
        <v>#REF!</v>
      </c>
    </row>
    <row r="728" ht="12">
      <c r="A728" t="e">
        <f>"VAL.EA19."&amp;[0]!CountryCode&amp;".D2REC.S13.MNAC"</f>
        <v>#REF!</v>
      </c>
    </row>
    <row r="729" ht="12">
      <c r="A729" t="e">
        <f>"VAL.BE."&amp;[0]!CountryCode&amp;".D2REC.S13.MNAC"</f>
        <v>#REF!</v>
      </c>
    </row>
    <row r="730" ht="12">
      <c r="A730" t="e">
        <f>"VAL.BG."&amp;[0]!CountryCode&amp;".D2REC.S13.MNAC"</f>
        <v>#REF!</v>
      </c>
    </row>
    <row r="731" ht="12">
      <c r="A731" t="e">
        <f>"VAL.CZ."&amp;[0]!CountryCode&amp;".D2REC.S13.MNAC"</f>
        <v>#REF!</v>
      </c>
    </row>
    <row r="732" ht="12">
      <c r="A732" t="e">
        <f>"VAL.DK."&amp;[0]!CountryCode&amp;".D2REC.S13.MNAC"</f>
        <v>#REF!</v>
      </c>
    </row>
    <row r="733" ht="12">
      <c r="A733" t="e">
        <f>"VAL.DE."&amp;[0]!CountryCode&amp;".D2REC.S13.MNAC"</f>
        <v>#REF!</v>
      </c>
    </row>
    <row r="734" ht="12">
      <c r="A734" t="e">
        <f>"VAL.EE."&amp;[0]!CountryCode&amp;".D2REC.S13.MNAC"</f>
        <v>#REF!</v>
      </c>
    </row>
    <row r="735" ht="12">
      <c r="A735" t="e">
        <f>"VAL.IE."&amp;[0]!CountryCode&amp;".D2REC.S13.MNAC"</f>
        <v>#REF!</v>
      </c>
    </row>
    <row r="736" ht="12">
      <c r="A736" t="e">
        <f>"VAL.EL."&amp;[0]!CountryCode&amp;".D2REC.S13.MNAC"</f>
        <v>#REF!</v>
      </c>
    </row>
    <row r="737" ht="12">
      <c r="A737" t="e">
        <f>"VAL.ES."&amp;[0]!CountryCode&amp;".D2REC.S13.MNAC"</f>
        <v>#REF!</v>
      </c>
    </row>
    <row r="738" ht="12">
      <c r="A738" t="e">
        <f>"VAL.FR."&amp;[0]!CountryCode&amp;".D2REC.S13.MNAC"</f>
        <v>#REF!</v>
      </c>
    </row>
    <row r="739" ht="12">
      <c r="A739" t="e">
        <f>"VAL.HR."&amp;[0]!CountryCode&amp;".D2REC.S13.MNAC"</f>
        <v>#REF!</v>
      </c>
    </row>
    <row r="740" ht="12">
      <c r="A740" t="e">
        <f>"VAL.IT."&amp;[0]!CountryCode&amp;".D2REC.S13.MNAC"</f>
        <v>#REF!</v>
      </c>
    </row>
    <row r="741" ht="12">
      <c r="A741" t="e">
        <f>"VAL.CY."&amp;[0]!CountryCode&amp;".D2REC.S13.MNAC"</f>
        <v>#REF!</v>
      </c>
    </row>
    <row r="742" ht="12">
      <c r="A742" t="e">
        <f>"VAL.LV."&amp;[0]!CountryCode&amp;".D2REC.S13.MNAC"</f>
        <v>#REF!</v>
      </c>
    </row>
    <row r="743" ht="12">
      <c r="A743" t="e">
        <f>"VAL.LT."&amp;[0]!CountryCode&amp;".D2REC.S13.MNAC"</f>
        <v>#REF!</v>
      </c>
    </row>
    <row r="744" ht="12">
      <c r="A744" t="e">
        <f>"VAL.LU."&amp;[0]!CountryCode&amp;".D2REC.S13.MNAC"</f>
        <v>#REF!</v>
      </c>
    </row>
    <row r="745" ht="12">
      <c r="A745" t="e">
        <f>"VAL.HU."&amp;[0]!CountryCode&amp;".D2REC.S13.MNAC"</f>
        <v>#REF!</v>
      </c>
    </row>
    <row r="746" ht="12">
      <c r="A746" t="e">
        <f>"VAL.MT."&amp;[0]!CountryCode&amp;".D2REC.S13.MNAC"</f>
        <v>#REF!</v>
      </c>
    </row>
    <row r="747" ht="12">
      <c r="A747" t="e">
        <f>"VAL.NL."&amp;[0]!CountryCode&amp;".D2REC.S13.MNAC"</f>
        <v>#REF!</v>
      </c>
    </row>
    <row r="748" ht="12">
      <c r="A748" t="e">
        <f>"VAL.AT."&amp;[0]!CountryCode&amp;".D2REC.S13.MNAC"</f>
        <v>#REF!</v>
      </c>
    </row>
    <row r="749" ht="12">
      <c r="A749" t="e">
        <f>"VAL.PL."&amp;[0]!CountryCode&amp;".D2REC.S13.MNAC"</f>
        <v>#REF!</v>
      </c>
    </row>
    <row r="750" ht="12">
      <c r="A750" t="e">
        <f>"VAL.PT."&amp;[0]!CountryCode&amp;".D2REC.S13.MNAC"</f>
        <v>#REF!</v>
      </c>
    </row>
    <row r="751" ht="12">
      <c r="A751" t="e">
        <f>"VAL.RO."&amp;[0]!CountryCode&amp;".D2REC.S13.MNAC"</f>
        <v>#REF!</v>
      </c>
    </row>
    <row r="752" ht="12">
      <c r="A752" t="e">
        <f>"VAL.SI."&amp;[0]!CountryCode&amp;".D2REC.S13.MNAC"</f>
        <v>#REF!</v>
      </c>
    </row>
    <row r="753" ht="12">
      <c r="A753" t="e">
        <f>"VAL.SK."&amp;[0]!CountryCode&amp;".D2REC.S13.MNAC"</f>
        <v>#REF!</v>
      </c>
    </row>
    <row r="754" ht="12">
      <c r="A754" t="e">
        <f>"VAL.FI."&amp;[0]!CountryCode&amp;".D2REC.S13.MNAC"</f>
        <v>#REF!</v>
      </c>
    </row>
    <row r="755" ht="12">
      <c r="A755" t="e">
        <f>"VAL.SE."&amp;[0]!CountryCode&amp;".D2REC.S13.MNAC"</f>
        <v>#REF!</v>
      </c>
    </row>
    <row r="756" ht="12">
      <c r="A756" t="e">
        <f>"VAL.UK."&amp;[0]!CountryCode&amp;".D2REC.S13.MNAC"</f>
        <v>#REF!</v>
      </c>
    </row>
    <row r="757" ht="12">
      <c r="A757" t="e">
        <f>"VAL.IS."&amp;[0]!CountryCode&amp;".D2REC.S13.MNAC"</f>
        <v>#REF!</v>
      </c>
    </row>
    <row r="758" ht="12">
      <c r="A758" t="e">
        <f>"VAL.NO."&amp;[0]!CountryCode&amp;".D2REC.S13.MNAC"</f>
        <v>#REF!</v>
      </c>
    </row>
    <row r="759" ht="12">
      <c r="A759" t="e">
        <f>"VAL.CH."&amp;[0]!CountryCode&amp;".D2REC.S13.MNAC"</f>
        <v>#REF!</v>
      </c>
    </row>
    <row r="760" ht="12">
      <c r="A760" t="e">
        <f>"VAL.EU28."&amp;[0]!CountryCode&amp;".B9.S13.PC_GDP"</f>
        <v>#REF!</v>
      </c>
    </row>
    <row r="761" ht="12">
      <c r="A761" t="e">
        <f>"VAL.EA19."&amp;[0]!CountryCode&amp;".B9.S13.PC_GDP"</f>
        <v>#REF!</v>
      </c>
    </row>
    <row r="762" ht="12">
      <c r="A762" t="e">
        <f>"VAL.BE."&amp;[0]!CountryCode&amp;".B9.S13.PC_GDP"</f>
        <v>#REF!</v>
      </c>
    </row>
    <row r="763" ht="12">
      <c r="A763" t="e">
        <f>"VAL.BG."&amp;[0]!CountryCode&amp;".B9.S13.PC_GDP"</f>
        <v>#REF!</v>
      </c>
    </row>
    <row r="764" ht="12">
      <c r="A764" t="e">
        <f>"VAL.CZ."&amp;[0]!CountryCode&amp;".B9.S13.PC_GDP"</f>
        <v>#REF!</v>
      </c>
    </row>
    <row r="765" ht="12">
      <c r="A765" t="e">
        <f>"VAL.DK."&amp;[0]!CountryCode&amp;".B9.S13.PC_GDP"</f>
        <v>#REF!</v>
      </c>
    </row>
    <row r="766" ht="12">
      <c r="A766" t="e">
        <f>"VAL.DE."&amp;[0]!CountryCode&amp;".B9.S13.PC_GDP"</f>
        <v>#REF!</v>
      </c>
    </row>
    <row r="767" ht="12">
      <c r="A767" t="e">
        <f>"VAL.EE."&amp;[0]!CountryCode&amp;".B9.S13.PC_GDP"</f>
        <v>#REF!</v>
      </c>
    </row>
    <row r="768" ht="12">
      <c r="A768" t="e">
        <f>"VAL.IE."&amp;[0]!CountryCode&amp;".B9.S13.PC_GDP"</f>
        <v>#REF!</v>
      </c>
    </row>
    <row r="769" ht="12">
      <c r="A769" t="e">
        <f>"VAL.EL."&amp;[0]!CountryCode&amp;".B9.S13.PC_GDP"</f>
        <v>#REF!</v>
      </c>
    </row>
    <row r="770" ht="12">
      <c r="A770" t="e">
        <f>"VAL.ES."&amp;[0]!CountryCode&amp;".B9.S13.PC_GDP"</f>
        <v>#REF!</v>
      </c>
    </row>
    <row r="771" ht="12">
      <c r="A771" t="e">
        <f>"VAL.FR."&amp;[0]!CountryCode&amp;".B9.S13.PC_GDP"</f>
        <v>#REF!</v>
      </c>
    </row>
    <row r="772" ht="12">
      <c r="A772" t="e">
        <f>"VAL.HR."&amp;[0]!CountryCode&amp;".B9.S13.PC_GDP"</f>
        <v>#REF!</v>
      </c>
    </row>
    <row r="773" ht="12">
      <c r="A773" t="e">
        <f>"VAL.IT."&amp;[0]!CountryCode&amp;".B9.S13.PC_GDP"</f>
        <v>#REF!</v>
      </c>
    </row>
    <row r="774" ht="12">
      <c r="A774" t="e">
        <f>"VAL.CY."&amp;[0]!CountryCode&amp;".B9.S13.PC_GDP"</f>
        <v>#REF!</v>
      </c>
    </row>
    <row r="775" ht="12">
      <c r="A775" t="e">
        <f>"VAL.LV."&amp;[0]!CountryCode&amp;".B9.S13.PC_GDP"</f>
        <v>#REF!</v>
      </c>
    </row>
    <row r="776" ht="12">
      <c r="A776" t="e">
        <f>"VAL.LT."&amp;[0]!CountryCode&amp;".B9.S13.PC_GDP"</f>
        <v>#REF!</v>
      </c>
    </row>
    <row r="777" ht="12">
      <c r="A777" t="e">
        <f>"VAL.LU."&amp;[0]!CountryCode&amp;".B9.S13.PC_GDP"</f>
        <v>#REF!</v>
      </c>
    </row>
    <row r="778" ht="12">
      <c r="A778" t="e">
        <f>"VAL.HU."&amp;[0]!CountryCode&amp;".B9.S13.PC_GDP"</f>
        <v>#REF!</v>
      </c>
    </row>
    <row r="779" ht="12">
      <c r="A779" t="e">
        <f>"VAL.MT."&amp;[0]!CountryCode&amp;".B9.S13.PC_GDP"</f>
        <v>#REF!</v>
      </c>
    </row>
    <row r="780" ht="12">
      <c r="A780" t="e">
        <f>"VAL.NL."&amp;[0]!CountryCode&amp;".B9.S13.PC_GDP"</f>
        <v>#REF!</v>
      </c>
    </row>
    <row r="781" ht="12">
      <c r="A781" t="e">
        <f>"VAL.AT."&amp;[0]!CountryCode&amp;".B9.S13.PC_GDP"</f>
        <v>#REF!</v>
      </c>
    </row>
    <row r="782" ht="12">
      <c r="A782" t="e">
        <f>"VAL.PL."&amp;[0]!CountryCode&amp;".B9.S13.PC_GDP"</f>
        <v>#REF!</v>
      </c>
    </row>
    <row r="783" ht="12">
      <c r="A783" t="e">
        <f>"VAL.PT."&amp;[0]!CountryCode&amp;".B9.S13.PC_GDP"</f>
        <v>#REF!</v>
      </c>
    </row>
    <row r="784" ht="12">
      <c r="A784" t="e">
        <f>"VAL.RO."&amp;[0]!CountryCode&amp;".B9.S13.PC_GDP"</f>
        <v>#REF!</v>
      </c>
    </row>
    <row r="785" ht="12">
      <c r="A785" t="e">
        <f>"VAL.SI."&amp;[0]!CountryCode&amp;".B9.S13.PC_GDP"</f>
        <v>#REF!</v>
      </c>
    </row>
    <row r="786" ht="12">
      <c r="A786" t="e">
        <f>"VAL.SK."&amp;[0]!CountryCode&amp;".B9.S13.PC_GDP"</f>
        <v>#REF!</v>
      </c>
    </row>
    <row r="787" ht="12">
      <c r="A787" t="e">
        <f>"VAL.FI."&amp;[0]!CountryCode&amp;".B9.S13.PC_GDP"</f>
        <v>#REF!</v>
      </c>
    </row>
    <row r="788" ht="12">
      <c r="A788" t="e">
        <f>"VAL.SE."&amp;[0]!CountryCode&amp;".B9.S13.PC_GDP"</f>
        <v>#REF!</v>
      </c>
    </row>
    <row r="789" ht="12">
      <c r="A789" t="e">
        <f>"VAL.UK."&amp;[0]!CountryCode&amp;".B9.S13.PC_GDP"</f>
        <v>#REF!</v>
      </c>
    </row>
    <row r="790" ht="12">
      <c r="A790" t="e">
        <f>"VAL.IS."&amp;[0]!CountryCode&amp;".B9.S13.PC_GDP"</f>
        <v>#REF!</v>
      </c>
    </row>
    <row r="791" ht="12">
      <c r="A791" t="e">
        <f>"VAL.NO."&amp;[0]!CountryCode&amp;".B9.S13.PC_GDP"</f>
        <v>#REF!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B51"/>
  <sheetViews>
    <sheetView showGridLines="0" zoomScaleSheetLayoutView="100" workbookViewId="0" topLeftCell="A1">
      <selection activeCell="B35" sqref="B35"/>
    </sheetView>
  </sheetViews>
  <sheetFormatPr defaultColWidth="9.140625" defaultRowHeight="12"/>
  <cols>
    <col min="1" max="2" width="9.28125" style="23" customWidth="1"/>
    <col min="3" max="3" width="15.7109375" style="23" customWidth="1"/>
    <col min="4" max="11" width="15.140625" style="23" customWidth="1"/>
    <col min="12" max="12" width="7.140625" style="23" customWidth="1"/>
    <col min="13" max="15" width="9.140625" style="23" customWidth="1"/>
    <col min="16" max="16" width="25.7109375" style="23" customWidth="1"/>
    <col min="17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7" ht="11.25" customHeight="1">
      <c r="C3" s="1" t="s">
        <v>36</v>
      </c>
      <c r="O3" s="1"/>
      <c r="P3" s="1"/>
      <c r="Q3" s="1"/>
    </row>
    <row r="4" spans="3:17" ht="11.25" customHeight="1">
      <c r="C4" s="1" t="s">
        <v>37</v>
      </c>
      <c r="O4" s="1"/>
      <c r="P4" s="1"/>
      <c r="Q4" s="1"/>
    </row>
    <row r="5" spans="3:17" ht="11.25" customHeight="1">
      <c r="C5" s="1"/>
      <c r="O5" s="1"/>
      <c r="Q5" s="1"/>
    </row>
    <row r="6" spans="3:28" ht="12">
      <c r="C6" s="57" t="s">
        <v>858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57"/>
      <c r="P6" s="64"/>
      <c r="Q6" s="57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3:24" ht="11.25" customHeight="1">
      <c r="C7" s="31" t="s">
        <v>45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31"/>
      <c r="P7" s="44"/>
      <c r="Q7" s="31"/>
      <c r="R7" s="44"/>
      <c r="S7" s="44"/>
      <c r="T7" s="44"/>
      <c r="U7" s="44"/>
      <c r="V7" s="44"/>
      <c r="W7" s="44"/>
      <c r="X7" s="44"/>
    </row>
    <row r="8" spans="3:17" ht="11.25" customHeight="1">
      <c r="C8" s="1"/>
      <c r="O8" s="1"/>
      <c r="Q8" s="1"/>
    </row>
    <row r="9" spans="3:17" ht="12">
      <c r="C9" s="17"/>
      <c r="O9" s="17"/>
      <c r="Q9" s="17"/>
    </row>
    <row r="10" spans="4:11" ht="36">
      <c r="D10" s="36" t="s">
        <v>69</v>
      </c>
      <c r="E10" s="36" t="s">
        <v>41</v>
      </c>
      <c r="F10" s="36" t="s">
        <v>40</v>
      </c>
      <c r="G10" s="36" t="s">
        <v>49</v>
      </c>
      <c r="H10" s="36" t="s">
        <v>44</v>
      </c>
      <c r="I10" s="36" t="s">
        <v>43</v>
      </c>
      <c r="J10" s="36" t="s">
        <v>42</v>
      </c>
      <c r="K10" s="36" t="s">
        <v>33</v>
      </c>
    </row>
    <row r="11" spans="3:13" ht="12" customHeight="1">
      <c r="C11" s="23" t="s">
        <v>54</v>
      </c>
      <c r="D11" s="79">
        <v>45.127607394796456</v>
      </c>
      <c r="E11" s="79">
        <v>21.664954407456115</v>
      </c>
      <c r="F11" s="79">
        <v>12.56417320194592</v>
      </c>
      <c r="G11" s="79">
        <v>4.343192942729443</v>
      </c>
      <c r="H11" s="81">
        <v>5.956203168408375</v>
      </c>
      <c r="I11" s="81">
        <v>4.606256013437171</v>
      </c>
      <c r="J11" s="81">
        <v>2.9066168636976935</v>
      </c>
      <c r="K11" s="81">
        <v>2.8309960075288103</v>
      </c>
      <c r="L11" s="66"/>
      <c r="M11" s="66"/>
    </row>
    <row r="12" spans="3:13" ht="12" customHeight="1">
      <c r="C12" s="23" t="s">
        <v>73</v>
      </c>
      <c r="D12" s="79">
        <v>47.879747908376885</v>
      </c>
      <c r="E12" s="79">
        <v>20.9391503515533</v>
      </c>
      <c r="F12" s="79">
        <v>10.907242019401478</v>
      </c>
      <c r="G12" s="79">
        <v>4.1848596881580296</v>
      </c>
      <c r="H12" s="81">
        <v>5.485736166655082</v>
      </c>
      <c r="I12" s="81">
        <v>4.566167176313199</v>
      </c>
      <c r="J12" s="81">
        <v>3.0994137444417635</v>
      </c>
      <c r="K12" s="81">
        <v>2.9376829451002493</v>
      </c>
      <c r="L12" s="66"/>
      <c r="M12" s="66"/>
    </row>
    <row r="13" spans="5:13" ht="12" customHeight="1">
      <c r="E13" s="66"/>
      <c r="F13" s="66"/>
      <c r="G13" s="66"/>
      <c r="H13" s="66"/>
      <c r="I13" s="66"/>
      <c r="J13" s="66"/>
      <c r="K13" s="66"/>
      <c r="L13" s="66"/>
      <c r="M13" s="66"/>
    </row>
    <row r="14" spans="1:23" ht="12" customHeight="1">
      <c r="A14" s="6" t="s">
        <v>50</v>
      </c>
      <c r="B14" s="17"/>
      <c r="C14" s="17" t="s">
        <v>161</v>
      </c>
      <c r="D14" s="17"/>
      <c r="E14" s="17"/>
      <c r="F14" s="3"/>
      <c r="G14" s="17"/>
      <c r="H14" s="17"/>
      <c r="I14" s="17"/>
      <c r="J14" s="17"/>
      <c r="O14" s="39"/>
      <c r="P14" s="39"/>
      <c r="Q14" s="39"/>
      <c r="W14" s="17"/>
    </row>
    <row r="15" spans="3:17" ht="12" customHeight="1">
      <c r="C15" s="17" t="s">
        <v>156</v>
      </c>
      <c r="O15" s="17"/>
      <c r="P15" s="43"/>
      <c r="Q15" s="17"/>
    </row>
    <row r="16" spans="3:17" ht="11.25" customHeight="1">
      <c r="C16" s="29" t="s">
        <v>152</v>
      </c>
      <c r="O16" s="41"/>
      <c r="P16" s="39"/>
      <c r="Q16" s="40"/>
    </row>
    <row r="17" spans="15:17" ht="12">
      <c r="O17" s="17"/>
      <c r="P17" s="17"/>
      <c r="Q17" s="17"/>
    </row>
    <row r="21" ht="9" customHeight="1"/>
    <row r="22" ht="12"/>
    <row r="23" ht="12"/>
    <row r="24" ht="12"/>
    <row r="25" ht="12"/>
    <row r="26" ht="12"/>
    <row r="27" spans="5:12" ht="12">
      <c r="E27" s="66"/>
      <c r="G27" s="66"/>
      <c r="H27" s="66"/>
      <c r="I27" s="66"/>
      <c r="J27" s="66"/>
      <c r="K27" s="66"/>
      <c r="L27" s="82"/>
    </row>
    <row r="28" spans="4:12" ht="12">
      <c r="D28" s="66"/>
      <c r="E28" s="66"/>
      <c r="G28" s="66"/>
      <c r="H28" s="66"/>
      <c r="I28" s="66"/>
      <c r="J28" s="66"/>
      <c r="K28" s="66"/>
      <c r="L28" s="8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45.75" customHeight="1"/>
    <row r="45" spans="3:11" ht="12">
      <c r="C45" s="17" t="s">
        <v>161</v>
      </c>
      <c r="D45" s="36"/>
      <c r="E45" s="36"/>
      <c r="F45" s="36"/>
      <c r="G45" s="36"/>
      <c r="H45" s="36"/>
      <c r="I45" s="36"/>
      <c r="J45" s="36"/>
      <c r="K45" s="36"/>
    </row>
    <row r="46" spans="3:5" ht="12">
      <c r="C46" s="17" t="s">
        <v>156</v>
      </c>
      <c r="E46" s="38"/>
    </row>
    <row r="47" ht="12">
      <c r="C47" s="29" t="s">
        <v>152</v>
      </c>
    </row>
    <row r="48" spans="4:11" ht="12">
      <c r="D48" s="36"/>
      <c r="E48" s="36"/>
      <c r="F48" s="36"/>
      <c r="G48" s="36"/>
      <c r="H48" s="36"/>
      <c r="I48" s="36"/>
      <c r="J48" s="36"/>
      <c r="K48" s="36"/>
    </row>
    <row r="50" ht="12">
      <c r="A50" s="1" t="s">
        <v>47</v>
      </c>
    </row>
    <row r="51" ht="12">
      <c r="A51" s="25" t="s">
        <v>61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2:Z60"/>
  <sheetViews>
    <sheetView showGridLines="0" zoomScaleSheetLayoutView="100" workbookViewId="0" topLeftCell="A13">
      <selection activeCell="B45" sqref="B45:I45"/>
    </sheetView>
  </sheetViews>
  <sheetFormatPr defaultColWidth="9.140625" defaultRowHeight="12"/>
  <cols>
    <col min="1" max="1" width="15.28125" style="23" customWidth="1"/>
    <col min="2" max="3" width="13.421875" style="23" customWidth="1"/>
    <col min="4" max="4" width="16.7109375" style="23" customWidth="1"/>
    <col min="5" max="9" width="13.421875" style="23" customWidth="1"/>
    <col min="10" max="10" width="18.7109375" style="23" customWidth="1"/>
    <col min="11" max="12" width="9.140625" style="23" customWidth="1"/>
    <col min="13" max="13" width="20.421875" style="23" customWidth="1"/>
    <col min="14" max="14" width="17.140625" style="23" customWidth="1"/>
    <col min="15" max="15" width="9.140625" style="23" customWidth="1"/>
    <col min="16" max="16" width="24.00390625" style="23" customWidth="1"/>
    <col min="17" max="17" width="14.7109375" style="23" customWidth="1"/>
    <col min="18" max="18" width="9.140625" style="23" customWidth="1"/>
    <col min="19" max="19" width="12.57421875" style="23" customWidth="1"/>
    <col min="20" max="21" width="9.140625" style="23" customWidth="1"/>
    <col min="22" max="22" width="19.57421875" style="23" customWidth="1"/>
    <col min="23" max="16384" width="9.140625" style="23" customWidth="1"/>
  </cols>
  <sheetData>
    <row r="1" ht="11.25" customHeight="1"/>
    <row r="2" ht="11.25" customHeight="1">
      <c r="A2" s="1"/>
    </row>
    <row r="3" spans="1:22" ht="11.25" customHeight="1">
      <c r="A3" s="1" t="s">
        <v>36</v>
      </c>
      <c r="H3" s="102" t="s">
        <v>853</v>
      </c>
      <c r="I3" s="102"/>
      <c r="J3" s="102"/>
      <c r="K3" s="102"/>
      <c r="T3" s="1"/>
      <c r="U3" s="1"/>
      <c r="V3" s="1"/>
    </row>
    <row r="4" spans="1:22" ht="11.25" customHeight="1">
      <c r="A4" s="1" t="s">
        <v>37</v>
      </c>
      <c r="H4" s="102" t="s">
        <v>45</v>
      </c>
      <c r="I4" s="102"/>
      <c r="J4" s="102"/>
      <c r="K4" s="102"/>
      <c r="T4" s="1"/>
      <c r="U4" s="1"/>
      <c r="V4" s="1"/>
    </row>
    <row r="5" spans="1:22" ht="11.25" customHeight="1">
      <c r="A5" s="1"/>
      <c r="T5" s="1"/>
      <c r="U5" s="1"/>
      <c r="V5" s="1"/>
    </row>
    <row r="6" spans="1:26" ht="12">
      <c r="A6" s="57" t="s">
        <v>857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57"/>
      <c r="U6" s="57"/>
      <c r="V6" s="57"/>
      <c r="W6" s="64"/>
      <c r="X6" s="64"/>
      <c r="Y6" s="64"/>
      <c r="Z6" s="64"/>
    </row>
    <row r="7" spans="1:22" ht="11.25" customHeight="1">
      <c r="A7" s="31" t="s">
        <v>45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31"/>
      <c r="U7" s="31"/>
      <c r="V7" s="31"/>
    </row>
    <row r="8" spans="1:22" ht="11.25" customHeight="1">
      <c r="A8" s="1"/>
      <c r="T8" s="1"/>
      <c r="V8" s="1"/>
    </row>
    <row r="9" spans="1:22" ht="12">
      <c r="A9" s="17"/>
      <c r="T9" s="17"/>
      <c r="V9" s="17"/>
    </row>
    <row r="10" spans="1:22" ht="36">
      <c r="A10" s="17"/>
      <c r="B10" s="36" t="s">
        <v>70</v>
      </c>
      <c r="C10" s="36" t="s">
        <v>41</v>
      </c>
      <c r="D10" s="36" t="s">
        <v>40</v>
      </c>
      <c r="E10" s="36" t="s">
        <v>49</v>
      </c>
      <c r="F10" s="36" t="s">
        <v>44</v>
      </c>
      <c r="G10" s="36" t="s">
        <v>43</v>
      </c>
      <c r="H10" s="36" t="s">
        <v>42</v>
      </c>
      <c r="I10" s="65" t="s">
        <v>33</v>
      </c>
      <c r="T10" s="17"/>
      <c r="V10" s="17"/>
    </row>
    <row r="11" spans="1:25" s="78" customFormat="1" ht="12" customHeight="1">
      <c r="A11" s="21" t="s">
        <v>54</v>
      </c>
      <c r="B11" s="79">
        <v>45.127607394796456</v>
      </c>
      <c r="C11" s="79">
        <v>21.664954407456115</v>
      </c>
      <c r="D11" s="79">
        <v>12.56417320194592</v>
      </c>
      <c r="E11" s="79">
        <v>4.343192942729443</v>
      </c>
      <c r="F11" s="81">
        <v>5.956203168408375</v>
      </c>
      <c r="G11" s="81">
        <v>4.606256013437171</v>
      </c>
      <c r="H11" s="81">
        <v>2.9066168636976935</v>
      </c>
      <c r="I11" s="81">
        <v>2.8309960075288103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U11" s="79"/>
      <c r="V11" s="79"/>
      <c r="W11" s="79"/>
      <c r="Y11" s="79"/>
    </row>
    <row r="12" spans="1:25" s="78" customFormat="1" ht="12" customHeight="1">
      <c r="A12" s="21" t="s">
        <v>77</v>
      </c>
      <c r="B12" s="79">
        <v>47.879747908376885</v>
      </c>
      <c r="C12" s="79">
        <v>20.9391503515533</v>
      </c>
      <c r="D12" s="79">
        <v>10.907242019401478</v>
      </c>
      <c r="E12" s="79">
        <v>4.1848596881580296</v>
      </c>
      <c r="F12" s="81">
        <v>5.485736166655082</v>
      </c>
      <c r="G12" s="81">
        <v>4.566167176313199</v>
      </c>
      <c r="H12" s="81">
        <v>3.0994137444417635</v>
      </c>
      <c r="I12" s="81">
        <v>2.9376829451002493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U12" s="79"/>
      <c r="V12" s="79"/>
      <c r="W12" s="79"/>
      <c r="Y12" s="79"/>
    </row>
    <row r="13" spans="1:25" s="78" customFormat="1" ht="12" customHeight="1">
      <c r="A13" s="21"/>
      <c r="B13" s="79"/>
      <c r="C13" s="79"/>
      <c r="D13" s="79"/>
      <c r="E13" s="79"/>
      <c r="F13" s="81"/>
      <c r="G13" s="81"/>
      <c r="H13" s="81"/>
      <c r="I13" s="81"/>
      <c r="J13" s="23"/>
      <c r="K13" s="23"/>
      <c r="L13" s="23"/>
      <c r="M13" s="23"/>
      <c r="N13" s="23"/>
      <c r="O13" s="23"/>
      <c r="P13" s="23"/>
      <c r="Q13" s="23"/>
      <c r="R13" s="23"/>
      <c r="S13" s="23"/>
      <c r="U13" s="79"/>
      <c r="V13" s="79"/>
      <c r="W13" s="79"/>
      <c r="Y13" s="79"/>
    </row>
    <row r="14" spans="1:25" s="78" customFormat="1" ht="12" customHeight="1">
      <c r="A14" s="21" t="s">
        <v>1</v>
      </c>
      <c r="B14" s="79">
        <v>48.08038917598824</v>
      </c>
      <c r="C14" s="79">
        <v>23.48555154882977</v>
      </c>
      <c r="D14" s="79">
        <v>7.696261749588712</v>
      </c>
      <c r="E14" s="79">
        <v>4.706211696329879</v>
      </c>
      <c r="F14" s="81">
        <v>4.238258927460114</v>
      </c>
      <c r="G14" s="81">
        <v>3.469619755074875</v>
      </c>
      <c r="H14" s="81">
        <v>6.421936612598433</v>
      </c>
      <c r="I14" s="81">
        <v>1.9017705341299944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U14" s="79"/>
      <c r="V14" s="79"/>
      <c r="W14" s="79"/>
      <c r="Y14" s="79"/>
    </row>
    <row r="15" spans="1:25" s="78" customFormat="1" ht="12" customHeight="1">
      <c r="A15" s="21" t="s">
        <v>22</v>
      </c>
      <c r="B15" s="79">
        <v>38.765762465760275</v>
      </c>
      <c r="C15" s="79">
        <v>26.342571205673803</v>
      </c>
      <c r="D15" s="79">
        <v>13.775468524854956</v>
      </c>
      <c r="E15" s="79">
        <v>2.262145977919396</v>
      </c>
      <c r="F15" s="81">
        <v>5.963147008577182</v>
      </c>
      <c r="G15" s="81">
        <v>7.147446030121768</v>
      </c>
      <c r="H15" s="81">
        <v>3.1243648013132344</v>
      </c>
      <c r="I15" s="81">
        <v>2.6190939857793722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U15" s="79"/>
      <c r="V15" s="79"/>
      <c r="W15" s="79"/>
      <c r="Y15" s="79"/>
    </row>
    <row r="16" spans="1:25" s="78" customFormat="1" ht="12" customHeight="1">
      <c r="A16" s="21" t="s">
        <v>35</v>
      </c>
      <c r="B16" s="79">
        <v>38.28248409023139</v>
      </c>
      <c r="C16" s="79">
        <v>23.54681435077695</v>
      </c>
      <c r="D16" s="79">
        <v>15.047060292734646</v>
      </c>
      <c r="E16" s="79">
        <v>1.9277261965139958</v>
      </c>
      <c r="F16" s="81">
        <v>8.590688866857473</v>
      </c>
      <c r="G16" s="81">
        <v>4.979394396601158</v>
      </c>
      <c r="H16" s="81">
        <v>5.670580499478807</v>
      </c>
      <c r="I16" s="81">
        <v>1.9552513068055646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U16" s="79"/>
      <c r="V16" s="79"/>
      <c r="W16" s="79"/>
      <c r="Y16" s="79"/>
    </row>
    <row r="17" spans="1:25" s="78" customFormat="1" ht="12" customHeight="1">
      <c r="A17" s="21" t="s">
        <v>4</v>
      </c>
      <c r="B17" s="79">
        <v>34.516923558013296</v>
      </c>
      <c r="C17" s="79">
        <v>29.86529266563449</v>
      </c>
      <c r="D17" s="79">
        <v>17.109475880548892</v>
      </c>
      <c r="E17" s="79">
        <v>2.060282677828328</v>
      </c>
      <c r="F17" s="81">
        <v>6.63301753954012</v>
      </c>
      <c r="G17" s="81">
        <v>5.820514225996692</v>
      </c>
      <c r="H17" s="81">
        <v>3.511502376316095</v>
      </c>
      <c r="I17" s="81">
        <v>0.48299107612209013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79"/>
      <c r="V17" s="79"/>
      <c r="W17" s="79"/>
      <c r="Y17" s="79"/>
    </row>
    <row r="18" spans="1:25" s="78" customFormat="1" ht="12" customHeight="1">
      <c r="A18" s="21" t="s">
        <v>9</v>
      </c>
      <c r="B18" s="79">
        <v>54.66009372442618</v>
      </c>
      <c r="C18" s="79">
        <v>17.19578805191471</v>
      </c>
      <c r="D18" s="79">
        <v>10.836285041137865</v>
      </c>
      <c r="E18" s="79">
        <v>2.393203060520417</v>
      </c>
      <c r="F18" s="81">
        <v>4.96179930805504</v>
      </c>
      <c r="G18" s="81">
        <v>5.251051556806393</v>
      </c>
      <c r="H18" s="81">
        <v>1.9273715928617623</v>
      </c>
      <c r="I18" s="81">
        <v>2.774407664277632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U18" s="79"/>
      <c r="V18" s="79"/>
      <c r="W18" s="79"/>
      <c r="Y18" s="79"/>
    </row>
    <row r="19" spans="1:25" s="78" customFormat="1" ht="12" customHeight="1">
      <c r="A19" s="21" t="s">
        <v>18</v>
      </c>
      <c r="B19" s="79">
        <v>33.92194816008304</v>
      </c>
      <c r="C19" s="79">
        <v>28.777966413270327</v>
      </c>
      <c r="D19" s="79">
        <v>16.768493787644495</v>
      </c>
      <c r="E19" s="79">
        <v>0.09840284611308757</v>
      </c>
      <c r="F19" s="81">
        <v>14.049979995025788</v>
      </c>
      <c r="G19" s="81">
        <v>4.029109940850157</v>
      </c>
      <c r="H19" s="81">
        <v>1.0921634568595433</v>
      </c>
      <c r="I19" s="81">
        <v>1.261935400153547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U19" s="79"/>
      <c r="V19" s="79"/>
      <c r="W19" s="79"/>
      <c r="Y19" s="79"/>
    </row>
    <row r="20" spans="1:25" s="78" customFormat="1" ht="12" customHeight="1">
      <c r="A20" s="21" t="s">
        <v>25</v>
      </c>
      <c r="B20" s="79">
        <v>37.458701931172044</v>
      </c>
      <c r="C20" s="79">
        <v>26.822114575103296</v>
      </c>
      <c r="D20" s="79">
        <v>12.738909684355045</v>
      </c>
      <c r="E20" s="79">
        <v>7.526312381001723</v>
      </c>
      <c r="F20" s="81">
        <v>7.121219578535625</v>
      </c>
      <c r="G20" s="81">
        <v>4.039685520742938</v>
      </c>
      <c r="H20" s="81">
        <v>2.3744738171409328</v>
      </c>
      <c r="I20" s="81">
        <v>1.9185825119483724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U20" s="79"/>
      <c r="V20" s="79"/>
      <c r="W20" s="79"/>
      <c r="Y20" s="79"/>
    </row>
    <row r="21" spans="1:25" s="78" customFormat="1" ht="12" customHeight="1">
      <c r="A21" s="21" t="s">
        <v>13</v>
      </c>
      <c r="B21" s="79">
        <v>44.891118351656075</v>
      </c>
      <c r="C21" s="79">
        <v>25.167014369095895</v>
      </c>
      <c r="D21" s="79">
        <v>10.551792034879632</v>
      </c>
      <c r="E21" s="79">
        <v>6.597360586952955</v>
      </c>
      <c r="F21" s="81">
        <v>9.502824593891376</v>
      </c>
      <c r="G21" s="81">
        <v>3.0156348890086964</v>
      </c>
      <c r="H21" s="81">
        <v>1.9549471414172195</v>
      </c>
      <c r="I21" s="81">
        <v>-1.680691966901847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U21" s="79"/>
      <c r="V21" s="79"/>
      <c r="W21" s="79"/>
      <c r="Y21" s="79"/>
    </row>
    <row r="22" spans="1:25" s="78" customFormat="1" ht="12" customHeight="1">
      <c r="A22" s="21" t="s">
        <v>11</v>
      </c>
      <c r="B22" s="79">
        <v>43.49530305950575</v>
      </c>
      <c r="C22" s="79">
        <v>25.722348386448008</v>
      </c>
      <c r="D22" s="79">
        <v>12.18983851910201</v>
      </c>
      <c r="E22" s="79">
        <v>6.252880594638532</v>
      </c>
      <c r="F22" s="81">
        <v>4.878365582026765</v>
      </c>
      <c r="G22" s="81">
        <v>3.2214475459428655</v>
      </c>
      <c r="H22" s="81">
        <v>2.4993086572867522</v>
      </c>
      <c r="I22" s="81">
        <v>1.7405076550493277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U22" s="79"/>
      <c r="V22" s="79"/>
      <c r="W22" s="79"/>
      <c r="Y22" s="79"/>
    </row>
    <row r="23" spans="1:25" s="78" customFormat="1" ht="12" customHeight="1">
      <c r="A23" s="21" t="s">
        <v>10</v>
      </c>
      <c r="B23" s="79">
        <v>45.77126943189664</v>
      </c>
      <c r="C23" s="79">
        <v>22.457095796425243</v>
      </c>
      <c r="D23" s="79">
        <v>8.817692352942998</v>
      </c>
      <c r="E23" s="79">
        <v>3.128918501363832</v>
      </c>
      <c r="F23" s="81">
        <v>5.985999436509829</v>
      </c>
      <c r="G23" s="81">
        <v>5.870437509868818</v>
      </c>
      <c r="H23" s="81">
        <v>4.543294312154978</v>
      </c>
      <c r="I23" s="81">
        <v>3.4252926588376624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U23" s="79"/>
      <c r="V23" s="79"/>
      <c r="W23" s="79"/>
      <c r="Y23" s="79"/>
    </row>
    <row r="24" spans="1:25" s="78" customFormat="1" ht="12" customHeight="1">
      <c r="A24" s="21" t="s">
        <v>23</v>
      </c>
      <c r="B24" s="79">
        <v>34.7760102545527</v>
      </c>
      <c r="C24" s="79">
        <v>25.19936657115245</v>
      </c>
      <c r="D24" s="79">
        <v>17.51785723213631</v>
      </c>
      <c r="E24" s="79">
        <v>5.943586531696293</v>
      </c>
      <c r="F24" s="81">
        <v>5.972222193624877</v>
      </c>
      <c r="G24" s="81">
        <v>3.881703845636323</v>
      </c>
      <c r="H24" s="81">
        <v>3.775330318400156</v>
      </c>
      <c r="I24" s="81">
        <v>2.9339230528008926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U24" s="79"/>
      <c r="V24" s="79"/>
      <c r="W24" s="79"/>
      <c r="Y24" s="79"/>
    </row>
    <row r="25" spans="1:25" s="78" customFormat="1" ht="12" customHeight="1">
      <c r="A25" s="21" t="s">
        <v>12</v>
      </c>
      <c r="B25" s="79">
        <v>46.15143657865243</v>
      </c>
      <c r="C25" s="79">
        <v>19.53396800139114</v>
      </c>
      <c r="D25" s="79">
        <v>11.286221160339638</v>
      </c>
      <c r="E25" s="79">
        <v>7.825045051268523</v>
      </c>
      <c r="F25" s="81">
        <v>4.011796107427474</v>
      </c>
      <c r="G25" s="81">
        <v>2.8595793944490167</v>
      </c>
      <c r="H25" s="81">
        <v>3.1428098413647465</v>
      </c>
      <c r="I25" s="81">
        <v>5.189143865107042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U25" s="79"/>
      <c r="V25" s="79"/>
      <c r="W25" s="79"/>
      <c r="Y25" s="79"/>
    </row>
    <row r="26" spans="1:25" s="78" customFormat="1" ht="12" customHeight="1">
      <c r="A26" s="21" t="s">
        <v>14</v>
      </c>
      <c r="B26" s="79">
        <v>35.69159884949359</v>
      </c>
      <c r="C26" s="79">
        <v>32.039695197589936</v>
      </c>
      <c r="D26" s="79">
        <v>8.215760847339796</v>
      </c>
      <c r="E26" s="79">
        <v>8.328903065745171</v>
      </c>
      <c r="F26" s="81">
        <v>7.177033492822966</v>
      </c>
      <c r="G26" s="81">
        <v>6.29506945296419</v>
      </c>
      <c r="H26" s="81">
        <v>0.7511007511007511</v>
      </c>
      <c r="I26" s="81">
        <v>1.5008383429436094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U26" s="79"/>
      <c r="V26" s="79"/>
      <c r="W26" s="79"/>
      <c r="Y26" s="79"/>
    </row>
    <row r="27" spans="1:25" s="78" customFormat="1" ht="12" customHeight="1">
      <c r="A27" s="21" t="s">
        <v>7</v>
      </c>
      <c r="B27" s="79">
        <v>30.807804897151975</v>
      </c>
      <c r="C27" s="79">
        <v>26.997385966458133</v>
      </c>
      <c r="D27" s="79">
        <v>16.168238023908128</v>
      </c>
      <c r="E27" s="79">
        <v>2.4649259357163134</v>
      </c>
      <c r="F27" s="81">
        <v>10.56235987507465</v>
      </c>
      <c r="G27" s="81">
        <v>8.220988633359767</v>
      </c>
      <c r="H27" s="81">
        <v>3.452580256703968</v>
      </c>
      <c r="I27" s="81">
        <v>1.32571641162707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U27" s="79"/>
      <c r="V27" s="79"/>
      <c r="W27" s="79"/>
      <c r="Y27" s="79"/>
    </row>
    <row r="28" spans="1:25" s="78" customFormat="1" ht="12" customHeight="1">
      <c r="A28" s="21" t="s">
        <v>6</v>
      </c>
      <c r="B28" s="79">
        <v>38.00543398264022</v>
      </c>
      <c r="C28" s="79">
        <v>28.811178151181387</v>
      </c>
      <c r="D28" s="79">
        <v>13.845578105815207</v>
      </c>
      <c r="E28" s="79">
        <v>3.380401360471856</v>
      </c>
      <c r="F28" s="81">
        <v>9.502637604522395</v>
      </c>
      <c r="G28" s="81">
        <v>4.243226061372344</v>
      </c>
      <c r="H28" s="81">
        <v>1.0351510871431056</v>
      </c>
      <c r="I28" s="81">
        <v>1.176393646853498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U28" s="79"/>
      <c r="V28" s="79"/>
      <c r="W28" s="79"/>
      <c r="Y28" s="79"/>
    </row>
    <row r="29" spans="1:25" s="78" customFormat="1" ht="12" customHeight="1">
      <c r="A29" s="21" t="s">
        <v>0</v>
      </c>
      <c r="B29" s="79">
        <v>46.8871941159879</v>
      </c>
      <c r="C29" s="79">
        <v>21.149144012430007</v>
      </c>
      <c r="D29" s="79">
        <v>8.431712339062845</v>
      </c>
      <c r="E29" s="79">
        <v>0.8091075409858255</v>
      </c>
      <c r="F29" s="81">
        <v>9.37826724102057</v>
      </c>
      <c r="G29" s="81">
        <v>8.060654371259073</v>
      </c>
      <c r="H29" s="81">
        <v>3.069101326036057</v>
      </c>
      <c r="I29" s="81">
        <v>2.214819053217724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U29" s="79"/>
      <c r="V29" s="79"/>
      <c r="W29" s="79"/>
      <c r="Y29" s="79"/>
    </row>
    <row r="30" spans="1:25" s="78" customFormat="1" ht="12" customHeight="1">
      <c r="A30" s="21" t="s">
        <v>20</v>
      </c>
      <c r="B30" s="79">
        <v>30.45537184791441</v>
      </c>
      <c r="C30" s="79">
        <v>23.276487450292873</v>
      </c>
      <c r="D30" s="79">
        <v>15.369940528396581</v>
      </c>
      <c r="E30" s="79">
        <v>6.011810802624643</v>
      </c>
      <c r="F30" s="81">
        <v>9.503280844040424</v>
      </c>
      <c r="G30" s="81">
        <v>7.557225241880482</v>
      </c>
      <c r="H30" s="81">
        <v>2.813420373444878</v>
      </c>
      <c r="I30" s="81">
        <v>5.012462911405706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U30" s="79"/>
      <c r="V30" s="79"/>
      <c r="W30" s="79"/>
      <c r="Y30" s="79"/>
    </row>
    <row r="31" spans="1:25" s="78" customFormat="1" ht="12" customHeight="1">
      <c r="A31" s="21" t="s">
        <v>16</v>
      </c>
      <c r="B31" s="79">
        <v>28.05358463215481</v>
      </c>
      <c r="C31" s="79">
        <v>31.323534147962</v>
      </c>
      <c r="D31" s="79">
        <v>18.58107206884553</v>
      </c>
      <c r="E31" s="79">
        <v>5.170668806921549</v>
      </c>
      <c r="F31" s="81">
        <v>6.1352241429539465</v>
      </c>
      <c r="G31" s="81">
        <v>5.008351726020379</v>
      </c>
      <c r="H31" s="81">
        <v>3.2574896892970338</v>
      </c>
      <c r="I31" s="81">
        <v>2.4700747858447443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U31" s="79"/>
      <c r="V31" s="79"/>
      <c r="W31" s="79"/>
      <c r="Y31" s="79"/>
    </row>
    <row r="32" spans="1:25" s="78" customFormat="1" ht="12" customHeight="1">
      <c r="A32" s="21" t="s">
        <v>2</v>
      </c>
      <c r="B32" s="79">
        <v>49.33224364213259</v>
      </c>
      <c r="C32" s="79">
        <v>19.984616124224797</v>
      </c>
      <c r="D32" s="79">
        <v>13.322756918737882</v>
      </c>
      <c r="E32" s="79">
        <v>2.261109241542875</v>
      </c>
      <c r="F32" s="81">
        <v>8.253449353396473</v>
      </c>
      <c r="G32" s="81">
        <v>3.274201560822396</v>
      </c>
      <c r="H32" s="81">
        <v>2.9040270499815715</v>
      </c>
      <c r="I32" s="81">
        <v>0.6675961091614369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U32" s="79"/>
      <c r="V32" s="79"/>
      <c r="W32" s="79"/>
      <c r="Y32" s="79"/>
    </row>
    <row r="33" spans="1:25" s="78" customFormat="1" ht="12" customHeight="1">
      <c r="A33" s="21" t="s">
        <v>26</v>
      </c>
      <c r="B33" s="79">
        <v>45.30378339750821</v>
      </c>
      <c r="C33" s="79">
        <v>21.590261791241105</v>
      </c>
      <c r="D33" s="79">
        <v>12.49390487179217</v>
      </c>
      <c r="E33" s="79">
        <v>3.7393276961135613</v>
      </c>
      <c r="F33" s="81">
        <v>6.149700819234901</v>
      </c>
      <c r="G33" s="81">
        <v>5.12031058703694</v>
      </c>
      <c r="H33" s="81">
        <v>2.9318980942579604</v>
      </c>
      <c r="I33" s="81">
        <v>2.6708127428151442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U33" s="79"/>
      <c r="V33" s="79"/>
      <c r="W33" s="79"/>
      <c r="Y33" s="79"/>
    </row>
    <row r="34" spans="1:25" s="78" customFormat="1" ht="12" customHeight="1">
      <c r="A34" s="21" t="s">
        <v>21</v>
      </c>
      <c r="B34" s="79">
        <v>41.32508176494781</v>
      </c>
      <c r="C34" s="79">
        <v>24.442823289790645</v>
      </c>
      <c r="D34" s="79">
        <v>13.82353949198018</v>
      </c>
      <c r="E34" s="79">
        <v>3.810026243120973</v>
      </c>
      <c r="F34" s="81">
        <v>9.018991989972777</v>
      </c>
      <c r="G34" s="81">
        <v>4.305389632008773</v>
      </c>
      <c r="H34" s="81">
        <v>1.234552789800435</v>
      </c>
      <c r="I34" s="81">
        <v>2.0395947983784026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U34" s="79"/>
      <c r="V34" s="79"/>
      <c r="W34" s="79"/>
      <c r="Y34" s="79"/>
    </row>
    <row r="35" spans="1:25" s="78" customFormat="1" ht="12" customHeight="1">
      <c r="A35" s="21" t="s">
        <v>17</v>
      </c>
      <c r="B35" s="79">
        <v>40.2210887628345</v>
      </c>
      <c r="C35" s="79">
        <v>24.019996396384393</v>
      </c>
      <c r="D35" s="79">
        <v>11.823645760181357</v>
      </c>
      <c r="E35" s="79">
        <v>8.456737216862505</v>
      </c>
      <c r="F35" s="81">
        <v>3.8570544728114204</v>
      </c>
      <c r="G35" s="81">
        <v>4.983592594711087</v>
      </c>
      <c r="H35" s="81">
        <v>0.9783742973104843</v>
      </c>
      <c r="I35" s="81">
        <v>5.65951049890424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U35" s="79"/>
      <c r="V35" s="79"/>
      <c r="W35" s="79"/>
      <c r="Y35" s="79"/>
    </row>
    <row r="36" spans="1:25" s="78" customFormat="1" ht="12" customHeight="1">
      <c r="A36" s="21" t="s">
        <v>27</v>
      </c>
      <c r="B36" s="79">
        <v>34.788890611015</v>
      </c>
      <c r="C36" s="79">
        <v>29.084196607225394</v>
      </c>
      <c r="D36" s="79">
        <v>14.583184974496245</v>
      </c>
      <c r="E36" s="79">
        <v>4.0025468848833174</v>
      </c>
      <c r="F36" s="81">
        <v>8.409572321616826</v>
      </c>
      <c r="G36" s="81">
        <v>6.30158524035528</v>
      </c>
      <c r="H36" s="81">
        <v>1.2746642203167131</v>
      </c>
      <c r="I36" s="81">
        <v>1.555359140091241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U36" s="79"/>
      <c r="V36" s="79"/>
      <c r="W36" s="79"/>
      <c r="Y36" s="79"/>
    </row>
    <row r="37" spans="1:25" s="78" customFormat="1" ht="12" customHeight="1">
      <c r="A37" s="21" t="s">
        <v>15</v>
      </c>
      <c r="B37" s="79">
        <v>39.16536650170796</v>
      </c>
      <c r="C37" s="79">
        <v>25.692475276306286</v>
      </c>
      <c r="D37" s="79">
        <v>14.636415953386066</v>
      </c>
      <c r="E37" s="79">
        <v>5.755623336356475</v>
      </c>
      <c r="F37" s="81">
        <v>6.845562928967282</v>
      </c>
      <c r="G37" s="81">
        <v>4.70499708502033</v>
      </c>
      <c r="H37" s="81">
        <v>1.7303769843717403</v>
      </c>
      <c r="I37" s="81">
        <v>1.4691819338838599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U37" s="79"/>
      <c r="V37" s="79"/>
      <c r="W37" s="79"/>
      <c r="Y37" s="79"/>
    </row>
    <row r="38" spans="1:25" s="78" customFormat="1" ht="12" customHeight="1">
      <c r="A38" s="21" t="s">
        <v>19</v>
      </c>
      <c r="B38" s="79">
        <v>45.74863863308296</v>
      </c>
      <c r="C38" s="79">
        <v>22.71538024752708</v>
      </c>
      <c r="D38" s="79">
        <v>13.94618461374093</v>
      </c>
      <c r="E38" s="79">
        <v>3.453000873202014</v>
      </c>
      <c r="F38" s="81">
        <v>7.848946386211472</v>
      </c>
      <c r="G38" s="81">
        <v>4.2464633426184735</v>
      </c>
      <c r="H38" s="81">
        <v>1.0557607679752763</v>
      </c>
      <c r="I38" s="81">
        <v>0.9856251356418113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U38" s="79"/>
      <c r="V38" s="79"/>
      <c r="W38" s="79"/>
      <c r="Y38" s="79"/>
    </row>
    <row r="39" spans="1:25" s="78" customFormat="1" ht="12" customHeight="1">
      <c r="A39" s="21" t="s">
        <v>5</v>
      </c>
      <c r="B39" s="79">
        <v>40.59231998934257</v>
      </c>
      <c r="C39" s="79">
        <v>23.336441750482916</v>
      </c>
      <c r="D39" s="79">
        <v>20.04346233264504</v>
      </c>
      <c r="E39" s="79">
        <v>1.8242523146606275</v>
      </c>
      <c r="F39" s="81">
        <v>7.2187437554119755</v>
      </c>
      <c r="G39" s="81">
        <v>4.407013921268234</v>
      </c>
      <c r="H39" s="81">
        <v>2.2105841603943253</v>
      </c>
      <c r="I39" s="81">
        <v>0.36718177579432165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U39" s="79"/>
      <c r="V39" s="79"/>
      <c r="W39" s="79"/>
      <c r="Y39" s="79"/>
    </row>
    <row r="40" spans="1:25" s="78" customFormat="1" ht="12" customHeight="1">
      <c r="A40" s="21" t="s">
        <v>3</v>
      </c>
      <c r="B40" s="79">
        <v>33.798621927787316</v>
      </c>
      <c r="C40" s="79">
        <v>25.653637081093088</v>
      </c>
      <c r="D40" s="79">
        <v>15.96640998777024</v>
      </c>
      <c r="E40" s="79">
        <v>1.0631437167228137</v>
      </c>
      <c r="F40" s="81">
        <v>9.257260064543743</v>
      </c>
      <c r="G40" s="81">
        <v>5.009288509469765</v>
      </c>
      <c r="H40" s="81">
        <v>3.1784982846024086</v>
      </c>
      <c r="I40" s="81">
        <v>6.073140428010618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U40" s="79"/>
      <c r="V40" s="79"/>
      <c r="W40" s="79"/>
      <c r="Y40" s="79"/>
    </row>
    <row r="41" spans="1:25" s="78" customFormat="1" ht="12">
      <c r="A41" s="21" t="s">
        <v>34</v>
      </c>
      <c r="B41" s="79">
        <v>37.63325971182438</v>
      </c>
      <c r="C41" s="79">
        <v>21.938970637447532</v>
      </c>
      <c r="D41" s="79">
        <v>19.257044239834016</v>
      </c>
      <c r="E41" s="79">
        <v>6.598566770884127</v>
      </c>
      <c r="F41" s="81">
        <v>6.4338744992303205</v>
      </c>
      <c r="G41" s="81">
        <v>4.249610379676639</v>
      </c>
      <c r="H41" s="81">
        <v>1.8921683924695714</v>
      </c>
      <c r="I41" s="81">
        <v>1.9965053686334215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U41" s="79"/>
      <c r="V41" s="79"/>
      <c r="W41" s="79"/>
      <c r="Y41" s="79"/>
    </row>
    <row r="42" spans="1:11" ht="12" customHeight="1">
      <c r="A42" s="21"/>
      <c r="B42" s="79"/>
      <c r="C42" s="79"/>
      <c r="D42" s="79"/>
      <c r="E42" s="79"/>
      <c r="F42" s="81"/>
      <c r="G42" s="81"/>
      <c r="H42" s="81"/>
      <c r="I42" s="81"/>
      <c r="K42" s="17" t="s">
        <v>161</v>
      </c>
    </row>
    <row r="43" spans="1:22" ht="12" customHeight="1">
      <c r="A43" s="21" t="s">
        <v>78</v>
      </c>
      <c r="B43" s="79">
        <v>16.140269085425974</v>
      </c>
      <c r="C43" s="79">
        <v>33.86945888982719</v>
      </c>
      <c r="D43" s="79">
        <v>24.44200934733759</v>
      </c>
      <c r="E43" s="79">
        <v>9.5260464301844</v>
      </c>
      <c r="F43" s="81">
        <v>7.574783249010084</v>
      </c>
      <c r="G43" s="81">
        <v>3.926857323684695</v>
      </c>
      <c r="H43" s="81">
        <v>3.535904438756363</v>
      </c>
      <c r="I43" s="81">
        <v>0.9846712357737033</v>
      </c>
      <c r="K43" s="17" t="s">
        <v>155</v>
      </c>
      <c r="T43" s="17"/>
      <c r="U43" s="17"/>
      <c r="V43" s="17"/>
    </row>
    <row r="44" spans="1:22" ht="12" customHeight="1">
      <c r="A44" s="54" t="s">
        <v>76</v>
      </c>
      <c r="B44" s="79">
        <v>34.32008661633435</v>
      </c>
      <c r="C44" s="79">
        <v>30.1577040127913</v>
      </c>
      <c r="D44" s="79">
        <v>13.743739007099073</v>
      </c>
      <c r="E44" s="79">
        <v>0.9827342915497574</v>
      </c>
      <c r="F44" s="81">
        <v>10.828859428402476</v>
      </c>
      <c r="G44" s="81">
        <v>5.2109152576466355</v>
      </c>
      <c r="H44" s="81">
        <v>4.266714813780334</v>
      </c>
      <c r="I44" s="81">
        <v>0.4892465723960697</v>
      </c>
      <c r="K44" s="29" t="s">
        <v>152</v>
      </c>
      <c r="T44" s="17"/>
      <c r="U44" s="43"/>
      <c r="V44" s="17"/>
    </row>
    <row r="45" spans="1:22" ht="12" customHeight="1">
      <c r="A45" s="54" t="s">
        <v>157</v>
      </c>
      <c r="B45" s="79"/>
      <c r="C45" s="79"/>
      <c r="D45" s="79"/>
      <c r="E45" s="79"/>
      <c r="F45" s="81"/>
      <c r="G45" s="81"/>
      <c r="H45" s="81"/>
      <c r="I45" s="81"/>
      <c r="T45" s="41"/>
      <c r="U45" s="39"/>
      <c r="V45" s="40"/>
    </row>
    <row r="46" ht="12">
      <c r="U46" s="43"/>
    </row>
    <row r="47" spans="1:15" ht="12">
      <c r="A47" s="17" t="s">
        <v>161</v>
      </c>
      <c r="B47" s="17"/>
      <c r="C47" s="17"/>
      <c r="D47" s="3"/>
      <c r="E47" s="17"/>
      <c r="F47" s="17"/>
      <c r="G47" s="17"/>
      <c r="H47" s="17"/>
      <c r="J47" s="38"/>
      <c r="K47" s="38"/>
      <c r="L47" s="38"/>
      <c r="M47" s="38"/>
      <c r="N47" s="38"/>
      <c r="O47" s="38"/>
    </row>
    <row r="48" spans="1:15" ht="12">
      <c r="A48" s="17" t="s">
        <v>155</v>
      </c>
      <c r="J48" s="38"/>
      <c r="K48" s="38"/>
      <c r="L48" s="38"/>
      <c r="M48" s="38"/>
      <c r="N48" s="38"/>
      <c r="O48" s="38"/>
    </row>
    <row r="49" spans="1:15" ht="12">
      <c r="A49" s="29" t="s">
        <v>152</v>
      </c>
      <c r="J49" s="38"/>
      <c r="K49" s="38"/>
      <c r="L49" s="38"/>
      <c r="M49" s="38"/>
      <c r="N49" s="38"/>
      <c r="O49" s="38"/>
    </row>
    <row r="50" spans="1:15" ht="12">
      <c r="A50" s="38"/>
      <c r="B50" s="38"/>
      <c r="C50" s="38"/>
      <c r="D50" s="38"/>
      <c r="E50" s="38"/>
      <c r="F50" s="38"/>
      <c r="G50" s="38"/>
      <c r="H50" s="38"/>
      <c r="J50" s="38"/>
      <c r="K50" s="38"/>
      <c r="L50" s="38"/>
      <c r="M50" s="38"/>
      <c r="N50" s="38"/>
      <c r="O50" s="38"/>
    </row>
    <row r="51" spans="1:12" ht="1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">
      <c r="A56" s="38"/>
      <c r="B56" s="38"/>
      <c r="C56" s="38"/>
      <c r="D56" s="38"/>
      <c r="E56" s="38"/>
      <c r="F56" s="38"/>
      <c r="G56" s="38"/>
      <c r="H56" s="38"/>
      <c r="I56" s="38"/>
      <c r="J56" s="38"/>
      <c r="L56" s="38"/>
    </row>
    <row r="57" spans="1:9" ht="12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2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2">
      <c r="A59" s="38"/>
      <c r="I59" s="38"/>
    </row>
    <row r="60" ht="12">
      <c r="I60" s="38"/>
    </row>
  </sheetData>
  <conditionalFormatting sqref="I11:I20 I28:I45 I22:I26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V52"/>
  <sheetViews>
    <sheetView showGridLines="0" zoomScaleSheetLayoutView="100" workbookViewId="0" topLeftCell="G1">
      <selection activeCell="Y1" sqref="Y1:AL1048576"/>
    </sheetView>
  </sheetViews>
  <sheetFormatPr defaultColWidth="9.140625" defaultRowHeight="12"/>
  <cols>
    <col min="1" max="1" width="9.28125" style="23" customWidth="1"/>
    <col min="2" max="2" width="8.00390625" style="23" customWidth="1"/>
    <col min="3" max="3" width="32.140625" style="23" customWidth="1"/>
    <col min="4" max="12" width="6.00390625" style="23" customWidth="1"/>
    <col min="13" max="13" width="5.7109375" style="23" customWidth="1"/>
    <col min="14" max="14" width="6.00390625" style="23" customWidth="1"/>
    <col min="15" max="15" width="5.8515625" style="23" customWidth="1"/>
    <col min="16" max="18" width="9.140625" style="23" customWidth="1"/>
    <col min="19" max="19" width="8.8515625" style="23" customWidth="1"/>
    <col min="20" max="20" width="2.140625" style="23" customWidth="1"/>
    <col min="21" max="21" width="2.28125" style="23" customWidth="1"/>
    <col min="22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2" ht="11.25" customHeight="1">
      <c r="C3" s="1" t="s">
        <v>36</v>
      </c>
      <c r="J3" s="1"/>
      <c r="K3" s="1"/>
      <c r="L3" s="1"/>
    </row>
    <row r="4" spans="3:12" ht="11.25" customHeight="1">
      <c r="C4" s="1" t="s">
        <v>37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3:22" ht="12">
      <c r="C6" s="57" t="s">
        <v>856</v>
      </c>
      <c r="D6" s="64"/>
      <c r="E6" s="64"/>
      <c r="F6" s="64"/>
      <c r="G6" s="64"/>
      <c r="H6" s="64"/>
      <c r="I6" s="64"/>
      <c r="J6" s="57"/>
      <c r="K6" s="57"/>
      <c r="L6" s="57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3:18" ht="11.25" customHeight="1">
      <c r="C7" s="31" t="s">
        <v>30</v>
      </c>
      <c r="D7" s="44"/>
      <c r="E7" s="44"/>
      <c r="F7" s="44"/>
      <c r="G7" s="44"/>
      <c r="H7" s="44"/>
      <c r="I7" s="44"/>
      <c r="J7" s="31"/>
      <c r="K7" s="31"/>
      <c r="L7" s="31"/>
      <c r="M7" s="44"/>
      <c r="N7" s="44"/>
      <c r="O7" s="44"/>
      <c r="P7" s="44"/>
      <c r="Q7" s="44"/>
      <c r="R7" s="44"/>
    </row>
    <row r="8" spans="3:12" ht="11.25" customHeight="1">
      <c r="C8" s="1"/>
      <c r="J8" s="1"/>
      <c r="K8" s="1"/>
      <c r="L8" s="1"/>
    </row>
    <row r="9" spans="3:12" ht="12">
      <c r="C9" s="17"/>
      <c r="J9" s="17"/>
      <c r="K9" s="17"/>
      <c r="L9" s="17"/>
    </row>
    <row r="10" spans="4:14" ht="12" customHeight="1">
      <c r="D10" s="65">
        <v>2007</v>
      </c>
      <c r="E10" s="65">
        <v>2008</v>
      </c>
      <c r="F10" s="65">
        <v>2009</v>
      </c>
      <c r="G10" s="65">
        <v>2010</v>
      </c>
      <c r="H10" s="65">
        <v>2011</v>
      </c>
      <c r="I10" s="65">
        <v>2012</v>
      </c>
      <c r="J10" s="65">
        <v>2013</v>
      </c>
      <c r="K10" s="65">
        <v>2014</v>
      </c>
      <c r="L10" s="65">
        <v>2015</v>
      </c>
      <c r="M10" s="65">
        <v>2016</v>
      </c>
      <c r="N10" s="65">
        <v>2017</v>
      </c>
    </row>
    <row r="11" spans="3:18" ht="12" customHeight="1">
      <c r="C11" s="23" t="s">
        <v>29</v>
      </c>
      <c r="D11" s="66">
        <v>12.98774</v>
      </c>
      <c r="E11" s="66">
        <v>12.57868</v>
      </c>
      <c r="F11" s="66">
        <v>12.44275</v>
      </c>
      <c r="G11" s="66">
        <v>12.82635</v>
      </c>
      <c r="H11" s="66">
        <v>13.03502</v>
      </c>
      <c r="I11" s="66">
        <v>13.26513</v>
      </c>
      <c r="J11" s="66">
        <v>13.34109</v>
      </c>
      <c r="K11" s="66">
        <v>13.41292</v>
      </c>
      <c r="L11" s="66">
        <v>13.36949</v>
      </c>
      <c r="M11" s="66">
        <v>13.36544</v>
      </c>
      <c r="N11" s="66">
        <v>13.37438</v>
      </c>
      <c r="O11" s="82"/>
      <c r="P11" s="82"/>
      <c r="R11" s="36"/>
    </row>
    <row r="12" spans="3:18" ht="12" customHeight="1">
      <c r="C12" s="23" t="s">
        <v>46</v>
      </c>
      <c r="D12" s="66">
        <v>13.20436</v>
      </c>
      <c r="E12" s="66">
        <v>12.90542</v>
      </c>
      <c r="F12" s="66">
        <v>12.13808</v>
      </c>
      <c r="G12" s="66">
        <v>12.10731</v>
      </c>
      <c r="H12" s="66">
        <v>12.29488</v>
      </c>
      <c r="I12" s="66">
        <v>12.64706</v>
      </c>
      <c r="J12" s="66">
        <v>12.89335</v>
      </c>
      <c r="K12" s="66">
        <v>12.87704</v>
      </c>
      <c r="L12" s="66">
        <v>12.91169</v>
      </c>
      <c r="M12" s="66">
        <v>12.99144</v>
      </c>
      <c r="N12" s="66">
        <v>13.17113</v>
      </c>
      <c r="O12" s="82"/>
      <c r="P12" s="82"/>
      <c r="R12" s="37"/>
    </row>
    <row r="13" spans="3:18" ht="12" customHeight="1">
      <c r="C13" s="23" t="s">
        <v>67</v>
      </c>
      <c r="D13" s="66">
        <v>12.64108</v>
      </c>
      <c r="E13" s="66">
        <v>12.93958</v>
      </c>
      <c r="F13" s="66">
        <v>13.43678</v>
      </c>
      <c r="G13" s="66">
        <v>13.21963</v>
      </c>
      <c r="H13" s="66">
        <v>13.2581</v>
      </c>
      <c r="I13" s="66">
        <v>13.32318</v>
      </c>
      <c r="J13" s="66">
        <v>13.3907</v>
      </c>
      <c r="K13" s="66">
        <v>13.28018</v>
      </c>
      <c r="L13" s="66">
        <v>13.07629</v>
      </c>
      <c r="M13" s="66">
        <v>13.25926</v>
      </c>
      <c r="N13" s="66">
        <v>13.34106</v>
      </c>
      <c r="O13" s="82"/>
      <c r="P13" s="82"/>
      <c r="R13" s="36"/>
    </row>
    <row r="14" ht="12" customHeight="1">
      <c r="K14" s="17"/>
    </row>
    <row r="15" spans="1:12" ht="12" customHeight="1">
      <c r="A15" s="6" t="s">
        <v>50</v>
      </c>
      <c r="C15" s="17" t="s">
        <v>159</v>
      </c>
      <c r="J15" s="17"/>
      <c r="K15" s="17"/>
      <c r="L15" s="17"/>
    </row>
    <row r="16" spans="3:12" ht="12" customHeight="1">
      <c r="C16" s="40" t="s">
        <v>152</v>
      </c>
      <c r="J16" s="41"/>
      <c r="K16" s="39"/>
      <c r="L16" s="40"/>
    </row>
    <row r="17" ht="12">
      <c r="J17" s="24"/>
    </row>
    <row r="18" ht="12"/>
    <row r="19" ht="12">
      <c r="K19" s="1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7"/>
    </row>
    <row r="35" ht="12"/>
    <row r="36" ht="12"/>
    <row r="37" ht="12"/>
    <row r="38" ht="12"/>
    <row r="39" spans="1:6" ht="12">
      <c r="A39" s="59"/>
      <c r="B39" s="65"/>
      <c r="C39" s="65"/>
      <c r="D39" s="65"/>
      <c r="E39" s="65"/>
      <c r="F39" s="65"/>
    </row>
    <row r="40" spans="1:6" ht="12">
      <c r="A40" s="65"/>
      <c r="B40" s="65"/>
      <c r="C40" s="65"/>
      <c r="D40" s="65"/>
      <c r="E40" s="65"/>
      <c r="F40" s="65"/>
    </row>
    <row r="41" spans="2:8" ht="45.75" customHeight="1">
      <c r="B41" s="65"/>
      <c r="C41" s="65"/>
      <c r="D41" s="65"/>
      <c r="E41" s="65"/>
      <c r="F41" s="65"/>
      <c r="G41" s="65"/>
      <c r="H41" s="65"/>
    </row>
    <row r="42" spans="2:8" ht="12">
      <c r="B42" s="65"/>
      <c r="C42" s="65"/>
      <c r="D42" s="65"/>
      <c r="E42" s="65"/>
      <c r="F42" s="65"/>
      <c r="G42" s="65"/>
      <c r="H42" s="65"/>
    </row>
    <row r="43" spans="1:8" ht="4.5" customHeight="1">
      <c r="A43" s="65"/>
      <c r="B43" s="65"/>
      <c r="C43" s="65"/>
      <c r="D43" s="65"/>
      <c r="E43" s="65"/>
      <c r="F43" s="65"/>
      <c r="G43" s="65"/>
      <c r="H43" s="65"/>
    </row>
    <row r="44" spans="1:8" ht="12">
      <c r="A44" s="65"/>
      <c r="B44" s="65"/>
      <c r="C44" s="17" t="s">
        <v>159</v>
      </c>
      <c r="D44" s="65"/>
      <c r="E44" s="65"/>
      <c r="F44" s="65"/>
      <c r="G44" s="65"/>
      <c r="H44" s="65"/>
    </row>
    <row r="45" spans="2:8" ht="12">
      <c r="B45" s="65"/>
      <c r="C45" s="40" t="s">
        <v>152</v>
      </c>
      <c r="D45" s="65"/>
      <c r="E45" s="65"/>
      <c r="F45" s="65"/>
      <c r="G45" s="65"/>
      <c r="H45" s="65"/>
    </row>
    <row r="46" spans="2:6" ht="12">
      <c r="B46" s="65"/>
      <c r="C46" s="65"/>
      <c r="D46" s="65"/>
      <c r="E46" s="65"/>
      <c r="F46" s="65"/>
    </row>
    <row r="47" spans="3:7" ht="12">
      <c r="C47" s="65"/>
      <c r="D47" s="65"/>
      <c r="E47" s="65"/>
      <c r="F47" s="65"/>
      <c r="G47" s="82"/>
    </row>
    <row r="48" spans="3:7" ht="12">
      <c r="C48" s="65"/>
      <c r="D48" s="65"/>
      <c r="E48" s="65"/>
      <c r="F48" s="65"/>
      <c r="G48" s="82"/>
    </row>
    <row r="49" spans="3:7" ht="12">
      <c r="C49" s="65"/>
      <c r="D49" s="65"/>
      <c r="E49" s="65"/>
      <c r="F49" s="65"/>
      <c r="G49" s="82"/>
    </row>
    <row r="50" spans="1:6" ht="12">
      <c r="A50" s="1" t="s">
        <v>47</v>
      </c>
      <c r="D50" s="82"/>
      <c r="E50" s="82"/>
      <c r="F50" s="82"/>
    </row>
    <row r="51" spans="1:6" ht="12">
      <c r="A51" s="25" t="s">
        <v>63</v>
      </c>
      <c r="D51" s="82"/>
      <c r="E51" s="82"/>
      <c r="F51" s="82"/>
    </row>
    <row r="52" spans="4:6" ht="12">
      <c r="D52" s="82"/>
      <c r="E52" s="82"/>
      <c r="F52" s="82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B89"/>
  <sheetViews>
    <sheetView showGridLines="0" zoomScaleSheetLayoutView="100" workbookViewId="0" topLeftCell="A16">
      <selection activeCell="D45" sqref="D45:F45"/>
    </sheetView>
  </sheetViews>
  <sheetFormatPr defaultColWidth="9.140625" defaultRowHeight="12"/>
  <cols>
    <col min="1" max="2" width="9.28125" style="17" customWidth="1"/>
    <col min="3" max="3" width="18.8515625" style="17" customWidth="1"/>
    <col min="4" max="4" width="15.140625" style="59" customWidth="1"/>
    <col min="5" max="6" width="15.140625" style="17" customWidth="1"/>
    <col min="7" max="7" width="9.140625" style="17" customWidth="1"/>
    <col min="8" max="8" width="10.8515625" style="17" customWidth="1"/>
    <col min="9" max="23" width="9.140625" style="17" customWidth="1"/>
    <col min="24" max="24" width="5.421875" style="17" customWidth="1"/>
    <col min="25" max="26" width="9.140625" style="17" customWidth="1"/>
    <col min="27" max="27" width="25.8515625" style="17" customWidth="1"/>
    <col min="28" max="29" width="9.140625" style="17" customWidth="1"/>
    <col min="30" max="30" width="26.00390625" style="17" customWidth="1"/>
    <col min="31" max="16384" width="9.140625" style="17" customWidth="1"/>
  </cols>
  <sheetData>
    <row r="1" spans="1:4" s="1" customFormat="1" ht="11.25" customHeight="1">
      <c r="A1" s="38"/>
      <c r="D1" s="2"/>
    </row>
    <row r="2" spans="1:4" s="1" customFormat="1" ht="11.25" customHeight="1">
      <c r="A2" s="17"/>
      <c r="D2" s="2"/>
    </row>
    <row r="3" spans="3:4" s="1" customFormat="1" ht="11.25" customHeight="1">
      <c r="C3" s="1" t="s">
        <v>36</v>
      </c>
      <c r="D3" s="2"/>
    </row>
    <row r="4" spans="3:4" s="1" customFormat="1" ht="11.25" customHeight="1">
      <c r="C4" s="1" t="s">
        <v>37</v>
      </c>
      <c r="D4" s="2"/>
    </row>
    <row r="5" s="1" customFormat="1" ht="11.25" customHeight="1">
      <c r="D5" s="2"/>
    </row>
    <row r="6" spans="3:28" s="1" customFormat="1" ht="12">
      <c r="C6" s="57" t="s">
        <v>855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3:25" s="1" customFormat="1" ht="11.25" customHeight="1">
      <c r="C7" s="31" t="s">
        <v>30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="1" customFormat="1" ht="11.25" customHeight="1">
      <c r="D8" s="2"/>
    </row>
    <row r="9" ht="12">
      <c r="R9" s="1"/>
    </row>
    <row r="10" spans="4:18" ht="36">
      <c r="D10" s="22" t="s">
        <v>29</v>
      </c>
      <c r="E10" s="22" t="s">
        <v>46</v>
      </c>
      <c r="F10" s="22" t="s">
        <v>67</v>
      </c>
      <c r="R10" s="1"/>
    </row>
    <row r="11" spans="1:19" ht="12" customHeight="1">
      <c r="A11" s="33"/>
      <c r="C11" s="17" t="s">
        <v>54</v>
      </c>
      <c r="D11" s="55">
        <v>13.37438</v>
      </c>
      <c r="E11" s="55">
        <v>13.17113</v>
      </c>
      <c r="F11" s="55">
        <v>13.34106</v>
      </c>
      <c r="G11" s="47">
        <v>39.794168</v>
      </c>
      <c r="H11" s="33"/>
      <c r="M11" s="33"/>
      <c r="N11" s="33"/>
      <c r="O11" s="33"/>
      <c r="R11" s="1"/>
      <c r="S11" s="55"/>
    </row>
    <row r="12" spans="1:19" ht="12" customHeight="1">
      <c r="A12" s="33"/>
      <c r="C12" s="17" t="s">
        <v>73</v>
      </c>
      <c r="D12" s="55">
        <v>12.98085</v>
      </c>
      <c r="E12" s="55">
        <v>12.85439</v>
      </c>
      <c r="F12" s="55">
        <v>15.27906</v>
      </c>
      <c r="G12" s="47">
        <v>41.088653</v>
      </c>
      <c r="H12" s="33"/>
      <c r="M12" s="33"/>
      <c r="N12" s="33"/>
      <c r="O12" s="33"/>
      <c r="S12" s="55"/>
    </row>
    <row r="13" spans="1:19" ht="12" customHeight="1">
      <c r="A13" s="33"/>
      <c r="D13" s="55"/>
      <c r="E13" s="55"/>
      <c r="F13" s="55"/>
      <c r="G13" s="47"/>
      <c r="H13" s="33"/>
      <c r="M13" s="33"/>
      <c r="N13" s="33"/>
      <c r="O13" s="33"/>
      <c r="S13" s="55"/>
    </row>
    <row r="14" spans="1:19" ht="12" customHeight="1">
      <c r="A14" s="33"/>
      <c r="B14" s="33"/>
      <c r="C14" s="17" t="s">
        <v>1</v>
      </c>
      <c r="D14" s="55">
        <v>13.0673</v>
      </c>
      <c r="E14" s="55">
        <v>16.82538</v>
      </c>
      <c r="F14" s="55">
        <v>15.81419</v>
      </c>
      <c r="G14" s="47">
        <v>46.170794</v>
      </c>
      <c r="H14" s="33"/>
      <c r="M14" s="33"/>
      <c r="N14" s="33"/>
      <c r="O14" s="33"/>
      <c r="P14" s="33"/>
      <c r="S14" s="55"/>
    </row>
    <row r="15" spans="1:19" ht="12" customHeight="1">
      <c r="A15" s="33"/>
      <c r="B15" s="33"/>
      <c r="C15" s="17" t="s">
        <v>22</v>
      </c>
      <c r="D15" s="55">
        <v>15.11</v>
      </c>
      <c r="E15" s="55">
        <v>5.89272</v>
      </c>
      <c r="F15" s="55">
        <v>8.57381</v>
      </c>
      <c r="G15" s="47">
        <v>28.012430000000002</v>
      </c>
      <c r="H15" s="33"/>
      <c r="M15" s="33"/>
      <c r="N15" s="33"/>
      <c r="O15" s="33"/>
      <c r="P15" s="33"/>
      <c r="S15" s="55"/>
    </row>
    <row r="16" spans="1:19" ht="12" customHeight="1">
      <c r="A16" s="33"/>
      <c r="B16" s="33"/>
      <c r="C16" s="17" t="s">
        <v>35</v>
      </c>
      <c r="D16" s="55">
        <v>12.45033</v>
      </c>
      <c r="E16" s="55">
        <v>7.71268</v>
      </c>
      <c r="F16" s="55">
        <v>15.02567</v>
      </c>
      <c r="G16" s="47">
        <v>34.037154</v>
      </c>
      <c r="H16" s="33"/>
      <c r="M16" s="33"/>
      <c r="N16" s="33"/>
      <c r="O16" s="33"/>
      <c r="P16" s="33"/>
      <c r="S16" s="55"/>
    </row>
    <row r="17" spans="1:19" ht="12" customHeight="1">
      <c r="A17" s="33"/>
      <c r="B17" s="33"/>
      <c r="C17" s="17" t="s">
        <v>4</v>
      </c>
      <c r="D17" s="55">
        <v>16.06227</v>
      </c>
      <c r="E17" s="55">
        <v>30.06221</v>
      </c>
      <c r="F17" s="55">
        <v>0.90336</v>
      </c>
      <c r="G17" s="47">
        <v>51.398245</v>
      </c>
      <c r="H17" s="33"/>
      <c r="M17" s="33"/>
      <c r="N17" s="33"/>
      <c r="O17" s="33"/>
      <c r="P17" s="33"/>
      <c r="S17" s="55"/>
    </row>
    <row r="18" spans="1:19" ht="12" customHeight="1">
      <c r="A18" s="33"/>
      <c r="B18" s="33"/>
      <c r="C18" s="17" t="s">
        <v>9</v>
      </c>
      <c r="D18" s="55">
        <v>10.56136</v>
      </c>
      <c r="E18" s="55">
        <v>12.94899</v>
      </c>
      <c r="F18" s="55">
        <v>16.79461</v>
      </c>
      <c r="G18" s="47">
        <v>39.330599</v>
      </c>
      <c r="H18" s="33"/>
      <c r="M18" s="33"/>
      <c r="N18" s="33"/>
      <c r="O18" s="33"/>
      <c r="P18" s="33"/>
      <c r="R18" s="25"/>
      <c r="S18" s="55"/>
    </row>
    <row r="19" spans="1:19" ht="12" customHeight="1">
      <c r="A19" s="33"/>
      <c r="B19" s="33"/>
      <c r="C19" s="17" t="s">
        <v>18</v>
      </c>
      <c r="D19" s="55">
        <v>14.55898</v>
      </c>
      <c r="E19" s="55">
        <v>7.43404</v>
      </c>
      <c r="F19" s="55">
        <v>11.72926</v>
      </c>
      <c r="G19" s="47">
        <v>32.995155</v>
      </c>
      <c r="H19" s="33"/>
      <c r="M19" s="33"/>
      <c r="N19" s="33"/>
      <c r="O19" s="33"/>
      <c r="P19" s="33"/>
      <c r="S19" s="55"/>
    </row>
    <row r="20" spans="1:19" ht="12" customHeight="1">
      <c r="A20" s="33"/>
      <c r="B20" s="33"/>
      <c r="C20" s="17" t="s">
        <v>25</v>
      </c>
      <c r="D20" s="55">
        <v>8.24682</v>
      </c>
      <c r="E20" s="55">
        <v>10.40043</v>
      </c>
      <c r="F20" s="55">
        <v>4.26941</v>
      </c>
      <c r="G20" s="47">
        <v>30.658269</v>
      </c>
      <c r="H20" s="33"/>
      <c r="M20" s="33"/>
      <c r="N20" s="33"/>
      <c r="O20" s="33"/>
      <c r="P20" s="33"/>
      <c r="S20" s="55"/>
    </row>
    <row r="21" spans="1:19" ht="12" customHeight="1">
      <c r="A21" s="33"/>
      <c r="B21" s="33"/>
      <c r="C21" s="17" t="s">
        <v>13</v>
      </c>
      <c r="D21" s="55">
        <v>17.29935</v>
      </c>
      <c r="E21" s="55">
        <v>10.17807</v>
      </c>
      <c r="F21" s="55">
        <v>14.59532</v>
      </c>
      <c r="G21" s="47">
        <v>38.212318</v>
      </c>
      <c r="H21" s="33"/>
      <c r="M21" s="33"/>
      <c r="N21" s="33"/>
      <c r="O21" s="33"/>
      <c r="P21" s="33"/>
      <c r="S21" s="55"/>
    </row>
    <row r="22" spans="1:19" ht="12" customHeight="1">
      <c r="A22" s="33"/>
      <c r="B22" s="33"/>
      <c r="C22" s="17" t="s">
        <v>11</v>
      </c>
      <c r="D22" s="55">
        <v>11.58953</v>
      </c>
      <c r="E22" s="55">
        <v>10.21035</v>
      </c>
      <c r="F22" s="55">
        <v>12.28089</v>
      </c>
      <c r="G22" s="47">
        <v>33.441319</v>
      </c>
      <c r="H22" s="33"/>
      <c r="M22" s="33"/>
      <c r="N22" s="33"/>
      <c r="O22" s="33"/>
      <c r="P22" s="33"/>
      <c r="S22" s="55"/>
    </row>
    <row r="23" spans="1:19" ht="12" customHeight="1">
      <c r="A23" s="33"/>
      <c r="B23" s="33"/>
      <c r="C23" s="17" t="s">
        <v>10</v>
      </c>
      <c r="D23" s="55">
        <v>16.27558</v>
      </c>
      <c r="E23" s="55">
        <v>12.87329</v>
      </c>
      <c r="F23" s="55">
        <v>18.85611</v>
      </c>
      <c r="G23" s="47">
        <v>47.346478</v>
      </c>
      <c r="H23" s="33"/>
      <c r="M23" s="33"/>
      <c r="N23" s="33"/>
      <c r="O23" s="33"/>
      <c r="P23" s="33"/>
      <c r="S23" s="55"/>
    </row>
    <row r="24" spans="1:19" ht="12" customHeight="1">
      <c r="A24" s="33"/>
      <c r="B24" s="33"/>
      <c r="C24" s="17" t="s">
        <v>23</v>
      </c>
      <c r="D24" s="55">
        <v>19.70816</v>
      </c>
      <c r="E24" s="55">
        <v>6.31819</v>
      </c>
      <c r="F24" s="55">
        <v>11.92899</v>
      </c>
      <c r="G24" s="47">
        <v>36.304185000000004</v>
      </c>
      <c r="H24" s="33"/>
      <c r="M24" s="33"/>
      <c r="N24" s="33"/>
      <c r="O24" s="33"/>
      <c r="P24" s="33"/>
      <c r="S24" s="55"/>
    </row>
    <row r="25" spans="1:19" ht="12" customHeight="1">
      <c r="A25" s="33"/>
      <c r="B25" s="33"/>
      <c r="C25" s="17" t="s">
        <v>12</v>
      </c>
      <c r="D25" s="55">
        <v>14.55629</v>
      </c>
      <c r="E25" s="55">
        <v>14.58862</v>
      </c>
      <c r="F25" s="55">
        <v>13.1772</v>
      </c>
      <c r="G25" s="47">
        <v>43.3736</v>
      </c>
      <c r="H25" s="33"/>
      <c r="M25" s="33"/>
      <c r="N25" s="33"/>
      <c r="O25" s="33"/>
      <c r="P25" s="33"/>
      <c r="S25" s="55"/>
    </row>
    <row r="26" spans="1:19" ht="12" customHeight="1">
      <c r="A26" s="33"/>
      <c r="B26" s="33"/>
      <c r="C26" s="17" t="s">
        <v>14</v>
      </c>
      <c r="D26" s="55">
        <v>15.82925</v>
      </c>
      <c r="E26" s="55">
        <v>9.55199</v>
      </c>
      <c r="F26" s="55">
        <v>8.88528</v>
      </c>
      <c r="G26" s="47">
        <v>34.153991</v>
      </c>
      <c r="H26" s="33"/>
      <c r="M26" s="33"/>
      <c r="N26" s="33"/>
      <c r="O26" s="33"/>
      <c r="P26" s="33"/>
      <c r="S26" s="55"/>
    </row>
    <row r="27" spans="1:19" ht="12" customHeight="1">
      <c r="A27" s="33"/>
      <c r="B27" s="33"/>
      <c r="C27" s="17" t="s">
        <v>7</v>
      </c>
      <c r="D27" s="55">
        <v>13.995</v>
      </c>
      <c r="E27" s="55">
        <v>8.56791</v>
      </c>
      <c r="F27" s="55">
        <v>8.7463</v>
      </c>
      <c r="G27" s="47">
        <v>28.380579</v>
      </c>
      <c r="H27" s="33"/>
      <c r="M27" s="33"/>
      <c r="N27" s="33"/>
      <c r="O27" s="33"/>
      <c r="P27" s="33"/>
      <c r="S27" s="55"/>
    </row>
    <row r="28" spans="1:19" ht="12" customHeight="1">
      <c r="A28" s="33"/>
      <c r="B28" s="33"/>
      <c r="C28" s="17" t="s">
        <v>6</v>
      </c>
      <c r="D28" s="55">
        <v>11.74143</v>
      </c>
      <c r="E28" s="55">
        <v>5.40569</v>
      </c>
      <c r="F28" s="55">
        <v>12.66308</v>
      </c>
      <c r="G28" s="47">
        <v>27.803894</v>
      </c>
      <c r="H28" s="33"/>
      <c r="M28" s="33"/>
      <c r="N28" s="33"/>
      <c r="O28" s="33"/>
      <c r="P28" s="33"/>
      <c r="S28" s="55"/>
    </row>
    <row r="29" spans="1:19" ht="12" customHeight="1">
      <c r="A29" s="33"/>
      <c r="B29" s="33"/>
      <c r="C29" s="17" t="s">
        <v>0</v>
      </c>
      <c r="D29" s="55">
        <v>11.8619</v>
      </c>
      <c r="E29" s="55">
        <v>15.42541</v>
      </c>
      <c r="F29" s="55">
        <v>12.48939</v>
      </c>
      <c r="G29" s="47">
        <v>40.451903</v>
      </c>
      <c r="H29" s="33"/>
      <c r="M29" s="33"/>
      <c r="N29" s="33"/>
      <c r="O29" s="33"/>
      <c r="P29" s="33"/>
      <c r="S29" s="55"/>
    </row>
    <row r="30" spans="1:19" ht="12" customHeight="1">
      <c r="A30" s="33"/>
      <c r="B30" s="33"/>
      <c r="C30" s="17" t="s">
        <v>20</v>
      </c>
      <c r="D30" s="55">
        <v>18.04909</v>
      </c>
      <c r="E30" s="55">
        <v>7.42036</v>
      </c>
      <c r="F30" s="55">
        <v>12.82873</v>
      </c>
      <c r="G30" s="47">
        <v>38.525289</v>
      </c>
      <c r="H30" s="33"/>
      <c r="M30" s="33"/>
      <c r="N30" s="33"/>
      <c r="O30" s="33"/>
      <c r="P30" s="33"/>
      <c r="S30" s="55"/>
    </row>
    <row r="31" spans="1:19" ht="12" customHeight="1">
      <c r="A31" s="33"/>
      <c r="B31" s="33"/>
      <c r="C31" s="17" t="s">
        <v>16</v>
      </c>
      <c r="D31" s="55">
        <v>12.67558</v>
      </c>
      <c r="E31" s="55">
        <v>14.13179</v>
      </c>
      <c r="F31" s="55">
        <v>6.32762</v>
      </c>
      <c r="G31" s="47">
        <v>35.206502</v>
      </c>
      <c r="H31" s="33"/>
      <c r="M31" s="33"/>
      <c r="N31" s="33"/>
      <c r="O31" s="33"/>
      <c r="P31" s="33"/>
      <c r="S31" s="55"/>
    </row>
    <row r="32" spans="1:19" ht="12" customHeight="1">
      <c r="A32" s="33"/>
      <c r="B32" s="33"/>
      <c r="C32" s="17" t="s">
        <v>2</v>
      </c>
      <c r="D32" s="55">
        <v>11.52164</v>
      </c>
      <c r="E32" s="55">
        <v>12.83635</v>
      </c>
      <c r="F32" s="55">
        <v>14.37406</v>
      </c>
      <c r="G32" s="47">
        <v>37.821552999999994</v>
      </c>
      <c r="H32" s="33"/>
      <c r="M32" s="33"/>
      <c r="N32" s="33"/>
      <c r="O32" s="33"/>
      <c r="P32" s="33"/>
      <c r="S32" s="55"/>
    </row>
    <row r="33" spans="1:19" ht="12" customHeight="1">
      <c r="A33" s="33"/>
      <c r="B33" s="33"/>
      <c r="C33" s="17" t="s">
        <v>26</v>
      </c>
      <c r="D33" s="55">
        <v>14.1082</v>
      </c>
      <c r="E33" s="55">
        <v>13.02811</v>
      </c>
      <c r="F33" s="55">
        <v>15.15521</v>
      </c>
      <c r="G33" s="47">
        <v>43.593196</v>
      </c>
      <c r="H33" s="33"/>
      <c r="M33" s="33"/>
      <c r="N33" s="33"/>
      <c r="O33" s="33"/>
      <c r="P33" s="33"/>
      <c r="S33" s="55"/>
    </row>
    <row r="34" spans="1:19" ht="12" customHeight="1">
      <c r="A34" s="33"/>
      <c r="B34" s="33"/>
      <c r="C34" s="17" t="s">
        <v>21</v>
      </c>
      <c r="D34" s="55">
        <v>13.66347</v>
      </c>
      <c r="E34" s="55">
        <v>7.36171</v>
      </c>
      <c r="F34" s="55">
        <v>13.89722</v>
      </c>
      <c r="G34" s="47">
        <v>32.870744</v>
      </c>
      <c r="H34" s="33"/>
      <c r="M34" s="33"/>
      <c r="N34" s="33"/>
      <c r="O34" s="33"/>
      <c r="P34" s="33"/>
      <c r="S34" s="55"/>
    </row>
    <row r="35" spans="1:19" ht="12" customHeight="1">
      <c r="A35" s="33"/>
      <c r="B35" s="33"/>
      <c r="C35" s="17" t="s">
        <v>17</v>
      </c>
      <c r="D35" s="55">
        <v>15.03661</v>
      </c>
      <c r="E35" s="55">
        <v>10.21224</v>
      </c>
      <c r="F35" s="55">
        <v>11.76089</v>
      </c>
      <c r="G35" s="47">
        <v>37.012316999999996</v>
      </c>
      <c r="H35" s="33"/>
      <c r="M35" s="33"/>
      <c r="N35" s="33"/>
      <c r="O35" s="33"/>
      <c r="P35" s="33"/>
      <c r="S35" s="55"/>
    </row>
    <row r="36" spans="1:19" ht="12">
      <c r="A36" s="33"/>
      <c r="B36" s="33"/>
      <c r="C36" s="17" t="s">
        <v>27</v>
      </c>
      <c r="D36" s="55">
        <v>10.28635</v>
      </c>
      <c r="E36" s="55">
        <v>6.05672</v>
      </c>
      <c r="F36" s="55">
        <v>9.33994</v>
      </c>
      <c r="G36" s="47">
        <v>27.599610000000002</v>
      </c>
      <c r="H36" s="33"/>
      <c r="M36" s="33"/>
      <c r="N36" s="33"/>
      <c r="O36" s="33"/>
      <c r="P36" s="33"/>
      <c r="S36" s="55"/>
    </row>
    <row r="37" spans="1:19" ht="12" customHeight="1" hidden="1">
      <c r="A37" s="33"/>
      <c r="B37" s="33"/>
      <c r="C37" s="17" t="s">
        <v>15</v>
      </c>
      <c r="D37" s="55">
        <v>14.17649</v>
      </c>
      <c r="E37" s="55">
        <v>7.43462</v>
      </c>
      <c r="F37" s="55">
        <v>14.72106</v>
      </c>
      <c r="G37" s="47">
        <v>36.719657</v>
      </c>
      <c r="H37" s="33"/>
      <c r="M37" s="33"/>
      <c r="N37" s="33"/>
      <c r="O37" s="33"/>
      <c r="P37" s="33"/>
      <c r="S37" s="55"/>
    </row>
    <row r="38" spans="1:19" ht="12" customHeight="1">
      <c r="A38" s="33"/>
      <c r="B38" s="33"/>
      <c r="C38" s="17" t="s">
        <v>19</v>
      </c>
      <c r="D38" s="55">
        <v>10.93362</v>
      </c>
      <c r="E38" s="55">
        <v>7.12151</v>
      </c>
      <c r="F38" s="55">
        <v>14.74802</v>
      </c>
      <c r="G38" s="47">
        <v>30.866973</v>
      </c>
      <c r="H38" s="33"/>
      <c r="I38" s="17" t="s">
        <v>158</v>
      </c>
      <c r="M38" s="33"/>
      <c r="N38" s="33"/>
      <c r="O38" s="33"/>
      <c r="P38" s="33"/>
      <c r="S38" s="55"/>
    </row>
    <row r="39" spans="1:19" ht="12" customHeight="1">
      <c r="A39" s="33"/>
      <c r="B39" s="33"/>
      <c r="C39" s="17" t="s">
        <v>5</v>
      </c>
      <c r="D39" s="55">
        <v>14.08989</v>
      </c>
      <c r="E39" s="55">
        <v>16.64758</v>
      </c>
      <c r="F39" s="55">
        <v>12.22877</v>
      </c>
      <c r="G39" s="47">
        <v>43.978629</v>
      </c>
      <c r="H39" s="33"/>
      <c r="I39" s="28" t="s">
        <v>153</v>
      </c>
      <c r="M39" s="33"/>
      <c r="N39" s="33"/>
      <c r="O39" s="33"/>
      <c r="P39" s="33"/>
      <c r="S39" s="55"/>
    </row>
    <row r="40" spans="1:19" ht="12" customHeight="1">
      <c r="A40" s="33"/>
      <c r="B40" s="33"/>
      <c r="C40" s="17" t="s">
        <v>3</v>
      </c>
      <c r="D40" s="55">
        <v>22.3906</v>
      </c>
      <c r="E40" s="55">
        <v>18.64131</v>
      </c>
      <c r="F40" s="55">
        <v>3.31656</v>
      </c>
      <c r="G40" s="47">
        <v>44.467945</v>
      </c>
      <c r="H40" s="33"/>
      <c r="M40" s="33"/>
      <c r="N40" s="33"/>
      <c r="O40" s="33"/>
      <c r="P40" s="33"/>
      <c r="S40" s="55"/>
    </row>
    <row r="41" spans="1:19" ht="12" customHeight="1">
      <c r="A41" s="33"/>
      <c r="B41" s="33"/>
      <c r="C41" s="17" t="s">
        <v>34</v>
      </c>
      <c r="D41" s="55">
        <v>12.92747</v>
      </c>
      <c r="E41" s="55">
        <v>14.26951</v>
      </c>
      <c r="F41" s="55">
        <v>7.86597</v>
      </c>
      <c r="G41" s="47">
        <v>34.515292</v>
      </c>
      <c r="H41" s="33"/>
      <c r="M41" s="33"/>
      <c r="N41" s="33"/>
      <c r="O41" s="33"/>
      <c r="P41" s="33"/>
      <c r="S41" s="55"/>
    </row>
    <row r="42" spans="1:19" ht="12" customHeight="1">
      <c r="A42" s="33"/>
      <c r="B42" s="33"/>
      <c r="D42" s="55"/>
      <c r="E42" s="55"/>
      <c r="F42" s="55"/>
      <c r="G42" s="47"/>
      <c r="H42" s="33"/>
      <c r="M42" s="33"/>
      <c r="N42" s="33"/>
      <c r="O42" s="33"/>
      <c r="P42" s="33"/>
      <c r="S42" s="55"/>
    </row>
    <row r="43" spans="1:19" ht="12" customHeight="1">
      <c r="A43" s="33"/>
      <c r="B43" s="33"/>
      <c r="C43" s="17" t="s">
        <v>78</v>
      </c>
      <c r="D43" s="55">
        <v>14.84903</v>
      </c>
      <c r="E43" s="55">
        <v>19.16824</v>
      </c>
      <c r="F43" s="55">
        <v>3.49214</v>
      </c>
      <c r="G43" s="47">
        <v>38.53385079083506</v>
      </c>
      <c r="H43" s="33"/>
      <c r="M43" s="33"/>
      <c r="N43" s="33"/>
      <c r="O43" s="33"/>
      <c r="P43" s="33"/>
      <c r="S43" s="55"/>
    </row>
    <row r="44" spans="3:8" ht="12" customHeight="1">
      <c r="C44" s="17" t="s">
        <v>76</v>
      </c>
      <c r="D44" s="55">
        <v>12.51362</v>
      </c>
      <c r="E44" s="55">
        <v>15.56955</v>
      </c>
      <c r="F44" s="55">
        <v>10.44614</v>
      </c>
      <c r="G44" s="47">
        <v>39.115947</v>
      </c>
      <c r="H44" s="33"/>
    </row>
    <row r="45" spans="3:8" ht="12" customHeight="1">
      <c r="C45" s="17" t="s">
        <v>157</v>
      </c>
      <c r="D45" s="55"/>
      <c r="E45" s="55"/>
      <c r="F45" s="55"/>
      <c r="G45" s="47">
        <v>27.242833495804977</v>
      </c>
      <c r="H45" s="33"/>
    </row>
    <row r="46" spans="1:26" ht="12" customHeight="1">
      <c r="A46" s="6" t="s">
        <v>50</v>
      </c>
      <c r="C46" s="17" t="s">
        <v>158</v>
      </c>
      <c r="D46" s="17"/>
      <c r="F46" s="3"/>
      <c r="L46" s="23"/>
      <c r="M46" s="23"/>
      <c r="N46" s="23"/>
      <c r="O46" s="23"/>
      <c r="P46" s="23"/>
      <c r="Q46" s="23"/>
      <c r="T46" s="39"/>
      <c r="U46" s="23"/>
      <c r="V46" s="23"/>
      <c r="Z46" s="23"/>
    </row>
    <row r="47" spans="3:20" ht="12" customHeight="1">
      <c r="C47" s="28" t="s">
        <v>153</v>
      </c>
      <c r="D47" s="55"/>
      <c r="E47" s="55"/>
      <c r="R47" s="41"/>
      <c r="S47" s="39"/>
      <c r="T47" s="40"/>
    </row>
    <row r="48" spans="4:11" ht="12">
      <c r="D48" s="55"/>
      <c r="E48" s="55"/>
      <c r="K48" s="6" t="s">
        <v>51</v>
      </c>
    </row>
    <row r="49" spans="4:11" ht="12">
      <c r="D49" s="22"/>
      <c r="E49" s="22"/>
      <c r="F49" s="22"/>
      <c r="I49" s="44"/>
      <c r="J49" s="45"/>
      <c r="K49" s="44"/>
    </row>
    <row r="50" spans="4:9" ht="12">
      <c r="D50" s="17"/>
      <c r="E50" s="59"/>
      <c r="F50" s="42"/>
      <c r="I50" s="59"/>
    </row>
    <row r="51" spans="4:9" ht="12">
      <c r="D51" s="17"/>
      <c r="E51" s="59"/>
      <c r="F51" s="42"/>
      <c r="I51" s="59"/>
    </row>
    <row r="52" spans="4:9" ht="12">
      <c r="D52" s="22"/>
      <c r="E52" s="22"/>
      <c r="F52" s="22"/>
      <c r="I52" s="22"/>
    </row>
    <row r="53" ht="12">
      <c r="D53" s="17"/>
    </row>
    <row r="54" spans="1:4" ht="12">
      <c r="A54" s="1" t="s">
        <v>47</v>
      </c>
      <c r="D54" s="17"/>
    </row>
    <row r="55" spans="1:4" ht="12">
      <c r="A55" s="25" t="s">
        <v>64</v>
      </c>
      <c r="D55" s="17"/>
    </row>
    <row r="56" ht="12">
      <c r="D56" s="17"/>
    </row>
    <row r="57" ht="12">
      <c r="D57" s="17"/>
    </row>
    <row r="58" ht="12">
      <c r="D58" s="17"/>
    </row>
    <row r="59" ht="12">
      <c r="D59" s="17"/>
    </row>
    <row r="60" ht="12">
      <c r="D60" s="17"/>
    </row>
    <row r="61" ht="12">
      <c r="D61" s="17"/>
    </row>
    <row r="62" ht="12">
      <c r="D62" s="17"/>
    </row>
    <row r="63" ht="12">
      <c r="D63" s="17"/>
    </row>
    <row r="64" ht="12">
      <c r="D64" s="17"/>
    </row>
    <row r="65" ht="12">
      <c r="D65" s="17"/>
    </row>
    <row r="66" ht="12">
      <c r="D66" s="17"/>
    </row>
    <row r="67" ht="12">
      <c r="D67" s="17"/>
    </row>
    <row r="68" ht="12">
      <c r="D68" s="17"/>
    </row>
    <row r="69" ht="12">
      <c r="D69" s="17"/>
    </row>
    <row r="70" ht="12">
      <c r="D70" s="17"/>
    </row>
    <row r="71" ht="12">
      <c r="D71" s="17"/>
    </row>
    <row r="72" ht="12">
      <c r="D72" s="17"/>
    </row>
    <row r="73" ht="12">
      <c r="D73" s="17"/>
    </row>
    <row r="74" ht="12">
      <c r="D74" s="17"/>
    </row>
    <row r="75" ht="12">
      <c r="D75" s="17"/>
    </row>
    <row r="76" ht="12">
      <c r="D76" s="17"/>
    </row>
    <row r="77" ht="12">
      <c r="D77" s="17"/>
    </row>
    <row r="78" ht="12">
      <c r="D78" s="17"/>
    </row>
    <row r="79" ht="12">
      <c r="D79" s="17"/>
    </row>
    <row r="80" ht="12">
      <c r="D80" s="17"/>
    </row>
    <row r="81" ht="12">
      <c r="D81" s="17"/>
    </row>
    <row r="82" ht="12">
      <c r="D82" s="17"/>
    </row>
    <row r="83" ht="12">
      <c r="D83" s="17"/>
    </row>
    <row r="84" ht="12">
      <c r="D84" s="17"/>
    </row>
    <row r="85" ht="12">
      <c r="D85" s="17"/>
    </row>
    <row r="86" ht="12">
      <c r="D86" s="17"/>
    </row>
    <row r="87" ht="12">
      <c r="D87" s="17"/>
    </row>
    <row r="88" ht="12">
      <c r="D88" s="17"/>
    </row>
    <row r="89" ht="12">
      <c r="D89" s="17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92"/>
  <sheetViews>
    <sheetView zoomScale="90" zoomScaleNormal="90" workbookViewId="0" topLeftCell="A1">
      <selection activeCell="B1" sqref="B1"/>
    </sheetView>
  </sheetViews>
  <sheetFormatPr defaultColWidth="9.140625" defaultRowHeight="12"/>
  <cols>
    <col min="1" max="1" width="36.8515625" style="0" bestFit="1" customWidth="1"/>
    <col min="2" max="14" width="12.00390625" style="0" bestFit="1" customWidth="1"/>
    <col min="15" max="16384" width="9.140625" style="23" customWidth="1"/>
  </cols>
  <sheetData>
    <row r="1" spans="1:14" ht="12">
      <c r="A1" t="s">
        <v>787</v>
      </c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</row>
    <row r="2" spans="1:14" ht="12">
      <c r="A2" t="s">
        <v>165</v>
      </c>
      <c r="B2" s="100">
        <v>2222940.51425</v>
      </c>
      <c r="C2" s="100">
        <v>2315684.09548</v>
      </c>
      <c r="D2" s="100">
        <v>2408837.61187</v>
      </c>
      <c r="E2" s="100">
        <v>2489371.61337</v>
      </c>
      <c r="F2" s="100">
        <v>2606980.42875</v>
      </c>
      <c r="G2" s="100">
        <v>2704706.72853</v>
      </c>
      <c r="H2" s="100">
        <v>2746513.61327</v>
      </c>
      <c r="I2" s="100">
        <v>2839194.45007</v>
      </c>
      <c r="J2" s="100">
        <v>2892097.44459</v>
      </c>
      <c r="K2" s="100">
        <v>2973892.03503</v>
      </c>
      <c r="L2" s="100">
        <v>3084049.12393</v>
      </c>
      <c r="M2" s="100">
        <v>3116651.64436</v>
      </c>
      <c r="N2" s="100">
        <v>3168841.37544</v>
      </c>
    </row>
    <row r="3" spans="1:14" ht="12">
      <c r="A3" t="s">
        <v>166</v>
      </c>
      <c r="B3" s="100">
        <v>1750656.32003</v>
      </c>
      <c r="C3" s="100">
        <v>1819470.40572</v>
      </c>
      <c r="D3" s="100">
        <v>1883181.05067</v>
      </c>
      <c r="E3" s="100">
        <v>1971393.62434</v>
      </c>
      <c r="F3" s="100">
        <v>2100066.68638</v>
      </c>
      <c r="G3" s="100">
        <v>2152072.3078</v>
      </c>
      <c r="H3" s="100">
        <v>2181169.40345</v>
      </c>
      <c r="I3" s="100">
        <v>2229905.28748</v>
      </c>
      <c r="J3" s="100">
        <v>2284864.74683</v>
      </c>
      <c r="K3" s="100">
        <v>2336708.55158</v>
      </c>
      <c r="L3" s="100">
        <v>2392854.11421</v>
      </c>
      <c r="M3" s="100">
        <v>2455278.85031</v>
      </c>
      <c r="N3" s="100">
        <v>2517087.22432</v>
      </c>
    </row>
    <row r="4" spans="1:14" ht="12">
      <c r="A4" t="s">
        <v>167</v>
      </c>
      <c r="B4" s="100">
        <v>67709.5</v>
      </c>
      <c r="C4" s="100">
        <v>69773.9</v>
      </c>
      <c r="D4" s="100">
        <v>73446.7</v>
      </c>
      <c r="E4" s="100">
        <v>79046.5</v>
      </c>
      <c r="F4" s="100">
        <v>84887.2</v>
      </c>
      <c r="G4" s="100">
        <v>87447.3</v>
      </c>
      <c r="H4" s="100">
        <v>91582.5</v>
      </c>
      <c r="I4" s="100">
        <v>96120.7</v>
      </c>
      <c r="J4" s="100">
        <v>99369.6</v>
      </c>
      <c r="K4" s="100">
        <v>101301.1</v>
      </c>
      <c r="L4" s="100">
        <v>103538.2</v>
      </c>
      <c r="M4" s="100">
        <v>106576.1</v>
      </c>
      <c r="N4" s="100">
        <v>110092.6</v>
      </c>
    </row>
    <row r="5" spans="1:14" ht="12">
      <c r="A5" t="s">
        <v>168</v>
      </c>
      <c r="B5" s="100">
        <v>5346.662</v>
      </c>
      <c r="C5" s="100">
        <v>5870.515</v>
      </c>
      <c r="D5" s="100">
        <v>6523.716</v>
      </c>
      <c r="E5" s="100">
        <v>8119.859</v>
      </c>
      <c r="F5" s="100">
        <v>9425.831</v>
      </c>
      <c r="G5" s="100">
        <v>10079.836</v>
      </c>
      <c r="H5" s="100">
        <v>10390.868</v>
      </c>
      <c r="I5" s="100">
        <v>10608.97</v>
      </c>
      <c r="J5" s="100">
        <v>11358.308</v>
      </c>
      <c r="K5" s="100">
        <v>12116.889</v>
      </c>
      <c r="L5" s="100">
        <v>12319.602</v>
      </c>
      <c r="M5" s="100">
        <v>13010.691</v>
      </c>
      <c r="N5" s="100">
        <v>13462.693</v>
      </c>
    </row>
    <row r="6" spans="1:14" ht="12">
      <c r="A6" t="s">
        <v>169</v>
      </c>
      <c r="B6" s="100">
        <v>471665</v>
      </c>
      <c r="C6" s="100">
        <v>501878</v>
      </c>
      <c r="D6" s="100">
        <v>559222</v>
      </c>
      <c r="E6" s="100">
        <v>583445</v>
      </c>
      <c r="F6" s="100">
        <v>629301</v>
      </c>
      <c r="G6" s="100">
        <v>638333</v>
      </c>
      <c r="H6" s="100">
        <v>651133</v>
      </c>
      <c r="I6" s="100">
        <v>663190</v>
      </c>
      <c r="J6" s="100">
        <v>677951</v>
      </c>
      <c r="K6" s="100">
        <v>695191</v>
      </c>
      <c r="L6" s="100">
        <v>710045</v>
      </c>
      <c r="M6" s="100">
        <v>729235</v>
      </c>
      <c r="N6" s="100">
        <v>751043</v>
      </c>
    </row>
    <row r="7" spans="1:14" ht="12">
      <c r="A7" t="s">
        <v>170</v>
      </c>
      <c r="B7" s="100">
        <v>279967</v>
      </c>
      <c r="C7" s="100">
        <v>281259</v>
      </c>
      <c r="D7" s="100">
        <v>284613</v>
      </c>
      <c r="E7" s="100">
        <v>292377</v>
      </c>
      <c r="F7" s="100">
        <v>314775</v>
      </c>
      <c r="G7" s="100">
        <v>340442</v>
      </c>
      <c r="H7" s="100">
        <v>348423</v>
      </c>
      <c r="I7" s="100">
        <v>357951</v>
      </c>
      <c r="J7" s="100">
        <v>365253</v>
      </c>
      <c r="K7" s="100">
        <v>371486</v>
      </c>
      <c r="L7" s="100">
        <v>376360</v>
      </c>
      <c r="M7" s="100">
        <v>378970</v>
      </c>
      <c r="N7" s="100">
        <v>384124</v>
      </c>
    </row>
    <row r="8" spans="1:14" ht="12">
      <c r="A8" t="s">
        <v>171</v>
      </c>
      <c r="B8" s="100">
        <v>581739</v>
      </c>
      <c r="C8" s="100">
        <v>582585</v>
      </c>
      <c r="D8" s="100">
        <v>582028</v>
      </c>
      <c r="E8" s="100">
        <v>592394</v>
      </c>
      <c r="F8" s="100">
        <v>624836</v>
      </c>
      <c r="G8" s="100">
        <v>634483</v>
      </c>
      <c r="H8" s="100">
        <v>633852</v>
      </c>
      <c r="I8" s="100">
        <v>645548</v>
      </c>
      <c r="J8" s="100">
        <v>666407</v>
      </c>
      <c r="K8" s="100">
        <v>690988</v>
      </c>
      <c r="L8" s="100">
        <v>722320</v>
      </c>
      <c r="M8" s="100">
        <v>754895</v>
      </c>
      <c r="N8" s="100">
        <v>783471</v>
      </c>
    </row>
    <row r="9" spans="1:14" ht="12">
      <c r="A9" t="s">
        <v>172</v>
      </c>
      <c r="B9" s="100">
        <v>1153.6</v>
      </c>
      <c r="C9" s="100">
        <v>1335.9</v>
      </c>
      <c r="D9" s="100">
        <v>1587.7</v>
      </c>
      <c r="E9" s="100">
        <v>1975.9</v>
      </c>
      <c r="F9" s="100">
        <v>2217.8</v>
      </c>
      <c r="G9" s="100">
        <v>2138</v>
      </c>
      <c r="H9" s="100">
        <v>2148.8</v>
      </c>
      <c r="I9" s="100">
        <v>2235.2</v>
      </c>
      <c r="J9" s="100">
        <v>2345</v>
      </c>
      <c r="K9" s="100">
        <v>2473.3</v>
      </c>
      <c r="L9" s="100">
        <v>2725.7</v>
      </c>
      <c r="M9" s="100">
        <v>2932.6</v>
      </c>
      <c r="N9" s="100">
        <v>3137</v>
      </c>
    </row>
    <row r="10" spans="1:14" ht="12">
      <c r="A10" t="s">
        <v>173</v>
      </c>
      <c r="B10" s="100">
        <v>18351.06</v>
      </c>
      <c r="C10" s="100">
        <v>20471.75</v>
      </c>
      <c r="D10" s="100">
        <v>23186.13</v>
      </c>
      <c r="E10" s="100">
        <v>26280.65</v>
      </c>
      <c r="F10" s="100">
        <v>28847.85</v>
      </c>
      <c r="G10" s="100">
        <v>28774.13</v>
      </c>
      <c r="H10" s="100">
        <v>28826.86</v>
      </c>
      <c r="I10" s="100">
        <v>29454.19</v>
      </c>
      <c r="J10" s="100">
        <v>28526.03</v>
      </c>
      <c r="K10" s="100">
        <v>28076.37</v>
      </c>
      <c r="L10" s="100">
        <v>28422.66</v>
      </c>
      <c r="M10" s="100">
        <v>28391.6</v>
      </c>
      <c r="N10" s="100">
        <v>28920.74</v>
      </c>
    </row>
    <row r="11" spans="1:14" ht="12">
      <c r="A11" t="s">
        <v>174</v>
      </c>
      <c r="B11" s="100">
        <v>31968</v>
      </c>
      <c r="C11" s="100">
        <v>35966</v>
      </c>
      <c r="D11" s="100">
        <v>39996</v>
      </c>
      <c r="E11" s="100">
        <v>45718</v>
      </c>
      <c r="F11" s="100">
        <v>48928</v>
      </c>
      <c r="G11" s="100">
        <v>47328</v>
      </c>
      <c r="H11" s="100">
        <v>47489</v>
      </c>
      <c r="I11" s="100">
        <v>44347</v>
      </c>
      <c r="J11" s="100">
        <v>38696</v>
      </c>
      <c r="K11" s="100">
        <v>38908</v>
      </c>
      <c r="L11" s="100">
        <v>39051</v>
      </c>
      <c r="M11" s="100">
        <v>38835</v>
      </c>
      <c r="N11" s="100">
        <v>38302</v>
      </c>
    </row>
    <row r="12" spans="1:14" ht="12">
      <c r="A12" t="s">
        <v>175</v>
      </c>
      <c r="B12" s="100">
        <v>130013</v>
      </c>
      <c r="C12" s="100">
        <v>140245</v>
      </c>
      <c r="D12" s="100">
        <v>150055</v>
      </c>
      <c r="E12" s="100">
        <v>166101</v>
      </c>
      <c r="F12" s="100">
        <v>186915</v>
      </c>
      <c r="G12" s="100">
        <v>194363</v>
      </c>
      <c r="H12" s="100">
        <v>194720</v>
      </c>
      <c r="I12" s="100">
        <v>197165</v>
      </c>
      <c r="J12" s="100">
        <v>198967</v>
      </c>
      <c r="K12" s="100">
        <v>198720</v>
      </c>
      <c r="L12" s="100">
        <v>198785</v>
      </c>
      <c r="M12" s="100">
        <v>202784</v>
      </c>
      <c r="N12" s="100">
        <v>207617</v>
      </c>
    </row>
    <row r="13" spans="1:14" ht="12">
      <c r="A13" t="s">
        <v>176</v>
      </c>
      <c r="B13" s="100">
        <v>405646</v>
      </c>
      <c r="C13" s="100">
        <v>425630</v>
      </c>
      <c r="D13" s="100">
        <v>445340</v>
      </c>
      <c r="E13" s="100">
        <v>461307</v>
      </c>
      <c r="F13" s="100">
        <v>485875</v>
      </c>
      <c r="G13" s="100">
        <v>501095</v>
      </c>
      <c r="H13" s="100">
        <v>515457</v>
      </c>
      <c r="I13" s="100">
        <v>532702</v>
      </c>
      <c r="J13" s="100">
        <v>547948</v>
      </c>
      <c r="K13" s="100">
        <v>560174</v>
      </c>
      <c r="L13" s="100">
        <v>569228</v>
      </c>
      <c r="M13" s="100">
        <v>579394</v>
      </c>
      <c r="N13" s="100">
        <v>591341</v>
      </c>
    </row>
    <row r="14" spans="1:14" ht="12">
      <c r="A14" t="s">
        <v>177</v>
      </c>
      <c r="B14" s="100">
        <v>39514.24232</v>
      </c>
      <c r="C14" s="100">
        <v>45143.8582</v>
      </c>
      <c r="D14" s="100">
        <v>47138.48465</v>
      </c>
      <c r="E14" s="100">
        <v>48699.42494</v>
      </c>
      <c r="F14" s="100">
        <v>52616.03697</v>
      </c>
      <c r="G14" s="100">
        <v>52126.15303</v>
      </c>
      <c r="H14" s="100">
        <v>54242.50125</v>
      </c>
      <c r="I14" s="100">
        <v>53853.58496</v>
      </c>
      <c r="J14" s="100">
        <v>54865.34622</v>
      </c>
      <c r="K14" s="100">
        <v>56045.65887</v>
      </c>
      <c r="L14" s="100">
        <v>57742.07746</v>
      </c>
      <c r="M14" s="100">
        <v>56026.33547</v>
      </c>
      <c r="N14" s="100">
        <v>57188.47359</v>
      </c>
    </row>
    <row r="15" spans="1:14" ht="12">
      <c r="A15" t="s">
        <v>178</v>
      </c>
      <c r="B15" s="100">
        <v>283030</v>
      </c>
      <c r="C15" s="100">
        <v>293977</v>
      </c>
      <c r="D15" s="100">
        <v>306914</v>
      </c>
      <c r="E15" s="100">
        <v>320642</v>
      </c>
      <c r="F15" s="100">
        <v>337192</v>
      </c>
      <c r="G15" s="100">
        <v>344976</v>
      </c>
      <c r="H15" s="100">
        <v>349086</v>
      </c>
      <c r="I15" s="100">
        <v>354787</v>
      </c>
      <c r="J15" s="100">
        <v>363240</v>
      </c>
      <c r="K15" s="100">
        <v>371073</v>
      </c>
      <c r="L15" s="100">
        <v>376651</v>
      </c>
      <c r="M15" s="100">
        <v>381028</v>
      </c>
      <c r="N15" s="100">
        <v>387487</v>
      </c>
    </row>
    <row r="16" spans="1:14" ht="12">
      <c r="A16" t="s">
        <v>179</v>
      </c>
      <c r="B16" s="100">
        <v>1725.5</v>
      </c>
      <c r="C16" s="100">
        <v>1785.9</v>
      </c>
      <c r="D16" s="100">
        <v>1835.9</v>
      </c>
      <c r="E16" s="100">
        <v>2083.8</v>
      </c>
      <c r="F16" s="100">
        <v>2257.4</v>
      </c>
      <c r="G16" s="100">
        <v>2479.5</v>
      </c>
      <c r="H16" s="100">
        <v>2607.7</v>
      </c>
      <c r="I16" s="100">
        <v>2579.9</v>
      </c>
      <c r="J16" s="100">
        <v>2484.2</v>
      </c>
      <c r="K16" s="100">
        <v>2468.9</v>
      </c>
      <c r="L16" s="100">
        <v>2467.8</v>
      </c>
      <c r="M16" s="100">
        <v>2563.9</v>
      </c>
      <c r="N16" s="100">
        <v>2618.3</v>
      </c>
    </row>
    <row r="17" spans="1:14" ht="12">
      <c r="A17" t="s">
        <v>180</v>
      </c>
      <c r="B17" s="100">
        <v>1234.63</v>
      </c>
      <c r="C17" s="100">
        <v>1467.06</v>
      </c>
      <c r="D17" s="100">
        <v>1750.09</v>
      </c>
      <c r="E17" s="100">
        <v>2167.84</v>
      </c>
      <c r="F17" s="100">
        <v>2628.51</v>
      </c>
      <c r="G17" s="100">
        <v>2564.5</v>
      </c>
      <c r="H17" s="100">
        <v>2490.92</v>
      </c>
      <c r="I17" s="100">
        <v>2485.63</v>
      </c>
      <c r="J17" s="100">
        <v>2608.3</v>
      </c>
      <c r="K17" s="100">
        <v>2664.15</v>
      </c>
      <c r="L17" s="100">
        <v>2860.87</v>
      </c>
      <c r="M17" s="100">
        <v>3021.57</v>
      </c>
      <c r="N17" s="100">
        <v>3146.74</v>
      </c>
    </row>
    <row r="18" spans="1:14" ht="12">
      <c r="A18" t="s">
        <v>181</v>
      </c>
      <c r="B18" s="100">
        <v>2338.55794</v>
      </c>
      <c r="C18" s="100">
        <v>2611.03295</v>
      </c>
      <c r="D18" s="100">
        <v>3262.47872</v>
      </c>
      <c r="E18" s="100">
        <v>4320.95139</v>
      </c>
      <c r="F18" s="100">
        <v>4891.38827</v>
      </c>
      <c r="G18" s="100">
        <v>4545.60367</v>
      </c>
      <c r="H18" s="100">
        <v>4523.05074</v>
      </c>
      <c r="I18" s="100">
        <v>4573.14696</v>
      </c>
      <c r="J18" s="100">
        <v>4507.60514</v>
      </c>
      <c r="K18" s="100">
        <v>4545.42514</v>
      </c>
      <c r="L18" s="100">
        <v>4672.34818</v>
      </c>
      <c r="M18" s="100">
        <v>4902.86768</v>
      </c>
      <c r="N18" s="100">
        <v>5292.15539</v>
      </c>
    </row>
    <row r="19" spans="1:14" ht="12">
      <c r="A19" t="s">
        <v>182</v>
      </c>
      <c r="B19" s="100">
        <v>6058.6053</v>
      </c>
      <c r="C19" s="100">
        <v>6357.54033</v>
      </c>
      <c r="D19" s="100">
        <v>6640.7297</v>
      </c>
      <c r="E19" s="100">
        <v>7263.19366</v>
      </c>
      <c r="F19" s="100">
        <v>8018.13134</v>
      </c>
      <c r="G19" s="100">
        <v>8345.3059</v>
      </c>
      <c r="H19" s="100">
        <v>8609.60568</v>
      </c>
      <c r="I19" s="100">
        <v>9184.75523</v>
      </c>
      <c r="J19" s="100">
        <v>9723.0854</v>
      </c>
      <c r="K19" s="100">
        <v>10122.28519</v>
      </c>
      <c r="L19" s="100">
        <v>10305.6347</v>
      </c>
      <c r="M19" s="100">
        <v>10494.46472</v>
      </c>
      <c r="N19" s="100">
        <v>11127.37544</v>
      </c>
    </row>
    <row r="20" spans="1:14" ht="12">
      <c r="A20" t="s">
        <v>183</v>
      </c>
      <c r="B20" s="100">
        <v>3914252</v>
      </c>
      <c r="C20" s="100">
        <v>4399832</v>
      </c>
      <c r="D20" s="100">
        <v>4597279</v>
      </c>
      <c r="E20" s="100">
        <v>4944710</v>
      </c>
      <c r="F20" s="100">
        <v>4971640</v>
      </c>
      <c r="G20" s="100">
        <v>4926122</v>
      </c>
      <c r="H20" s="100">
        <v>5038963.499</v>
      </c>
      <c r="I20" s="100">
        <v>4994623</v>
      </c>
      <c r="J20" s="100">
        <v>5125961</v>
      </c>
      <c r="K20" s="100">
        <v>5142230.72737</v>
      </c>
      <c r="L20" s="100">
        <v>5169229.69882</v>
      </c>
      <c r="M20" s="100">
        <v>5251754.0782</v>
      </c>
      <c r="N20" s="100">
        <v>5407256.68997</v>
      </c>
    </row>
    <row r="21" spans="1:14" ht="12">
      <c r="A21" t="s">
        <v>184</v>
      </c>
      <c r="B21" s="100">
        <v>642.21316</v>
      </c>
      <c r="C21" s="100">
        <v>665.41442</v>
      </c>
      <c r="D21" s="100">
        <v>717.45857</v>
      </c>
      <c r="E21" s="100">
        <v>755.73942</v>
      </c>
      <c r="F21" s="100">
        <v>807.28126</v>
      </c>
      <c r="G21" s="100">
        <v>842.42484</v>
      </c>
      <c r="H21" s="100">
        <v>878.90557</v>
      </c>
      <c r="I21" s="100">
        <v>924.87339</v>
      </c>
      <c r="J21" s="100">
        <v>964.16893</v>
      </c>
      <c r="K21" s="100">
        <v>1010.28326</v>
      </c>
      <c r="L21" s="100">
        <v>1041.22033</v>
      </c>
      <c r="M21" s="100">
        <v>1085.99091</v>
      </c>
      <c r="N21" s="100">
        <v>1138.39249</v>
      </c>
    </row>
    <row r="22" spans="1:14" ht="12">
      <c r="A22" t="s">
        <v>185</v>
      </c>
      <c r="B22" s="100">
        <v>97348</v>
      </c>
      <c r="C22" s="100">
        <v>109511</v>
      </c>
      <c r="D22" s="100">
        <v>113394</v>
      </c>
      <c r="E22" s="100">
        <v>119860</v>
      </c>
      <c r="F22" s="100">
        <v>128656</v>
      </c>
      <c r="G22" s="100">
        <v>134095</v>
      </c>
      <c r="H22" s="100">
        <v>137578</v>
      </c>
      <c r="I22" s="100">
        <v>141486</v>
      </c>
      <c r="J22" s="100">
        <v>145287</v>
      </c>
      <c r="K22" s="100">
        <v>146204</v>
      </c>
      <c r="L22" s="100">
        <v>148122</v>
      </c>
      <c r="M22" s="100">
        <v>151380</v>
      </c>
      <c r="N22" s="100">
        <v>153924</v>
      </c>
    </row>
    <row r="23" spans="1:14" ht="12">
      <c r="A23" t="s">
        <v>186</v>
      </c>
      <c r="B23" s="100">
        <v>54762.05</v>
      </c>
      <c r="C23" s="100">
        <v>56956.06</v>
      </c>
      <c r="D23" s="100">
        <v>58948.4</v>
      </c>
      <c r="E23" s="100">
        <v>61835.97</v>
      </c>
      <c r="F23" s="100">
        <v>65413.26</v>
      </c>
      <c r="G23" s="100">
        <v>67624.27</v>
      </c>
      <c r="H23" s="100">
        <v>68727.4</v>
      </c>
      <c r="I23" s="100">
        <v>71254.26</v>
      </c>
      <c r="J23" s="100">
        <v>74029.28</v>
      </c>
      <c r="K23" s="100">
        <v>76587.08</v>
      </c>
      <c r="L23" s="100">
        <v>78505.9</v>
      </c>
      <c r="M23" s="100">
        <v>80871.84</v>
      </c>
      <c r="N23" s="100">
        <v>82085.83</v>
      </c>
    </row>
    <row r="24" spans="1:14" ht="12">
      <c r="A24" t="s">
        <v>187</v>
      </c>
      <c r="B24" s="100">
        <v>172972</v>
      </c>
      <c r="C24" s="100">
        <v>183663</v>
      </c>
      <c r="D24" s="100">
        <v>190204</v>
      </c>
      <c r="E24" s="100">
        <v>205247</v>
      </c>
      <c r="F24" s="100">
        <v>226807</v>
      </c>
      <c r="G24" s="100">
        <v>239424</v>
      </c>
      <c r="H24" s="100">
        <v>245174</v>
      </c>
      <c r="I24" s="100">
        <v>258546</v>
      </c>
      <c r="J24" s="100">
        <v>272005</v>
      </c>
      <c r="K24" s="100">
        <v>280358.5</v>
      </c>
      <c r="L24" s="100">
        <v>291866</v>
      </c>
      <c r="M24" s="100">
        <v>319480</v>
      </c>
      <c r="N24" s="100">
        <v>337616</v>
      </c>
    </row>
    <row r="25" spans="1:14" ht="12">
      <c r="A25" t="s">
        <v>188</v>
      </c>
      <c r="B25" s="100">
        <v>25779.634</v>
      </c>
      <c r="C25" s="100">
        <v>27052.925</v>
      </c>
      <c r="D25" s="100">
        <v>28341.622</v>
      </c>
      <c r="E25" s="100">
        <v>29946.196</v>
      </c>
      <c r="F25" s="100">
        <v>32916.847</v>
      </c>
      <c r="G25" s="100">
        <v>33451.672</v>
      </c>
      <c r="H25" s="100">
        <v>33324.948</v>
      </c>
      <c r="I25" s="100">
        <v>33010.099</v>
      </c>
      <c r="J25" s="100">
        <v>34784.884</v>
      </c>
      <c r="K25" s="100">
        <v>34088.088</v>
      </c>
      <c r="L25" s="100">
        <v>34710.657</v>
      </c>
      <c r="M25" s="100">
        <v>35112.773</v>
      </c>
      <c r="N25" s="100">
        <v>35615.756</v>
      </c>
    </row>
    <row r="26" spans="1:14" ht="12">
      <c r="A26" t="s">
        <v>189</v>
      </c>
      <c r="B26" s="100">
        <v>28663.4</v>
      </c>
      <c r="C26" s="100">
        <v>33203.3</v>
      </c>
      <c r="D26" s="100">
        <v>41898.8</v>
      </c>
      <c r="E26" s="100">
        <v>57880.5</v>
      </c>
      <c r="F26" s="100">
        <v>67177</v>
      </c>
      <c r="G26" s="100">
        <v>73345.5</v>
      </c>
      <c r="H26" s="100">
        <v>74264.2</v>
      </c>
      <c r="I26" s="100">
        <v>72273.5</v>
      </c>
      <c r="J26" s="100">
        <v>74460.3</v>
      </c>
      <c r="K26" s="100">
        <v>76683.7</v>
      </c>
      <c r="L26" s="100">
        <v>81687.1</v>
      </c>
      <c r="M26" s="100">
        <v>87974.9</v>
      </c>
      <c r="N26" s="100">
        <v>99658.9</v>
      </c>
    </row>
    <row r="27" spans="1:14" ht="12">
      <c r="A27" t="s">
        <v>190</v>
      </c>
      <c r="B27" s="100">
        <v>5089.37</v>
      </c>
      <c r="C27" s="100">
        <v>5369.4</v>
      </c>
      <c r="D27" s="100">
        <v>5624.26</v>
      </c>
      <c r="E27" s="100">
        <v>6203.16</v>
      </c>
      <c r="F27" s="100">
        <v>6631.13</v>
      </c>
      <c r="G27" s="100">
        <v>6860.78</v>
      </c>
      <c r="H27" s="100">
        <v>7136.41</v>
      </c>
      <c r="I27" s="100">
        <v>6942.3</v>
      </c>
      <c r="J27" s="100">
        <v>6947.02</v>
      </c>
      <c r="K27" s="100">
        <v>6918.64</v>
      </c>
      <c r="L27" s="100">
        <v>7018.92</v>
      </c>
      <c r="M27" s="100">
        <v>7075.17</v>
      </c>
      <c r="N27" s="100">
        <v>7302.41</v>
      </c>
    </row>
    <row r="28" spans="1:14" ht="12">
      <c r="A28" t="s">
        <v>191</v>
      </c>
      <c r="B28" s="100">
        <v>8611.293</v>
      </c>
      <c r="C28" s="100">
        <v>9321.691</v>
      </c>
      <c r="D28" s="100">
        <v>10250.996</v>
      </c>
      <c r="E28" s="100">
        <v>11147.478</v>
      </c>
      <c r="F28" s="100">
        <v>12334.676</v>
      </c>
      <c r="G28" s="100">
        <v>13234.156</v>
      </c>
      <c r="H28" s="100">
        <v>13213.632</v>
      </c>
      <c r="I28" s="100">
        <v>13743.613</v>
      </c>
      <c r="J28" s="100">
        <v>14097.725</v>
      </c>
      <c r="K28" s="100">
        <v>14500.93</v>
      </c>
      <c r="L28" s="100">
        <v>14960.204</v>
      </c>
      <c r="M28" s="100">
        <v>15519.974</v>
      </c>
      <c r="N28" s="100">
        <v>15714.925</v>
      </c>
    </row>
    <row r="29" spans="1:14" ht="12">
      <c r="A29" t="s">
        <v>192</v>
      </c>
      <c r="B29" s="100">
        <v>29309</v>
      </c>
      <c r="C29" s="100">
        <v>30123</v>
      </c>
      <c r="D29" s="100">
        <v>30954</v>
      </c>
      <c r="E29" s="100">
        <v>32749</v>
      </c>
      <c r="F29" s="100">
        <v>35824</v>
      </c>
      <c r="G29" s="100">
        <v>37446</v>
      </c>
      <c r="H29" s="100">
        <v>38929</v>
      </c>
      <c r="I29" s="100">
        <v>41342</v>
      </c>
      <c r="J29" s="100">
        <v>43928</v>
      </c>
      <c r="K29" s="100">
        <v>45885</v>
      </c>
      <c r="L29" s="100">
        <v>47467</v>
      </c>
      <c r="M29" s="100">
        <v>48414</v>
      </c>
      <c r="N29" s="100">
        <v>48753</v>
      </c>
    </row>
    <row r="30" spans="1:14" ht="12">
      <c r="A30" t="s">
        <v>193</v>
      </c>
      <c r="B30" s="100">
        <v>511275</v>
      </c>
      <c r="C30" s="100">
        <v>527449</v>
      </c>
      <c r="D30" s="100">
        <v>534956</v>
      </c>
      <c r="E30" s="100">
        <v>555046</v>
      </c>
      <c r="F30" s="100">
        <v>591772</v>
      </c>
      <c r="G30" s="100">
        <v>605050</v>
      </c>
      <c r="H30" s="100">
        <v>612219</v>
      </c>
      <c r="I30" s="100">
        <v>640525</v>
      </c>
      <c r="J30" s="100">
        <v>671436</v>
      </c>
      <c r="K30" s="100">
        <v>686195</v>
      </c>
      <c r="L30" s="100">
        <v>714762</v>
      </c>
      <c r="M30" s="100">
        <v>747900</v>
      </c>
      <c r="N30" s="100">
        <v>763593</v>
      </c>
    </row>
    <row r="31" spans="1:14" ht="12">
      <c r="A31" t="s">
        <v>194</v>
      </c>
      <c r="B31" s="100">
        <v>197639</v>
      </c>
      <c r="C31" s="100">
        <v>205494</v>
      </c>
      <c r="D31" s="100">
        <v>218032</v>
      </c>
      <c r="E31" s="100">
        <v>233262</v>
      </c>
      <c r="F31" s="100">
        <v>255817</v>
      </c>
      <c r="G31" s="100">
        <v>266530</v>
      </c>
      <c r="H31" s="100">
        <v>274806</v>
      </c>
      <c r="I31" s="100">
        <v>286561</v>
      </c>
      <c r="J31" s="100">
        <v>290946</v>
      </c>
      <c r="K31" s="100">
        <v>300065</v>
      </c>
      <c r="L31" s="100">
        <v>304563</v>
      </c>
      <c r="M31" s="100">
        <v>312014</v>
      </c>
      <c r="N31" s="100">
        <v>314882</v>
      </c>
    </row>
    <row r="32" spans="1:14" ht="12">
      <c r="A32" t="s">
        <v>195</v>
      </c>
      <c r="B32" s="100">
        <v>63645.44714</v>
      </c>
      <c r="C32" s="100">
        <v>66650.36</v>
      </c>
      <c r="D32" s="100">
        <v>75377.55091</v>
      </c>
      <c r="E32" s="100">
        <v>89777.90008</v>
      </c>
      <c r="F32" s="100">
        <v>122363.24992</v>
      </c>
      <c r="G32" s="100">
        <v>120955.89413</v>
      </c>
      <c r="H32" s="100">
        <v>138352.22192</v>
      </c>
      <c r="I32" s="100">
        <v>134950.4436</v>
      </c>
      <c r="J32" s="100">
        <v>133644.54668</v>
      </c>
      <c r="K32" s="100">
        <v>139441.23891</v>
      </c>
      <c r="L32" s="100">
        <v>141698.90669</v>
      </c>
      <c r="M32" s="100">
        <v>147601.46323</v>
      </c>
      <c r="N32" s="100">
        <v>172853.48842</v>
      </c>
    </row>
    <row r="33" spans="1:14" ht="12">
      <c r="A33" t="s">
        <v>196</v>
      </c>
      <c r="B33" s="100">
        <v>299183</v>
      </c>
      <c r="C33" s="100">
        <v>310292</v>
      </c>
      <c r="D33" s="100">
        <v>322690</v>
      </c>
      <c r="E33" s="100">
        <v>346807</v>
      </c>
      <c r="F33" s="100">
        <v>378426</v>
      </c>
      <c r="G33" s="100">
        <v>401669</v>
      </c>
      <c r="H33" s="100">
        <v>425231</v>
      </c>
      <c r="I33" s="100">
        <v>447720</v>
      </c>
      <c r="J33" s="100">
        <v>467767</v>
      </c>
      <c r="K33" s="100">
        <v>496615</v>
      </c>
      <c r="L33" s="100">
        <v>528791</v>
      </c>
      <c r="M33" s="100">
        <v>550738</v>
      </c>
      <c r="N33" s="100">
        <v>566452</v>
      </c>
    </row>
    <row r="34" spans="1:14" ht="12">
      <c r="A34" t="s">
        <v>197</v>
      </c>
      <c r="B34" s="100">
        <v>58689.40612</v>
      </c>
      <c r="C34" s="100">
        <v>58870.55328</v>
      </c>
      <c r="D34" s="100">
        <v>60049.51806</v>
      </c>
      <c r="E34" s="100">
        <v>60412.90934</v>
      </c>
      <c r="F34" s="100">
        <v>65245.07521</v>
      </c>
      <c r="G34" s="100">
        <v>67140.1087</v>
      </c>
      <c r="H34" s="100">
        <v>67554.77765</v>
      </c>
      <c r="I34" s="100">
        <v>69225.90141</v>
      </c>
      <c r="J34" s="100">
        <v>71431.98518</v>
      </c>
      <c r="K34" s="100">
        <v>72847.37082</v>
      </c>
      <c r="L34" s="100">
        <v>74148.64808</v>
      </c>
      <c r="M34" s="100">
        <v>76251.42803</v>
      </c>
      <c r="N34" s="100" t="s">
        <v>163</v>
      </c>
    </row>
    <row r="35" spans="1:14" ht="12">
      <c r="A35" t="s">
        <v>79</v>
      </c>
      <c r="B35" s="100">
        <v>45.85278</v>
      </c>
      <c r="C35" s="100">
        <v>45.24028</v>
      </c>
      <c r="D35" s="100">
        <v>44.64408</v>
      </c>
      <c r="E35" s="100">
        <v>46.23168</v>
      </c>
      <c r="F35" s="100">
        <v>50.07067</v>
      </c>
      <c r="G35" s="100">
        <v>49.90887</v>
      </c>
      <c r="H35" s="100">
        <v>48.58301</v>
      </c>
      <c r="I35" s="100">
        <v>48.9369</v>
      </c>
      <c r="J35" s="100">
        <v>48.63574</v>
      </c>
      <c r="K35" s="100">
        <v>47.95459</v>
      </c>
      <c r="L35" s="100">
        <v>46.99196</v>
      </c>
      <c r="M35" s="100">
        <v>46.31033</v>
      </c>
      <c r="N35" s="100">
        <v>45.81438</v>
      </c>
    </row>
    <row r="36" spans="1:14" ht="12">
      <c r="A36" t="s">
        <v>80</v>
      </c>
      <c r="B36" s="100">
        <v>46.74883</v>
      </c>
      <c r="C36" s="100">
        <v>46.11996</v>
      </c>
      <c r="D36" s="100">
        <v>45.38417</v>
      </c>
      <c r="E36" s="100">
        <v>46.62795</v>
      </c>
      <c r="F36" s="100">
        <v>50.74338</v>
      </c>
      <c r="G36" s="100">
        <v>50.57703</v>
      </c>
      <c r="H36" s="100">
        <v>49.22851</v>
      </c>
      <c r="I36" s="100">
        <v>49.77015</v>
      </c>
      <c r="J36" s="100">
        <v>49.7981</v>
      </c>
      <c r="K36" s="100">
        <v>49.21597</v>
      </c>
      <c r="L36" s="100">
        <v>48.28246</v>
      </c>
      <c r="M36" s="100">
        <v>47.59542</v>
      </c>
      <c r="N36" s="100">
        <v>47.07141</v>
      </c>
    </row>
    <row r="37" spans="1:14" ht="12">
      <c r="A37" t="s">
        <v>198</v>
      </c>
      <c r="B37" s="100">
        <v>51.62784</v>
      </c>
      <c r="C37" s="100">
        <v>48.45095</v>
      </c>
      <c r="D37" s="100">
        <v>48.24899</v>
      </c>
      <c r="E37" s="100">
        <v>50.28072</v>
      </c>
      <c r="F37" s="100">
        <v>54.15015</v>
      </c>
      <c r="G37" s="100">
        <v>53.34145</v>
      </c>
      <c r="H37" s="100">
        <v>54.45259</v>
      </c>
      <c r="I37" s="100">
        <v>55.86556</v>
      </c>
      <c r="J37" s="100">
        <v>55.83487</v>
      </c>
      <c r="K37" s="100">
        <v>55.22833</v>
      </c>
      <c r="L37" s="100">
        <v>53.82643</v>
      </c>
      <c r="M37" s="100">
        <v>53.24403</v>
      </c>
      <c r="N37" s="100">
        <v>52.21987</v>
      </c>
    </row>
    <row r="38" spans="1:14" ht="12">
      <c r="A38" t="s">
        <v>199</v>
      </c>
      <c r="B38" s="100">
        <v>37.03521</v>
      </c>
      <c r="C38" s="100">
        <v>33.90715</v>
      </c>
      <c r="D38" s="100">
        <v>37.71247</v>
      </c>
      <c r="E38" s="100">
        <v>37.11887</v>
      </c>
      <c r="F38" s="100">
        <v>39.37896</v>
      </c>
      <c r="G38" s="100">
        <v>36.16982</v>
      </c>
      <c r="H38" s="100">
        <v>33.82742</v>
      </c>
      <c r="I38" s="100">
        <v>34.45394</v>
      </c>
      <c r="J38" s="100">
        <v>37.55542</v>
      </c>
      <c r="K38" s="100">
        <v>42.06067</v>
      </c>
      <c r="L38" s="100">
        <v>40.68836</v>
      </c>
      <c r="M38" s="100">
        <v>34.95878</v>
      </c>
      <c r="N38" s="100">
        <v>35.21029</v>
      </c>
    </row>
    <row r="39" spans="1:14" ht="12">
      <c r="A39" t="s">
        <v>200</v>
      </c>
      <c r="B39" s="100">
        <v>42.27311</v>
      </c>
      <c r="C39" s="100">
        <v>41.35655</v>
      </c>
      <c r="D39" s="100">
        <v>40.37432</v>
      </c>
      <c r="E39" s="100">
        <v>40.63696</v>
      </c>
      <c r="F39" s="100">
        <v>44.1998</v>
      </c>
      <c r="G39" s="100">
        <v>43.51436</v>
      </c>
      <c r="H39" s="100">
        <v>43.03474</v>
      </c>
      <c r="I39" s="100">
        <v>44.47968</v>
      </c>
      <c r="J39" s="100">
        <v>42.60257</v>
      </c>
      <c r="K39" s="100">
        <v>42.43402</v>
      </c>
      <c r="L39" s="100">
        <v>41.69888</v>
      </c>
      <c r="M39" s="100">
        <v>39.43914</v>
      </c>
      <c r="N39" s="100">
        <v>38.80977</v>
      </c>
    </row>
    <row r="40" spans="1:14" ht="12">
      <c r="A40" t="s">
        <v>201</v>
      </c>
      <c r="B40" s="100">
        <v>51.2415</v>
      </c>
      <c r="C40" s="100">
        <v>49.82975</v>
      </c>
      <c r="D40" s="100">
        <v>49.59142</v>
      </c>
      <c r="E40" s="100">
        <v>50.41078</v>
      </c>
      <c r="F40" s="100">
        <v>56.5363</v>
      </c>
      <c r="G40" s="100">
        <v>56.67322</v>
      </c>
      <c r="H40" s="100">
        <v>56.42931</v>
      </c>
      <c r="I40" s="100">
        <v>57.95493</v>
      </c>
      <c r="J40" s="100">
        <v>55.82038</v>
      </c>
      <c r="K40" s="100">
        <v>55.21771</v>
      </c>
      <c r="L40" s="100">
        <v>54.77764</v>
      </c>
      <c r="M40" s="100">
        <v>53.59571</v>
      </c>
      <c r="N40" s="100">
        <v>51.87915</v>
      </c>
    </row>
    <row r="41" spans="1:14" ht="12">
      <c r="A41" t="s">
        <v>202</v>
      </c>
      <c r="B41" s="100">
        <v>46.20007</v>
      </c>
      <c r="C41" s="100">
        <v>44.69633</v>
      </c>
      <c r="D41" s="100">
        <v>42.81737</v>
      </c>
      <c r="E41" s="100">
        <v>43.57285</v>
      </c>
      <c r="F41" s="100">
        <v>47.57621</v>
      </c>
      <c r="G41" s="100">
        <v>47.25545</v>
      </c>
      <c r="H41" s="100">
        <v>44.71</v>
      </c>
      <c r="I41" s="100">
        <v>44.29539</v>
      </c>
      <c r="J41" s="100">
        <v>44.68835</v>
      </c>
      <c r="K41" s="100">
        <v>44.08669</v>
      </c>
      <c r="L41" s="100">
        <v>43.65939</v>
      </c>
      <c r="M41" s="100">
        <v>43.96772</v>
      </c>
      <c r="N41" s="100">
        <v>43.92269</v>
      </c>
    </row>
    <row r="42" spans="1:14" ht="12">
      <c r="A42" t="s">
        <v>203</v>
      </c>
      <c r="B42" s="100">
        <v>33.97975</v>
      </c>
      <c r="C42" s="100">
        <v>33.56529</v>
      </c>
      <c r="D42" s="100">
        <v>34.08879</v>
      </c>
      <c r="E42" s="100">
        <v>39.7493</v>
      </c>
      <c r="F42" s="100">
        <v>46.05233</v>
      </c>
      <c r="G42" s="100">
        <v>40.51294</v>
      </c>
      <c r="H42" s="100">
        <v>37.42583</v>
      </c>
      <c r="I42" s="100">
        <v>39.30272</v>
      </c>
      <c r="J42" s="100">
        <v>38.45227</v>
      </c>
      <c r="K42" s="100">
        <v>38.43461</v>
      </c>
      <c r="L42" s="100">
        <v>40.22666</v>
      </c>
      <c r="M42" s="100">
        <v>40.62365</v>
      </c>
      <c r="N42" s="100">
        <v>40.20337</v>
      </c>
    </row>
    <row r="43" spans="1:14" ht="12">
      <c r="A43" t="s">
        <v>204</v>
      </c>
      <c r="B43" s="100">
        <v>33.34306</v>
      </c>
      <c r="C43" s="100">
        <v>33.84613</v>
      </c>
      <c r="D43" s="100">
        <v>35.91012</v>
      </c>
      <c r="E43" s="100">
        <v>41.81194</v>
      </c>
      <c r="F43" s="100">
        <v>47.00647</v>
      </c>
      <c r="G43" s="100">
        <v>65.09504</v>
      </c>
      <c r="H43" s="100">
        <v>46.30845</v>
      </c>
      <c r="I43" s="100">
        <v>41.92448</v>
      </c>
      <c r="J43" s="100">
        <v>40.22158</v>
      </c>
      <c r="K43" s="100">
        <v>37.56618</v>
      </c>
      <c r="L43" s="100">
        <v>28.93256</v>
      </c>
      <c r="M43" s="100">
        <v>27.14291</v>
      </c>
      <c r="N43" s="100">
        <v>26.07006</v>
      </c>
    </row>
    <row r="44" spans="1:14" ht="12">
      <c r="A44" t="s">
        <v>205</v>
      </c>
      <c r="B44" s="100">
        <v>45.56161</v>
      </c>
      <c r="C44" s="100">
        <v>45.11672</v>
      </c>
      <c r="D44" s="100">
        <v>47.06942</v>
      </c>
      <c r="E44" s="100">
        <v>50.84541</v>
      </c>
      <c r="F44" s="100">
        <v>54.07811</v>
      </c>
      <c r="G44" s="100">
        <v>52.47765</v>
      </c>
      <c r="H44" s="100">
        <v>54.08566</v>
      </c>
      <c r="I44" s="100">
        <v>55.73053</v>
      </c>
      <c r="J44" s="100">
        <v>62.29643</v>
      </c>
      <c r="K44" s="100">
        <v>50.24908</v>
      </c>
      <c r="L44" s="100">
        <v>53.8205</v>
      </c>
      <c r="M44" s="100">
        <v>49.52439</v>
      </c>
      <c r="N44" s="100">
        <v>48.00518</v>
      </c>
    </row>
    <row r="45" spans="1:14" ht="12">
      <c r="A45" t="s">
        <v>206</v>
      </c>
      <c r="B45" s="100">
        <v>38.31507</v>
      </c>
      <c r="C45" s="100">
        <v>38.28422</v>
      </c>
      <c r="D45" s="100">
        <v>39.0276</v>
      </c>
      <c r="E45" s="100">
        <v>41.15559</v>
      </c>
      <c r="F45" s="100">
        <v>45.78111</v>
      </c>
      <c r="G45" s="100">
        <v>45.62735</v>
      </c>
      <c r="H45" s="100">
        <v>45.83049</v>
      </c>
      <c r="I45" s="100">
        <v>48.1025</v>
      </c>
      <c r="J45" s="100">
        <v>45.56198</v>
      </c>
      <c r="K45" s="100">
        <v>44.84631</v>
      </c>
      <c r="L45" s="100">
        <v>43.7723</v>
      </c>
      <c r="M45" s="100">
        <v>42.20149</v>
      </c>
      <c r="N45" s="100">
        <v>41.01982</v>
      </c>
    </row>
    <row r="46" spans="1:14" ht="12">
      <c r="A46" t="s">
        <v>207</v>
      </c>
      <c r="B46" s="100">
        <v>53.29409</v>
      </c>
      <c r="C46" s="100">
        <v>52.87572</v>
      </c>
      <c r="D46" s="100">
        <v>52.56552</v>
      </c>
      <c r="E46" s="100">
        <v>53.29631</v>
      </c>
      <c r="F46" s="100">
        <v>57.15184</v>
      </c>
      <c r="G46" s="100">
        <v>56.88179</v>
      </c>
      <c r="H46" s="100">
        <v>56.29069</v>
      </c>
      <c r="I46" s="100">
        <v>57.10726</v>
      </c>
      <c r="J46" s="100">
        <v>57.2278</v>
      </c>
      <c r="K46" s="100">
        <v>57.2136</v>
      </c>
      <c r="L46" s="100">
        <v>56.79757</v>
      </c>
      <c r="M46" s="100">
        <v>56.57368</v>
      </c>
      <c r="N46" s="100">
        <v>56.48102</v>
      </c>
    </row>
    <row r="47" spans="1:14" ht="12">
      <c r="A47" t="s">
        <v>208</v>
      </c>
      <c r="B47" s="100">
        <v>46.74305</v>
      </c>
      <c r="C47" s="100">
        <v>46.41488</v>
      </c>
      <c r="D47" s="100">
        <v>45.48244</v>
      </c>
      <c r="E47" s="100">
        <v>45.42788</v>
      </c>
      <c r="F47" s="100">
        <v>48.3465</v>
      </c>
      <c r="G47" s="100">
        <v>47.23797</v>
      </c>
      <c r="H47" s="100">
        <v>48.17693</v>
      </c>
      <c r="I47" s="100">
        <v>47.27179</v>
      </c>
      <c r="J47" s="100">
        <v>47.70871</v>
      </c>
      <c r="K47" s="100">
        <v>48.12413</v>
      </c>
      <c r="L47" s="100">
        <v>48.37783</v>
      </c>
      <c r="M47" s="100">
        <v>47.19956</v>
      </c>
      <c r="N47" s="100">
        <v>45.26388</v>
      </c>
    </row>
    <row r="48" spans="1:14" ht="12">
      <c r="A48" t="s">
        <v>209</v>
      </c>
      <c r="B48" s="100">
        <v>47.14392</v>
      </c>
      <c r="C48" s="100">
        <v>47.62962</v>
      </c>
      <c r="D48" s="100">
        <v>46.79113</v>
      </c>
      <c r="E48" s="100">
        <v>47.83038</v>
      </c>
      <c r="F48" s="100">
        <v>51.1585</v>
      </c>
      <c r="G48" s="100">
        <v>49.89011</v>
      </c>
      <c r="H48" s="100">
        <v>49.37895</v>
      </c>
      <c r="I48" s="100">
        <v>50.7875</v>
      </c>
      <c r="J48" s="100">
        <v>51.06453</v>
      </c>
      <c r="K48" s="100">
        <v>50.90222</v>
      </c>
      <c r="L48" s="100">
        <v>50.29425</v>
      </c>
      <c r="M48" s="100">
        <v>49.34424</v>
      </c>
      <c r="N48" s="100">
        <v>48.90104</v>
      </c>
    </row>
    <row r="49" spans="1:14" ht="12">
      <c r="A49" t="s">
        <v>210</v>
      </c>
      <c r="B49" s="100">
        <v>39.26516</v>
      </c>
      <c r="C49" s="100">
        <v>38.6975</v>
      </c>
      <c r="D49" s="100">
        <v>37.60136</v>
      </c>
      <c r="E49" s="100">
        <v>38.40905</v>
      </c>
      <c r="F49" s="100">
        <v>42.10459</v>
      </c>
      <c r="G49" s="100">
        <v>42.04513</v>
      </c>
      <c r="H49" s="100">
        <v>42.34605</v>
      </c>
      <c r="I49" s="100">
        <v>41.90572</v>
      </c>
      <c r="J49" s="100">
        <v>41.86544</v>
      </c>
      <c r="K49" s="100">
        <v>48.79955</v>
      </c>
      <c r="L49" s="100">
        <v>40.65212</v>
      </c>
      <c r="M49" s="100">
        <v>38.576</v>
      </c>
      <c r="N49" s="100">
        <v>38.18037</v>
      </c>
    </row>
    <row r="50" spans="1:14" ht="12">
      <c r="A50" t="s">
        <v>211</v>
      </c>
      <c r="B50" s="100">
        <v>34.17696</v>
      </c>
      <c r="C50" s="100">
        <v>36.03685</v>
      </c>
      <c r="D50" s="100">
        <v>33.98962</v>
      </c>
      <c r="E50" s="100">
        <v>37.64622</v>
      </c>
      <c r="F50" s="100">
        <v>44.17331</v>
      </c>
      <c r="G50" s="100">
        <v>45.50326</v>
      </c>
      <c r="H50" s="100">
        <v>40.471</v>
      </c>
      <c r="I50" s="100">
        <v>37.96677</v>
      </c>
      <c r="J50" s="100">
        <v>37.72614</v>
      </c>
      <c r="K50" s="100">
        <v>38.10876</v>
      </c>
      <c r="L50" s="100">
        <v>38.22124</v>
      </c>
      <c r="M50" s="100">
        <v>37.13645</v>
      </c>
      <c r="N50" s="100">
        <v>38.03199</v>
      </c>
    </row>
    <row r="51" spans="1:14" ht="12">
      <c r="A51" t="s">
        <v>212</v>
      </c>
      <c r="B51" s="100">
        <v>34.0789</v>
      </c>
      <c r="C51" s="100">
        <v>34.31048</v>
      </c>
      <c r="D51" s="100">
        <v>35.25574</v>
      </c>
      <c r="E51" s="100">
        <v>38.0909</v>
      </c>
      <c r="F51" s="100">
        <v>44.88837</v>
      </c>
      <c r="G51" s="100">
        <v>42.29883</v>
      </c>
      <c r="H51" s="100">
        <v>42.4729</v>
      </c>
      <c r="I51" s="100">
        <v>36.10228</v>
      </c>
      <c r="J51" s="100">
        <v>35.49293</v>
      </c>
      <c r="K51" s="100">
        <v>34.63857</v>
      </c>
      <c r="L51" s="100">
        <v>34.88881</v>
      </c>
      <c r="M51" s="100">
        <v>34.20523</v>
      </c>
      <c r="N51" s="100">
        <v>33.26739</v>
      </c>
    </row>
    <row r="52" spans="1:14" ht="12">
      <c r="A52" t="s">
        <v>213</v>
      </c>
      <c r="B52" s="100">
        <v>43.57877</v>
      </c>
      <c r="C52" s="100">
        <v>39.6602</v>
      </c>
      <c r="D52" s="100">
        <v>37.80567</v>
      </c>
      <c r="E52" s="100">
        <v>39.69566</v>
      </c>
      <c r="F52" s="100">
        <v>45.14347</v>
      </c>
      <c r="G52" s="100">
        <v>44.12583</v>
      </c>
      <c r="H52" s="100">
        <v>42.36609</v>
      </c>
      <c r="I52" s="100">
        <v>44.06985</v>
      </c>
      <c r="J52" s="100">
        <v>43.32194</v>
      </c>
      <c r="K52" s="100">
        <v>41.81345</v>
      </c>
      <c r="L52" s="100">
        <v>41.53512</v>
      </c>
      <c r="M52" s="100">
        <v>42.12958</v>
      </c>
      <c r="N52" s="100">
        <v>42.85532</v>
      </c>
    </row>
    <row r="53" spans="1:14" ht="12">
      <c r="A53" t="s">
        <v>214</v>
      </c>
      <c r="B53" s="100">
        <v>49.34689</v>
      </c>
      <c r="C53" s="100">
        <v>51.42727</v>
      </c>
      <c r="D53" s="100">
        <v>49.82956</v>
      </c>
      <c r="E53" s="100">
        <v>48.57948</v>
      </c>
      <c r="F53" s="100">
        <v>50.36237</v>
      </c>
      <c r="G53" s="100">
        <v>49.23766</v>
      </c>
      <c r="H53" s="100">
        <v>49.44791</v>
      </c>
      <c r="I53" s="100">
        <v>48.46993</v>
      </c>
      <c r="J53" s="100">
        <v>49.2957</v>
      </c>
      <c r="K53" s="100">
        <v>49.37434</v>
      </c>
      <c r="L53" s="100">
        <v>50.10711</v>
      </c>
      <c r="M53" s="100">
        <v>46.53334</v>
      </c>
      <c r="N53" s="100">
        <v>46.49858</v>
      </c>
    </row>
    <row r="54" spans="1:14" ht="12">
      <c r="A54" t="s">
        <v>215</v>
      </c>
      <c r="B54" s="100">
        <v>42.23811</v>
      </c>
      <c r="C54" s="100">
        <v>42.32093</v>
      </c>
      <c r="D54" s="100">
        <v>41.14374</v>
      </c>
      <c r="E54" s="100">
        <v>42.63554</v>
      </c>
      <c r="F54" s="100">
        <v>41.88125</v>
      </c>
      <c r="G54" s="100">
        <v>41.06333</v>
      </c>
      <c r="H54" s="100">
        <v>41.22559</v>
      </c>
      <c r="I54" s="100">
        <v>42.73276</v>
      </c>
      <c r="J54" s="100">
        <v>41.96123</v>
      </c>
      <c r="K54" s="100">
        <v>41.33393</v>
      </c>
      <c r="L54" s="100">
        <v>40.12619</v>
      </c>
      <c r="M54" s="100">
        <v>37.09892</v>
      </c>
      <c r="N54" s="100">
        <v>36.52958</v>
      </c>
    </row>
    <row r="55" spans="1:14" ht="12">
      <c r="A55" t="s">
        <v>216</v>
      </c>
      <c r="B55" s="100">
        <v>42.31363</v>
      </c>
      <c r="C55" s="100">
        <v>43.03709</v>
      </c>
      <c r="D55" s="100">
        <v>42.45206</v>
      </c>
      <c r="E55" s="100">
        <v>43.55994</v>
      </c>
      <c r="F55" s="100">
        <v>48.17178</v>
      </c>
      <c r="G55" s="100">
        <v>48.15538</v>
      </c>
      <c r="H55" s="100">
        <v>46.97408</v>
      </c>
      <c r="I55" s="100">
        <v>47.09888</v>
      </c>
      <c r="J55" s="100">
        <v>46.27146</v>
      </c>
      <c r="K55" s="100">
        <v>46.18406</v>
      </c>
      <c r="L55" s="100">
        <v>44.88344</v>
      </c>
      <c r="M55" s="100">
        <v>43.4431</v>
      </c>
      <c r="N55" s="100">
        <v>42.55709</v>
      </c>
    </row>
    <row r="56" spans="1:14" ht="12">
      <c r="A56" t="s">
        <v>217</v>
      </c>
      <c r="B56" s="100">
        <v>51.15552</v>
      </c>
      <c r="C56" s="100">
        <v>50.37993</v>
      </c>
      <c r="D56" s="100">
        <v>49.24411</v>
      </c>
      <c r="E56" s="100">
        <v>49.87398</v>
      </c>
      <c r="F56" s="100">
        <v>54.1448</v>
      </c>
      <c r="G56" s="100">
        <v>52.83979</v>
      </c>
      <c r="H56" s="100">
        <v>50.89692</v>
      </c>
      <c r="I56" s="100">
        <v>51.21303</v>
      </c>
      <c r="J56" s="100">
        <v>51.64767</v>
      </c>
      <c r="K56" s="100">
        <v>52.338</v>
      </c>
      <c r="L56" s="100">
        <v>50.99399</v>
      </c>
      <c r="M56" s="100">
        <v>50.63506</v>
      </c>
      <c r="N56" s="100">
        <v>49.07394</v>
      </c>
    </row>
    <row r="57" spans="1:14" ht="12">
      <c r="A57" t="s">
        <v>218</v>
      </c>
      <c r="B57" s="100">
        <v>44.39502</v>
      </c>
      <c r="C57" s="100">
        <v>44.66286</v>
      </c>
      <c r="D57" s="100">
        <v>43.20839</v>
      </c>
      <c r="E57" s="100">
        <v>44.29514</v>
      </c>
      <c r="F57" s="100">
        <v>45.04237</v>
      </c>
      <c r="G57" s="100">
        <v>45.80751</v>
      </c>
      <c r="H57" s="100">
        <v>43.87972</v>
      </c>
      <c r="I57" s="100">
        <v>42.85941</v>
      </c>
      <c r="J57" s="100">
        <v>42.59473</v>
      </c>
      <c r="K57" s="100">
        <v>42.2613</v>
      </c>
      <c r="L57" s="100">
        <v>41.56673</v>
      </c>
      <c r="M57" s="100">
        <v>41.13221</v>
      </c>
      <c r="N57" s="100">
        <v>41.21811</v>
      </c>
    </row>
    <row r="58" spans="1:14" ht="12">
      <c r="A58" t="s">
        <v>219</v>
      </c>
      <c r="B58" s="100">
        <v>46.67683</v>
      </c>
      <c r="C58" s="100">
        <v>45.24159</v>
      </c>
      <c r="D58" s="100">
        <v>44.4866</v>
      </c>
      <c r="E58" s="100">
        <v>45.3355</v>
      </c>
      <c r="F58" s="100">
        <v>50.22347</v>
      </c>
      <c r="G58" s="100">
        <v>51.8186</v>
      </c>
      <c r="H58" s="100">
        <v>50.01644</v>
      </c>
      <c r="I58" s="100">
        <v>48.52706</v>
      </c>
      <c r="J58" s="100">
        <v>49.93989</v>
      </c>
      <c r="K58" s="100">
        <v>51.76701</v>
      </c>
      <c r="L58" s="100">
        <v>48.20052</v>
      </c>
      <c r="M58" s="100">
        <v>44.94526</v>
      </c>
      <c r="N58" s="100">
        <v>45.86925</v>
      </c>
    </row>
    <row r="59" spans="1:14" ht="12">
      <c r="A59" t="s">
        <v>220</v>
      </c>
      <c r="B59" s="100">
        <v>33.08079</v>
      </c>
      <c r="C59" s="100">
        <v>35.20564</v>
      </c>
      <c r="D59" s="100">
        <v>37.19005</v>
      </c>
      <c r="E59" s="100">
        <v>37.77141</v>
      </c>
      <c r="F59" s="100">
        <v>39.70485</v>
      </c>
      <c r="G59" s="100">
        <v>39.8839</v>
      </c>
      <c r="H59" s="100">
        <v>39.33561</v>
      </c>
      <c r="I59" s="100">
        <v>37.23118</v>
      </c>
      <c r="J59" s="100">
        <v>35.38351</v>
      </c>
      <c r="K59" s="100">
        <v>34.95629</v>
      </c>
      <c r="L59" s="100">
        <v>35.76338</v>
      </c>
      <c r="M59" s="100">
        <v>34.62258</v>
      </c>
      <c r="N59" s="100">
        <v>33.37489</v>
      </c>
    </row>
    <row r="60" spans="1:14" ht="12">
      <c r="A60" t="s">
        <v>221</v>
      </c>
      <c r="B60" s="100">
        <v>44.91432</v>
      </c>
      <c r="C60" s="100">
        <v>44.21747</v>
      </c>
      <c r="D60" s="100">
        <v>42.1887</v>
      </c>
      <c r="E60" s="100">
        <v>43.86948</v>
      </c>
      <c r="F60" s="100">
        <v>48.21676</v>
      </c>
      <c r="G60" s="100">
        <v>49.25877</v>
      </c>
      <c r="H60" s="100">
        <v>50.00054</v>
      </c>
      <c r="I60" s="100">
        <v>48.51659</v>
      </c>
      <c r="J60" s="100">
        <v>59.51663</v>
      </c>
      <c r="K60" s="100">
        <v>49.85636</v>
      </c>
      <c r="L60" s="100">
        <v>47.74887</v>
      </c>
      <c r="M60" s="100">
        <v>45.27516</v>
      </c>
      <c r="N60" s="100">
        <v>43.08203</v>
      </c>
    </row>
    <row r="61" spans="1:14" ht="12">
      <c r="A61" t="s">
        <v>222</v>
      </c>
      <c r="B61" s="100">
        <v>39.77554</v>
      </c>
      <c r="C61" s="100">
        <v>38.76233</v>
      </c>
      <c r="D61" s="100">
        <v>36.33922</v>
      </c>
      <c r="E61" s="100">
        <v>36.93779</v>
      </c>
      <c r="F61" s="100">
        <v>44.08436</v>
      </c>
      <c r="G61" s="100">
        <v>42.145</v>
      </c>
      <c r="H61" s="100">
        <v>40.81688</v>
      </c>
      <c r="I61" s="100">
        <v>40.63006</v>
      </c>
      <c r="J61" s="100">
        <v>41.44075</v>
      </c>
      <c r="K61" s="100">
        <v>42.03499</v>
      </c>
      <c r="L61" s="100">
        <v>45.22866</v>
      </c>
      <c r="M61" s="100">
        <v>41.50704</v>
      </c>
      <c r="N61" s="100">
        <v>40.41949</v>
      </c>
    </row>
    <row r="62" spans="1:14" ht="12">
      <c r="A62" t="s">
        <v>223</v>
      </c>
      <c r="B62" s="100">
        <v>49.27519</v>
      </c>
      <c r="C62" s="100">
        <v>48.34023</v>
      </c>
      <c r="D62" s="100">
        <v>46.79555</v>
      </c>
      <c r="E62" s="100">
        <v>48.259</v>
      </c>
      <c r="F62" s="100">
        <v>54.75808</v>
      </c>
      <c r="G62" s="100">
        <v>54.75468</v>
      </c>
      <c r="H62" s="100">
        <v>54.38439</v>
      </c>
      <c r="I62" s="100">
        <v>56.20367</v>
      </c>
      <c r="J62" s="100">
        <v>57.5013</v>
      </c>
      <c r="K62" s="100">
        <v>58.10906</v>
      </c>
      <c r="L62" s="100">
        <v>57.13584</v>
      </c>
      <c r="M62" s="100">
        <v>55.98708</v>
      </c>
      <c r="N62" s="100">
        <v>53.73252</v>
      </c>
    </row>
    <row r="63" spans="1:14" ht="12">
      <c r="A63" t="s">
        <v>224</v>
      </c>
      <c r="B63" s="100">
        <v>52.37171</v>
      </c>
      <c r="C63" s="100">
        <v>51.03497</v>
      </c>
      <c r="D63" s="100">
        <v>49.33597</v>
      </c>
      <c r="E63" s="100">
        <v>50.06735</v>
      </c>
      <c r="F63" s="100">
        <v>52.74609</v>
      </c>
      <c r="G63" s="100">
        <v>50.81242</v>
      </c>
      <c r="H63" s="100">
        <v>50.31383</v>
      </c>
      <c r="I63" s="100">
        <v>51.35706</v>
      </c>
      <c r="J63" s="100">
        <v>52.00598</v>
      </c>
      <c r="K63" s="100">
        <v>51.12727</v>
      </c>
      <c r="L63" s="100">
        <v>49.63111</v>
      </c>
      <c r="M63" s="100">
        <v>49.43646</v>
      </c>
      <c r="N63" s="100">
        <v>49.06912</v>
      </c>
    </row>
    <row r="64" spans="1:14" ht="12">
      <c r="A64" t="s">
        <v>225</v>
      </c>
      <c r="B64" s="100">
        <v>41.35003</v>
      </c>
      <c r="C64" s="100">
        <v>40.82197</v>
      </c>
      <c r="D64" s="100">
        <v>41.0256</v>
      </c>
      <c r="E64" s="100">
        <v>44.60787</v>
      </c>
      <c r="F64" s="100">
        <v>47.52559</v>
      </c>
      <c r="G64" s="100">
        <v>47.79296</v>
      </c>
      <c r="H64" s="100">
        <v>46.19097</v>
      </c>
      <c r="I64" s="100">
        <v>45.98116</v>
      </c>
      <c r="J64" s="100">
        <v>44.17638</v>
      </c>
      <c r="K64" s="100">
        <v>43.18722</v>
      </c>
      <c r="L64" s="100">
        <v>42.39066</v>
      </c>
      <c r="M64" s="100">
        <v>41.5274</v>
      </c>
      <c r="N64" s="100">
        <v>41.06284</v>
      </c>
    </row>
    <row r="65" spans="1:14" ht="12">
      <c r="A65" t="s">
        <v>226</v>
      </c>
      <c r="B65" s="100">
        <v>41.60257</v>
      </c>
      <c r="C65" s="100">
        <v>41.12047</v>
      </c>
      <c r="D65" s="100">
        <v>40.96122</v>
      </c>
      <c r="E65" s="100">
        <v>55.25761</v>
      </c>
      <c r="F65" s="100">
        <v>48.19616</v>
      </c>
      <c r="G65" s="100">
        <v>49.1243</v>
      </c>
      <c r="H65" s="100">
        <v>45.50346</v>
      </c>
      <c r="I65" s="100">
        <v>45.155</v>
      </c>
      <c r="J65" s="100">
        <v>43.71946</v>
      </c>
      <c r="K65" s="100">
        <v>44.96233</v>
      </c>
      <c r="L65" s="100">
        <v>42.46649</v>
      </c>
      <c r="M65" s="100">
        <v>45.24825</v>
      </c>
      <c r="N65" s="100">
        <v>41.92281</v>
      </c>
    </row>
    <row r="66" spans="1:14" ht="12">
      <c r="A66" t="s">
        <v>227</v>
      </c>
      <c r="B66" s="100">
        <v>42.06387</v>
      </c>
      <c r="C66" s="100">
        <v>40.80753</v>
      </c>
      <c r="D66" s="100">
        <v>41.42404</v>
      </c>
      <c r="E66" s="100">
        <v>40.19351</v>
      </c>
      <c r="F66" s="100">
        <v>46.05964</v>
      </c>
      <c r="G66" s="100">
        <v>44.94346</v>
      </c>
      <c r="H66" s="100">
        <v>43.75509</v>
      </c>
      <c r="I66" s="100">
        <v>42.88869</v>
      </c>
      <c r="J66" s="100">
        <v>43.96654</v>
      </c>
      <c r="K66" s="100">
        <v>45.78816</v>
      </c>
      <c r="L66" s="100">
        <v>48.79979</v>
      </c>
      <c r="M66" s="100">
        <v>50.82476</v>
      </c>
      <c r="N66" s="100">
        <v>50.3298</v>
      </c>
    </row>
    <row r="67" spans="1:14" ht="12">
      <c r="A67" t="s">
        <v>228</v>
      </c>
      <c r="B67" s="100">
        <v>33.78834</v>
      </c>
      <c r="C67" s="100">
        <v>31.94551</v>
      </c>
      <c r="D67" s="100">
        <v>30.7251</v>
      </c>
      <c r="E67" s="100">
        <v>31.28272</v>
      </c>
      <c r="F67" s="100">
        <v>33.20451</v>
      </c>
      <c r="G67" s="100">
        <v>32.98258</v>
      </c>
      <c r="H67" s="100">
        <v>32.89846</v>
      </c>
      <c r="I67" s="100">
        <v>33.22635</v>
      </c>
      <c r="J67" s="100">
        <v>34.22779</v>
      </c>
      <c r="K67" s="100">
        <v>33.77459</v>
      </c>
      <c r="L67" s="100">
        <v>34.03482</v>
      </c>
      <c r="M67" s="100">
        <v>34.3264</v>
      </c>
      <c r="N67" s="100" t="s">
        <v>163</v>
      </c>
    </row>
    <row r="68" spans="1:14" ht="12">
      <c r="A68" t="s">
        <v>81</v>
      </c>
      <c r="B68" s="100">
        <v>6268.1</v>
      </c>
      <c r="C68" s="100">
        <v>6314</v>
      </c>
      <c r="D68" s="100">
        <v>5942.4</v>
      </c>
      <c r="E68" s="100">
        <v>6518.4</v>
      </c>
      <c r="F68" s="100">
        <v>7705.5</v>
      </c>
      <c r="G68" s="100">
        <v>7692.7</v>
      </c>
      <c r="H68" s="100">
        <v>7998.2</v>
      </c>
      <c r="I68" s="100">
        <v>8317.8</v>
      </c>
      <c r="J68" s="100">
        <v>8516.3</v>
      </c>
      <c r="K68" s="100">
        <v>8367.6</v>
      </c>
      <c r="L68" s="100">
        <v>8445.6</v>
      </c>
      <c r="M68" s="100">
        <v>9162.5</v>
      </c>
      <c r="N68" s="100">
        <v>7944.6</v>
      </c>
    </row>
    <row r="69" spans="1:14" ht="12">
      <c r="A69" t="s">
        <v>82</v>
      </c>
      <c r="B69" s="100">
        <v>755.273</v>
      </c>
      <c r="C69" s="100">
        <v>536.531</v>
      </c>
      <c r="D69" s="100">
        <v>1139.348</v>
      </c>
      <c r="E69" s="100">
        <v>1892.915</v>
      </c>
      <c r="F69" s="100">
        <v>3088.43</v>
      </c>
      <c r="G69" s="100">
        <v>896.908</v>
      </c>
      <c r="H69" s="100">
        <v>1222.783</v>
      </c>
      <c r="I69" s="100">
        <v>1463.11</v>
      </c>
      <c r="J69" s="100">
        <v>1784.414</v>
      </c>
      <c r="K69" s="100">
        <v>1241.879</v>
      </c>
      <c r="L69" s="100">
        <v>2148.136</v>
      </c>
      <c r="M69" s="100">
        <v>1091.813</v>
      </c>
      <c r="N69" s="100">
        <v>2482.187</v>
      </c>
    </row>
    <row r="70" spans="1:14" ht="12">
      <c r="A70" t="s">
        <v>83</v>
      </c>
      <c r="B70" s="100">
        <v>49655</v>
      </c>
      <c r="C70" s="100">
        <v>54017</v>
      </c>
      <c r="D70" s="100">
        <v>61199</v>
      </c>
      <c r="E70" s="100">
        <v>68595</v>
      </c>
      <c r="F70" s="100">
        <v>68757</v>
      </c>
      <c r="G70" s="100">
        <v>72805</v>
      </c>
      <c r="H70" s="100">
        <v>76414</v>
      </c>
      <c r="I70" s="100">
        <v>80022</v>
      </c>
      <c r="J70" s="100">
        <v>83681</v>
      </c>
      <c r="K70" s="100">
        <v>83684</v>
      </c>
      <c r="L70" s="100">
        <v>88002</v>
      </c>
      <c r="M70" s="100">
        <v>94106</v>
      </c>
      <c r="N70" s="100">
        <v>97688</v>
      </c>
    </row>
    <row r="71" spans="1:14" ht="12">
      <c r="A71" t="s">
        <v>84</v>
      </c>
      <c r="B71" s="100">
        <v>49832</v>
      </c>
      <c r="C71" s="100">
        <v>52951</v>
      </c>
      <c r="D71" s="100">
        <v>55129</v>
      </c>
      <c r="E71" s="100">
        <v>55108</v>
      </c>
      <c r="F71" s="100">
        <v>59800</v>
      </c>
      <c r="G71" s="100">
        <v>61816</v>
      </c>
      <c r="H71" s="100">
        <v>58876</v>
      </c>
      <c r="I71" s="100">
        <v>65187</v>
      </c>
      <c r="J71" s="100">
        <v>65974</v>
      </c>
      <c r="K71" s="100">
        <v>59944</v>
      </c>
      <c r="L71" s="100">
        <v>62764</v>
      </c>
      <c r="M71" s="100">
        <v>61245</v>
      </c>
      <c r="N71" s="100">
        <v>64774</v>
      </c>
    </row>
    <row r="72" spans="1:14" ht="12">
      <c r="A72" t="s">
        <v>85</v>
      </c>
      <c r="B72" s="100">
        <v>41735</v>
      </c>
      <c r="C72" s="100">
        <v>41577</v>
      </c>
      <c r="D72" s="100">
        <v>42933</v>
      </c>
      <c r="E72" s="100">
        <v>46836</v>
      </c>
      <c r="F72" s="100">
        <v>45872</v>
      </c>
      <c r="G72" s="100">
        <v>51646</v>
      </c>
      <c r="H72" s="100">
        <v>51525</v>
      </c>
      <c r="I72" s="100">
        <v>57669</v>
      </c>
      <c r="J72" s="100">
        <v>74241</v>
      </c>
      <c r="K72" s="100">
        <v>73232</v>
      </c>
      <c r="L72" s="100">
        <v>74757</v>
      </c>
      <c r="M72" s="100">
        <v>75711</v>
      </c>
      <c r="N72" s="100">
        <v>75266</v>
      </c>
    </row>
    <row r="73" spans="1:14" ht="12">
      <c r="A73" t="s">
        <v>86</v>
      </c>
      <c r="B73" s="100">
        <v>173</v>
      </c>
      <c r="C73" s="100">
        <v>242.9</v>
      </c>
      <c r="D73" s="100">
        <v>253.1</v>
      </c>
      <c r="E73" s="100">
        <v>255.6</v>
      </c>
      <c r="F73" s="100">
        <v>289</v>
      </c>
      <c r="G73" s="100">
        <v>267.4</v>
      </c>
      <c r="H73" s="100">
        <v>289.9</v>
      </c>
      <c r="I73" s="100">
        <v>313</v>
      </c>
      <c r="J73" s="100">
        <v>359.3</v>
      </c>
      <c r="K73" s="100">
        <v>338.2</v>
      </c>
      <c r="L73" s="100">
        <v>390</v>
      </c>
      <c r="M73" s="100">
        <v>425.4</v>
      </c>
      <c r="N73" s="100">
        <v>372.6</v>
      </c>
    </row>
    <row r="74" spans="1:14" ht="12">
      <c r="A74" t="s">
        <v>87</v>
      </c>
      <c r="B74" s="100">
        <v>3062.24</v>
      </c>
      <c r="C74" s="100">
        <v>3358.94</v>
      </c>
      <c r="D74" s="100">
        <v>3147.84</v>
      </c>
      <c r="E74" s="100">
        <v>3511.38</v>
      </c>
      <c r="F74" s="100">
        <v>2725</v>
      </c>
      <c r="G74" s="100">
        <v>2664.42</v>
      </c>
      <c r="H74" s="100">
        <v>2613.68</v>
      </c>
      <c r="I74" s="100">
        <v>2530.88</v>
      </c>
      <c r="J74" s="100">
        <v>2907.93</v>
      </c>
      <c r="K74" s="100">
        <v>2763.65</v>
      </c>
      <c r="L74" s="100">
        <v>2537.99</v>
      </c>
      <c r="M74" s="100">
        <v>2964.46</v>
      </c>
      <c r="N74" s="100">
        <v>3118.92</v>
      </c>
    </row>
    <row r="75" spans="1:14" ht="12">
      <c r="A75" t="s">
        <v>88</v>
      </c>
      <c r="B75" s="100">
        <v>4135</v>
      </c>
      <c r="C75" s="100">
        <v>3349</v>
      </c>
      <c r="D75" s="100">
        <v>3997</v>
      </c>
      <c r="E75" s="100">
        <v>4577</v>
      </c>
      <c r="F75" s="100">
        <v>4531</v>
      </c>
      <c r="G75" s="100">
        <v>4289</v>
      </c>
      <c r="H75" s="100">
        <v>3273</v>
      </c>
      <c r="I75" s="100">
        <v>3118</v>
      </c>
      <c r="J75" s="100">
        <v>3105</v>
      </c>
      <c r="K75" s="100">
        <v>2950</v>
      </c>
      <c r="L75" s="100">
        <v>2719</v>
      </c>
      <c r="M75" s="100">
        <v>2706</v>
      </c>
      <c r="N75" s="100">
        <v>2573</v>
      </c>
    </row>
    <row r="76" spans="1:14" ht="12">
      <c r="A76" t="s">
        <v>89</v>
      </c>
      <c r="B76" s="100">
        <v>15222</v>
      </c>
      <c r="C76" s="100">
        <v>17049</v>
      </c>
      <c r="D76" s="100">
        <v>16790</v>
      </c>
      <c r="E76" s="100">
        <v>19272</v>
      </c>
      <c r="F76" s="100">
        <v>20292</v>
      </c>
      <c r="G76" s="100">
        <v>17937</v>
      </c>
      <c r="H76" s="100">
        <v>19226</v>
      </c>
      <c r="I76" s="100">
        <v>16798</v>
      </c>
      <c r="J76" s="100">
        <v>17428</v>
      </c>
      <c r="K76" s="100">
        <v>16857</v>
      </c>
      <c r="L76" s="100">
        <v>15946</v>
      </c>
      <c r="M76" s="100">
        <v>17108</v>
      </c>
      <c r="N76" s="100">
        <v>15377</v>
      </c>
    </row>
    <row r="77" spans="1:14" ht="12">
      <c r="A77" t="s">
        <v>90</v>
      </c>
      <c r="B77" s="100">
        <v>53970</v>
      </c>
      <c r="C77" s="100">
        <v>55996</v>
      </c>
      <c r="D77" s="100">
        <v>58357</v>
      </c>
      <c r="E77" s="100">
        <v>61452</v>
      </c>
      <c r="F77" s="100">
        <v>66023</v>
      </c>
      <c r="G77" s="100">
        <v>67579</v>
      </c>
      <c r="H77" s="100">
        <v>68214</v>
      </c>
      <c r="I77" s="100">
        <v>70761</v>
      </c>
      <c r="J77" s="100">
        <v>74477</v>
      </c>
      <c r="K77" s="100">
        <v>72133</v>
      </c>
      <c r="L77" s="100">
        <v>73306</v>
      </c>
      <c r="M77" s="100">
        <v>76057</v>
      </c>
      <c r="N77" s="100">
        <v>75843</v>
      </c>
    </row>
    <row r="78" spans="1:14" ht="12">
      <c r="A78" t="s">
        <v>91</v>
      </c>
      <c r="B78" s="100">
        <v>6038.80357</v>
      </c>
      <c r="C78" s="100">
        <v>5278.72968</v>
      </c>
      <c r="D78" s="100">
        <v>2642.42307</v>
      </c>
      <c r="E78" s="100">
        <v>4610.88694</v>
      </c>
      <c r="F78" s="100">
        <v>3186.25815</v>
      </c>
      <c r="G78" s="100">
        <v>2475.9525</v>
      </c>
      <c r="H78" s="100">
        <v>3215.09114</v>
      </c>
      <c r="I78" s="100">
        <v>4542.72204</v>
      </c>
      <c r="J78" s="100">
        <v>5531.53979</v>
      </c>
      <c r="K78" s="100">
        <v>4671.1193</v>
      </c>
      <c r="L78" s="100">
        <v>7080.00727</v>
      </c>
      <c r="M78" s="100">
        <v>7435.34392</v>
      </c>
      <c r="N78" s="100">
        <v>6383.3866</v>
      </c>
    </row>
    <row r="79" spans="1:14" ht="12">
      <c r="A79" t="s">
        <v>92</v>
      </c>
      <c r="B79" s="100">
        <v>22546</v>
      </c>
      <c r="C79" s="100">
        <v>22247</v>
      </c>
      <c r="D79" s="100">
        <v>24381</v>
      </c>
      <c r="E79" s="100">
        <v>25322</v>
      </c>
      <c r="F79" s="100">
        <v>26068</v>
      </c>
      <c r="G79" s="100">
        <v>25562</v>
      </c>
      <c r="H79" s="100">
        <v>26052</v>
      </c>
      <c r="I79" s="100">
        <v>26618</v>
      </c>
      <c r="J79" s="100">
        <v>27598</v>
      </c>
      <c r="K79" s="100">
        <v>26129</v>
      </c>
      <c r="L79" s="100">
        <v>25991</v>
      </c>
      <c r="M79" s="100">
        <v>27210</v>
      </c>
      <c r="N79" s="100">
        <v>24009</v>
      </c>
    </row>
    <row r="80" spans="1:14" ht="12">
      <c r="A80" t="s">
        <v>93</v>
      </c>
      <c r="B80" s="100">
        <v>363.9</v>
      </c>
      <c r="C80" s="100">
        <v>360.6</v>
      </c>
      <c r="D80" s="100">
        <v>443.5</v>
      </c>
      <c r="E80" s="100">
        <v>560.2</v>
      </c>
      <c r="F80" s="100">
        <v>510</v>
      </c>
      <c r="G80" s="100">
        <v>462.2</v>
      </c>
      <c r="H80" s="100">
        <v>530.2</v>
      </c>
      <c r="I80" s="100">
        <v>525.5</v>
      </c>
      <c r="J80" s="100">
        <v>402.6</v>
      </c>
      <c r="K80" s="100">
        <v>395.1</v>
      </c>
      <c r="L80" s="100">
        <v>463.3</v>
      </c>
      <c r="M80" s="100">
        <v>397.8</v>
      </c>
      <c r="N80" s="100">
        <v>461.8</v>
      </c>
    </row>
    <row r="81" spans="1:14" ht="12">
      <c r="A81" t="s">
        <v>94</v>
      </c>
      <c r="B81" s="100">
        <v>504.49</v>
      </c>
      <c r="C81" s="100">
        <v>780.69</v>
      </c>
      <c r="D81" s="100">
        <v>711.27</v>
      </c>
      <c r="E81" s="100">
        <v>997.3</v>
      </c>
      <c r="F81" s="100">
        <v>668.57</v>
      </c>
      <c r="G81" s="100">
        <v>757.55</v>
      </c>
      <c r="H81" s="100">
        <v>464.6</v>
      </c>
      <c r="I81" s="100">
        <v>679.84</v>
      </c>
      <c r="J81" s="100">
        <v>624.74</v>
      </c>
      <c r="K81" s="100">
        <v>771.32</v>
      </c>
      <c r="L81" s="100">
        <v>674.2</v>
      </c>
      <c r="M81" s="100">
        <v>726.17</v>
      </c>
      <c r="N81" s="100">
        <v>839.7</v>
      </c>
    </row>
    <row r="82" spans="1:14" ht="12">
      <c r="A82" t="s">
        <v>95</v>
      </c>
      <c r="B82" s="100">
        <v>376.28013</v>
      </c>
      <c r="C82" s="100">
        <v>301.30278</v>
      </c>
      <c r="D82" s="100">
        <v>380.60529</v>
      </c>
      <c r="E82" s="100">
        <v>478.85328</v>
      </c>
      <c r="F82" s="100">
        <v>447.93948</v>
      </c>
      <c r="G82" s="100">
        <v>346.63577</v>
      </c>
      <c r="H82" s="100">
        <v>498.44853</v>
      </c>
      <c r="I82" s="100">
        <v>465.72022</v>
      </c>
      <c r="J82" s="100">
        <v>554.29927</v>
      </c>
      <c r="K82" s="100">
        <v>515.39964</v>
      </c>
      <c r="L82" s="100">
        <v>554.09499</v>
      </c>
      <c r="M82" s="100">
        <v>642.6402</v>
      </c>
      <c r="N82" s="100">
        <v>590.85792</v>
      </c>
    </row>
    <row r="83" spans="1:14" ht="12">
      <c r="A83" t="s">
        <v>96</v>
      </c>
      <c r="B83" s="100">
        <v>801.09589</v>
      </c>
      <c r="C83" s="100">
        <v>854.82744</v>
      </c>
      <c r="D83" s="100">
        <v>856.17571</v>
      </c>
      <c r="E83" s="100">
        <v>943.54563</v>
      </c>
      <c r="F83" s="100">
        <v>995.47783</v>
      </c>
      <c r="G83" s="100">
        <v>1104.03788</v>
      </c>
      <c r="H83" s="100">
        <v>1301.44357</v>
      </c>
      <c r="I83" s="100">
        <v>1411.16409</v>
      </c>
      <c r="J83" s="100">
        <v>1467.31686</v>
      </c>
      <c r="K83" s="100">
        <v>1484.94019</v>
      </c>
      <c r="L83" s="100">
        <v>1604.74932</v>
      </c>
      <c r="M83" s="100">
        <v>1691.02271</v>
      </c>
      <c r="N83" s="100">
        <v>1912.97281</v>
      </c>
    </row>
    <row r="84" spans="1:14" ht="12">
      <c r="A84" t="s">
        <v>97</v>
      </c>
      <c r="B84" s="100">
        <v>566157</v>
      </c>
      <c r="C84" s="100">
        <v>671115</v>
      </c>
      <c r="D84" s="100">
        <v>701358</v>
      </c>
      <c r="E84" s="100">
        <v>671623</v>
      </c>
      <c r="F84" s="100">
        <v>703136</v>
      </c>
      <c r="G84" s="100">
        <v>672853</v>
      </c>
      <c r="H84" s="100">
        <v>742912.501</v>
      </c>
      <c r="I84" s="100">
        <v>749992</v>
      </c>
      <c r="J84" s="100">
        <v>975984</v>
      </c>
      <c r="K84" s="100">
        <v>1016452.853</v>
      </c>
      <c r="L84" s="100">
        <v>1017498.532</v>
      </c>
      <c r="M84" s="100">
        <v>1270382.01235</v>
      </c>
      <c r="N84" s="100">
        <v>1341761.87212</v>
      </c>
    </row>
    <row r="85" spans="1:14" ht="12">
      <c r="A85" t="s">
        <v>98</v>
      </c>
      <c r="B85" s="100">
        <v>84.60471</v>
      </c>
      <c r="C85" s="100">
        <v>89.42025</v>
      </c>
      <c r="D85" s="100">
        <v>93.50305</v>
      </c>
      <c r="E85" s="100">
        <v>109.97055</v>
      </c>
      <c r="F85" s="100">
        <v>115.74327</v>
      </c>
      <c r="G85" s="100">
        <v>127.00819</v>
      </c>
      <c r="H85" s="100">
        <v>126.9717</v>
      </c>
      <c r="I85" s="100">
        <v>130.80284</v>
      </c>
      <c r="J85" s="100">
        <v>176.35132</v>
      </c>
      <c r="K85" s="100">
        <v>186.74057</v>
      </c>
      <c r="L85" s="100">
        <v>200.83223</v>
      </c>
      <c r="M85" s="100">
        <v>198.35852</v>
      </c>
      <c r="N85" s="100">
        <v>203.23499</v>
      </c>
    </row>
    <row r="86" spans="1:14" ht="12">
      <c r="A86" t="s">
        <v>99</v>
      </c>
      <c r="B86" s="100">
        <v>10918</v>
      </c>
      <c r="C86" s="100">
        <v>12572</v>
      </c>
      <c r="D86" s="100">
        <v>11748</v>
      </c>
      <c r="E86" s="100">
        <v>13105</v>
      </c>
      <c r="F86" s="100">
        <v>9854</v>
      </c>
      <c r="G86" s="100">
        <v>11918</v>
      </c>
      <c r="H86" s="100">
        <v>11963</v>
      </c>
      <c r="I86" s="100">
        <v>11977</v>
      </c>
      <c r="J86" s="100">
        <v>11828</v>
      </c>
      <c r="K86" s="100">
        <v>12700</v>
      </c>
      <c r="L86" s="100">
        <v>12950</v>
      </c>
      <c r="M86" s="100">
        <v>8804</v>
      </c>
      <c r="N86" s="100">
        <v>10216</v>
      </c>
    </row>
    <row r="87" spans="1:14" ht="12">
      <c r="A87" t="s">
        <v>100</v>
      </c>
      <c r="B87" s="100">
        <v>7013.72</v>
      </c>
      <c r="C87" s="100">
        <v>6774.87</v>
      </c>
      <c r="D87" s="100">
        <v>7020.51</v>
      </c>
      <c r="E87" s="100">
        <v>7147.63</v>
      </c>
      <c r="F87" s="100">
        <v>7089.17</v>
      </c>
      <c r="G87" s="100">
        <v>7619.97</v>
      </c>
      <c r="H87" s="100">
        <v>7864.23</v>
      </c>
      <c r="I87" s="100">
        <v>8291.5</v>
      </c>
      <c r="J87" s="100">
        <v>8754.21</v>
      </c>
      <c r="K87" s="100">
        <v>8791.89</v>
      </c>
      <c r="L87" s="100">
        <v>9532.15</v>
      </c>
      <c r="M87" s="100">
        <v>10075.01</v>
      </c>
      <c r="N87" s="100">
        <v>9277.48</v>
      </c>
    </row>
    <row r="88" spans="1:14" ht="12">
      <c r="A88" t="s">
        <v>101</v>
      </c>
      <c r="B88" s="100">
        <v>19968.4</v>
      </c>
      <c r="C88" s="100">
        <v>24730</v>
      </c>
      <c r="D88" s="100">
        <v>27079</v>
      </c>
      <c r="E88" s="100">
        <v>30441</v>
      </c>
      <c r="F88" s="100">
        <v>29121</v>
      </c>
      <c r="G88" s="100">
        <v>29509</v>
      </c>
      <c r="H88" s="100">
        <v>32245</v>
      </c>
      <c r="I88" s="100">
        <v>35802</v>
      </c>
      <c r="J88" s="100">
        <v>36567</v>
      </c>
      <c r="K88" s="100">
        <v>34055.9</v>
      </c>
      <c r="L88" s="100">
        <v>37237.1</v>
      </c>
      <c r="M88" s="100">
        <v>35117</v>
      </c>
      <c r="N88" s="100">
        <v>35174</v>
      </c>
    </row>
    <row r="89" spans="1:14" ht="12">
      <c r="A89" t="s">
        <v>102</v>
      </c>
      <c r="B89" s="100">
        <v>3782.713</v>
      </c>
      <c r="C89" s="100">
        <v>4105.245</v>
      </c>
      <c r="D89" s="100">
        <v>4247.67</v>
      </c>
      <c r="E89" s="100">
        <v>4166.538</v>
      </c>
      <c r="F89" s="100">
        <v>4701.1</v>
      </c>
      <c r="G89" s="100">
        <v>5013.893</v>
      </c>
      <c r="H89" s="100">
        <v>5021.067</v>
      </c>
      <c r="I89" s="100">
        <v>4559.444</v>
      </c>
      <c r="J89" s="100">
        <v>4599.211</v>
      </c>
      <c r="K89" s="100">
        <v>4679.365</v>
      </c>
      <c r="L89" s="100">
        <v>4579.443</v>
      </c>
      <c r="M89" s="100">
        <v>4629.532</v>
      </c>
      <c r="N89" s="100">
        <v>4412.969</v>
      </c>
    </row>
    <row r="90" spans="1:14" ht="12">
      <c r="A90" t="s">
        <v>103</v>
      </c>
      <c r="B90" s="100">
        <v>2624.5</v>
      </c>
      <c r="C90" s="100">
        <v>2723.6</v>
      </c>
      <c r="D90" s="100">
        <v>7937.5</v>
      </c>
      <c r="E90" s="100">
        <v>7325</v>
      </c>
      <c r="F90" s="100">
        <v>9182.7</v>
      </c>
      <c r="G90" s="100">
        <v>9902.4</v>
      </c>
      <c r="H90" s="100">
        <v>11646.1</v>
      </c>
      <c r="I90" s="100">
        <v>14899.8</v>
      </c>
      <c r="J90" s="100">
        <v>11785.9</v>
      </c>
      <c r="K90" s="100">
        <v>15142.1</v>
      </c>
      <c r="L90" s="100">
        <v>17205.7</v>
      </c>
      <c r="M90" s="100">
        <v>13387.9</v>
      </c>
      <c r="N90" s="100">
        <v>18052</v>
      </c>
    </row>
    <row r="91" spans="1:14" ht="12">
      <c r="A91" t="s">
        <v>104</v>
      </c>
      <c r="B91" s="100">
        <v>643.99</v>
      </c>
      <c r="C91" s="100">
        <v>652.9</v>
      </c>
      <c r="D91" s="100">
        <v>616.4</v>
      </c>
      <c r="E91" s="100">
        <v>808.31</v>
      </c>
      <c r="F91" s="100">
        <v>827.13</v>
      </c>
      <c r="G91" s="100">
        <v>780.85</v>
      </c>
      <c r="H91" s="100">
        <v>792.45</v>
      </c>
      <c r="I91" s="100">
        <v>784.72</v>
      </c>
      <c r="J91" s="100">
        <v>840.24</v>
      </c>
      <c r="K91" s="100">
        <v>733.64</v>
      </c>
      <c r="L91" s="100">
        <v>765.29</v>
      </c>
      <c r="M91" s="100">
        <v>992.72</v>
      </c>
      <c r="N91" s="100">
        <v>877.25</v>
      </c>
    </row>
    <row r="92" spans="1:14" ht="12">
      <c r="A92" t="s">
        <v>105</v>
      </c>
      <c r="B92" s="100">
        <v>986.743</v>
      </c>
      <c r="C92" s="100">
        <v>837.092</v>
      </c>
      <c r="D92" s="100">
        <v>899.331</v>
      </c>
      <c r="E92" s="100">
        <v>985.377</v>
      </c>
      <c r="F92" s="100">
        <v>1140.594</v>
      </c>
      <c r="G92" s="100">
        <v>1053.2</v>
      </c>
      <c r="H92" s="100">
        <v>965.412</v>
      </c>
      <c r="I92" s="100">
        <v>1053.209</v>
      </c>
      <c r="J92" s="100">
        <v>1205.778</v>
      </c>
      <c r="K92" s="100">
        <v>1263.434</v>
      </c>
      <c r="L92" s="100">
        <v>1489.318</v>
      </c>
      <c r="M92" s="100">
        <v>1374.141</v>
      </c>
      <c r="N92" s="100">
        <v>1458.685</v>
      </c>
    </row>
    <row r="93" spans="1:14" ht="12">
      <c r="A93" t="s">
        <v>106</v>
      </c>
      <c r="B93" s="100">
        <v>4150</v>
      </c>
      <c r="C93" s="100">
        <v>4369</v>
      </c>
      <c r="D93" s="100">
        <v>4439</v>
      </c>
      <c r="E93" s="100">
        <v>4725</v>
      </c>
      <c r="F93" s="100">
        <v>5059</v>
      </c>
      <c r="G93" s="100">
        <v>5289</v>
      </c>
      <c r="H93" s="100">
        <v>5521</v>
      </c>
      <c r="I93" s="100">
        <v>5560</v>
      </c>
      <c r="J93" s="100">
        <v>6013</v>
      </c>
      <c r="K93" s="100">
        <v>6061</v>
      </c>
      <c r="L93" s="100">
        <v>5823</v>
      </c>
      <c r="M93" s="100">
        <v>5689</v>
      </c>
      <c r="N93" s="100">
        <v>5293</v>
      </c>
    </row>
    <row r="94" spans="1:14" ht="12">
      <c r="A94" t="s">
        <v>107</v>
      </c>
      <c r="B94" s="100">
        <v>97948</v>
      </c>
      <c r="C94" s="100">
        <v>98804</v>
      </c>
      <c r="D94" s="100">
        <v>90624</v>
      </c>
      <c r="E94" s="100">
        <v>93447</v>
      </c>
      <c r="F94" s="100">
        <v>93223</v>
      </c>
      <c r="G94" s="100">
        <v>101063</v>
      </c>
      <c r="H94" s="100">
        <v>96658</v>
      </c>
      <c r="I94" s="100">
        <v>98604</v>
      </c>
      <c r="J94" s="100">
        <v>106947</v>
      </c>
      <c r="K94" s="100">
        <v>108028</v>
      </c>
      <c r="L94" s="100">
        <v>109442</v>
      </c>
      <c r="M94" s="100">
        <v>102808</v>
      </c>
      <c r="N94" s="100">
        <v>113172</v>
      </c>
    </row>
    <row r="95" spans="1:14" ht="12">
      <c r="A95" t="s">
        <v>108</v>
      </c>
      <c r="B95" s="100">
        <v>34762</v>
      </c>
      <c r="C95" s="100">
        <v>35813</v>
      </c>
      <c r="D95" s="100">
        <v>37085</v>
      </c>
      <c r="E95" s="100">
        <v>36535</v>
      </c>
      <c r="F95" s="100">
        <v>39868</v>
      </c>
      <c r="G95" s="100">
        <v>45187</v>
      </c>
      <c r="H95" s="100">
        <v>42060</v>
      </c>
      <c r="I95" s="100">
        <v>42238</v>
      </c>
      <c r="J95" s="100">
        <v>43936</v>
      </c>
      <c r="K95" s="100">
        <v>39759</v>
      </c>
      <c r="L95" s="100">
        <v>38079</v>
      </c>
      <c r="M95" s="100">
        <v>37585</v>
      </c>
      <c r="N95" s="100">
        <v>35557</v>
      </c>
    </row>
    <row r="96" spans="1:14" ht="12">
      <c r="A96" t="s">
        <v>109</v>
      </c>
      <c r="B96" s="100">
        <v>16212.27451</v>
      </c>
      <c r="C96" s="100">
        <v>18844.47826</v>
      </c>
      <c r="D96" s="100">
        <v>23038.24496</v>
      </c>
      <c r="E96" s="100">
        <v>30250.68122</v>
      </c>
      <c r="F96" s="100">
        <v>32576.71653</v>
      </c>
      <c r="G96" s="100">
        <v>30027.04818</v>
      </c>
      <c r="H96" s="100">
        <v>27956.3473</v>
      </c>
      <c r="I96" s="100">
        <v>27474.50258</v>
      </c>
      <c r="J96" s="100">
        <v>29533.77524</v>
      </c>
      <c r="K96" s="100">
        <v>30532.15247</v>
      </c>
      <c r="L96" s="100">
        <v>32039.05266</v>
      </c>
      <c r="M96" s="100">
        <v>39863.81706</v>
      </c>
      <c r="N96" s="100">
        <v>42054.50252</v>
      </c>
    </row>
    <row r="97" spans="1:14" ht="12">
      <c r="A97" t="s">
        <v>110</v>
      </c>
      <c r="B97" s="100">
        <v>38747</v>
      </c>
      <c r="C97" s="100">
        <v>41278</v>
      </c>
      <c r="D97" s="100">
        <v>46886</v>
      </c>
      <c r="E97" s="100">
        <v>51260</v>
      </c>
      <c r="F97" s="100">
        <v>58814</v>
      </c>
      <c r="G97" s="100">
        <v>61960</v>
      </c>
      <c r="H97" s="100">
        <v>62489</v>
      </c>
      <c r="I97" s="100">
        <v>63409</v>
      </c>
      <c r="J97" s="100">
        <v>70597</v>
      </c>
      <c r="K97" s="100">
        <v>75978</v>
      </c>
      <c r="L97" s="100">
        <v>82647</v>
      </c>
      <c r="M97" s="100">
        <v>84108</v>
      </c>
      <c r="N97" s="100">
        <v>86006</v>
      </c>
    </row>
    <row r="98" spans="1:14" ht="12">
      <c r="A98" t="s">
        <v>111</v>
      </c>
      <c r="B98" s="100">
        <v>10377.0197</v>
      </c>
      <c r="C98" s="100">
        <v>10403.23156</v>
      </c>
      <c r="D98" s="100">
        <v>11395.73981</v>
      </c>
      <c r="E98" s="100">
        <v>12000.67715</v>
      </c>
      <c r="F98" s="100">
        <v>12744.96866</v>
      </c>
      <c r="G98" s="100">
        <v>13600.81747</v>
      </c>
      <c r="H98" s="100">
        <v>13757.63641</v>
      </c>
      <c r="I98" s="100">
        <v>14294.55173</v>
      </c>
      <c r="J98" s="100">
        <v>15309.8293</v>
      </c>
      <c r="K98" s="100">
        <v>15388.39733</v>
      </c>
      <c r="L98" s="100">
        <v>16057.47111</v>
      </c>
      <c r="M98" s="100">
        <v>16329.37844</v>
      </c>
      <c r="N98" s="100" t="s">
        <v>163</v>
      </c>
    </row>
    <row r="99" spans="1:14" ht="12">
      <c r="A99" t="s">
        <v>112</v>
      </c>
      <c r="B99" s="100">
        <v>176530.46102</v>
      </c>
      <c r="C99" s="100">
        <v>181685.4572</v>
      </c>
      <c r="D99" s="100">
        <v>187164.9022</v>
      </c>
      <c r="E99" s="100">
        <v>201736.44563</v>
      </c>
      <c r="F99" s="100">
        <v>204911.48074</v>
      </c>
      <c r="G99" s="100">
        <v>212103.56263</v>
      </c>
      <c r="H99" s="100">
        <v>214238.30331</v>
      </c>
      <c r="I99" s="100">
        <v>221569.94635</v>
      </c>
      <c r="J99" s="100">
        <v>245099.43773</v>
      </c>
      <c r="K99" s="100">
        <v>240353.27939</v>
      </c>
      <c r="L99" s="100">
        <v>242728.96754</v>
      </c>
      <c r="M99" s="100">
        <v>246564.75442</v>
      </c>
      <c r="N99" s="100">
        <v>240048.06971</v>
      </c>
    </row>
    <row r="100" spans="1:14" ht="12">
      <c r="A100" t="s">
        <v>113</v>
      </c>
      <c r="B100" s="100">
        <v>255446.67767</v>
      </c>
      <c r="C100" s="100">
        <v>264553.94737</v>
      </c>
      <c r="D100" s="100">
        <v>274025.88318</v>
      </c>
      <c r="E100" s="100">
        <v>282411.09447</v>
      </c>
      <c r="F100" s="100">
        <v>282486.82238</v>
      </c>
      <c r="G100" s="100">
        <v>299534.10404</v>
      </c>
      <c r="H100" s="100">
        <v>298704.53082</v>
      </c>
      <c r="I100" s="100">
        <v>312769.0472</v>
      </c>
      <c r="J100" s="100">
        <v>337571.2803</v>
      </c>
      <c r="K100" s="100">
        <v>328713.87797</v>
      </c>
      <c r="L100" s="100">
        <v>336613.07599</v>
      </c>
      <c r="M100" s="100">
        <v>331647.97204</v>
      </c>
      <c r="N100" s="100">
        <v>323449.33587</v>
      </c>
    </row>
    <row r="101" spans="1:14" ht="12">
      <c r="A101" t="s">
        <v>114</v>
      </c>
      <c r="B101" s="100">
        <v>6734.7</v>
      </c>
      <c r="C101" s="100">
        <v>7969.3</v>
      </c>
      <c r="D101" s="100">
        <v>9272.4</v>
      </c>
      <c r="E101" s="100">
        <v>10291.3</v>
      </c>
      <c r="F101" s="100">
        <v>10694.9</v>
      </c>
      <c r="G101" s="100">
        <v>12371.5</v>
      </c>
      <c r="H101" s="100">
        <v>13375.1</v>
      </c>
      <c r="I101" s="100">
        <v>13308.2</v>
      </c>
      <c r="J101" s="100">
        <v>13590.5</v>
      </c>
      <c r="K101" s="100">
        <v>14005.1</v>
      </c>
      <c r="L101" s="100">
        <v>14058.2</v>
      </c>
      <c r="M101" s="100">
        <v>14258.2</v>
      </c>
      <c r="N101" s="100">
        <v>14704.7</v>
      </c>
    </row>
    <row r="102" spans="1:14" ht="12">
      <c r="A102" t="s">
        <v>115</v>
      </c>
      <c r="B102" s="100">
        <v>347.906</v>
      </c>
      <c r="C102" s="100">
        <v>373.698</v>
      </c>
      <c r="D102" s="100">
        <v>500.186</v>
      </c>
      <c r="E102" s="100">
        <v>796.746</v>
      </c>
      <c r="F102" s="100">
        <v>807.16</v>
      </c>
      <c r="G102" s="100">
        <v>849.241</v>
      </c>
      <c r="H102" s="100">
        <v>726.374</v>
      </c>
      <c r="I102" s="100">
        <v>729.857</v>
      </c>
      <c r="J102" s="100">
        <v>1065.671</v>
      </c>
      <c r="K102" s="100">
        <v>1118.627</v>
      </c>
      <c r="L102" s="100">
        <v>1624.259</v>
      </c>
      <c r="M102" s="100">
        <v>1329.489</v>
      </c>
      <c r="N102" s="100">
        <v>1085.039</v>
      </c>
    </row>
    <row r="103" spans="1:14" ht="12">
      <c r="A103" t="s">
        <v>116</v>
      </c>
      <c r="B103" s="100">
        <v>49284</v>
      </c>
      <c r="C103" s="100">
        <v>55169</v>
      </c>
      <c r="D103" s="100">
        <v>56419</v>
      </c>
      <c r="E103" s="100">
        <v>57662</v>
      </c>
      <c r="F103" s="100">
        <v>68974</v>
      </c>
      <c r="G103" s="100">
        <v>70544</v>
      </c>
      <c r="H103" s="100">
        <v>91141</v>
      </c>
      <c r="I103" s="100">
        <v>91121</v>
      </c>
      <c r="J103" s="100">
        <v>95779</v>
      </c>
      <c r="K103" s="100">
        <v>99399</v>
      </c>
      <c r="L103" s="100">
        <v>104995</v>
      </c>
      <c r="M103" s="100">
        <v>107836</v>
      </c>
      <c r="N103" s="100">
        <v>111248</v>
      </c>
    </row>
    <row r="104" spans="1:14" ht="12">
      <c r="A104" t="s">
        <v>117</v>
      </c>
      <c r="B104" s="100">
        <v>29523</v>
      </c>
      <c r="C104" s="100">
        <v>29730</v>
      </c>
      <c r="D104" s="100">
        <v>32768</v>
      </c>
      <c r="E104" s="100">
        <v>31720</v>
      </c>
      <c r="F104" s="100">
        <v>36893</v>
      </c>
      <c r="G104" s="100">
        <v>36692</v>
      </c>
      <c r="H104" s="100">
        <v>38958</v>
      </c>
      <c r="I104" s="100">
        <v>41018</v>
      </c>
      <c r="J104" s="100">
        <v>41424</v>
      </c>
      <c r="K104" s="100">
        <v>40989</v>
      </c>
      <c r="L104" s="100">
        <v>40996</v>
      </c>
      <c r="M104" s="100">
        <v>38564</v>
      </c>
      <c r="N104" s="100">
        <v>39078</v>
      </c>
    </row>
    <row r="105" spans="1:14" ht="12">
      <c r="A105" t="s">
        <v>118</v>
      </c>
      <c r="B105" s="100">
        <v>25084</v>
      </c>
      <c r="C105" s="100">
        <v>25349</v>
      </c>
      <c r="D105" s="100">
        <v>24552</v>
      </c>
      <c r="E105" s="100">
        <v>24268</v>
      </c>
      <c r="F105" s="100">
        <v>32313</v>
      </c>
      <c r="G105" s="100">
        <v>29666</v>
      </c>
      <c r="H105" s="100">
        <v>27422</v>
      </c>
      <c r="I105" s="100">
        <v>24561</v>
      </c>
      <c r="J105" s="100">
        <v>25808</v>
      </c>
      <c r="K105" s="100">
        <v>26399</v>
      </c>
      <c r="L105" s="100">
        <v>26991</v>
      </c>
      <c r="M105" s="100">
        <v>27807</v>
      </c>
      <c r="N105" s="100">
        <v>27626</v>
      </c>
    </row>
    <row r="106" spans="1:14" ht="12">
      <c r="A106" t="s">
        <v>119</v>
      </c>
      <c r="B106" s="100">
        <v>81.4</v>
      </c>
      <c r="C106" s="100">
        <v>114.5</v>
      </c>
      <c r="D106" s="100">
        <v>138.3</v>
      </c>
      <c r="E106" s="100">
        <v>157.7</v>
      </c>
      <c r="F106" s="100">
        <v>133.6</v>
      </c>
      <c r="G106" s="100">
        <v>156.4</v>
      </c>
      <c r="H106" s="100">
        <v>163.6</v>
      </c>
      <c r="I106" s="100">
        <v>164.5</v>
      </c>
      <c r="J106" s="100">
        <v>124.8</v>
      </c>
      <c r="K106" s="100">
        <v>94.4</v>
      </c>
      <c r="L106" s="100">
        <v>98.5</v>
      </c>
      <c r="M106" s="100">
        <v>100.5</v>
      </c>
      <c r="N106" s="100">
        <v>101</v>
      </c>
    </row>
    <row r="107" spans="1:14" ht="12">
      <c r="A107" t="s">
        <v>120</v>
      </c>
      <c r="B107" s="100">
        <v>1726.04</v>
      </c>
      <c r="C107" s="100">
        <v>1677.32</v>
      </c>
      <c r="D107" s="100">
        <v>1798.07</v>
      </c>
      <c r="E107" s="100">
        <v>1921.76</v>
      </c>
      <c r="F107" s="100">
        <v>1889.5</v>
      </c>
      <c r="G107" s="100">
        <v>1828.42</v>
      </c>
      <c r="H107" s="100">
        <v>1724.59</v>
      </c>
      <c r="I107" s="100">
        <v>1910.02</v>
      </c>
      <c r="J107" s="100">
        <v>1905.94</v>
      </c>
      <c r="K107" s="100">
        <v>1863.02</v>
      </c>
      <c r="L107" s="100">
        <v>1747.95</v>
      </c>
      <c r="M107" s="100">
        <v>1727.06</v>
      </c>
      <c r="N107" s="100">
        <v>1833.26</v>
      </c>
    </row>
    <row r="108" spans="1:14" ht="12">
      <c r="A108" t="s">
        <v>121</v>
      </c>
      <c r="B108" s="100">
        <v>169</v>
      </c>
      <c r="C108" s="100">
        <v>80</v>
      </c>
      <c r="D108" s="100">
        <v>195</v>
      </c>
      <c r="E108" s="100">
        <v>99</v>
      </c>
      <c r="F108" s="100">
        <v>234</v>
      </c>
      <c r="G108" s="100">
        <v>343</v>
      </c>
      <c r="H108" s="100">
        <v>1330</v>
      </c>
      <c r="I108" s="100">
        <v>1511</v>
      </c>
      <c r="J108" s="100">
        <v>2104</v>
      </c>
      <c r="K108" s="100">
        <v>1754</v>
      </c>
      <c r="L108" s="100">
        <v>1739</v>
      </c>
      <c r="M108" s="100">
        <v>1802</v>
      </c>
      <c r="N108" s="100">
        <v>1668</v>
      </c>
    </row>
    <row r="109" spans="1:14" ht="12">
      <c r="A109" t="s">
        <v>122</v>
      </c>
      <c r="B109" s="100">
        <v>9728</v>
      </c>
      <c r="C109" s="100">
        <v>10429</v>
      </c>
      <c r="D109" s="100">
        <v>11857</v>
      </c>
      <c r="E109" s="100">
        <v>12364</v>
      </c>
      <c r="F109" s="100">
        <v>12438</v>
      </c>
      <c r="G109" s="100">
        <v>12302</v>
      </c>
      <c r="H109" s="100">
        <v>12117</v>
      </c>
      <c r="I109" s="100">
        <v>9907</v>
      </c>
      <c r="J109" s="100">
        <v>10755</v>
      </c>
      <c r="K109" s="100">
        <v>11326</v>
      </c>
      <c r="L109" s="100">
        <v>12272</v>
      </c>
      <c r="M109" s="100">
        <v>11299</v>
      </c>
      <c r="N109" s="100">
        <v>11930</v>
      </c>
    </row>
    <row r="110" spans="1:14" ht="12">
      <c r="A110" t="s">
        <v>123</v>
      </c>
      <c r="B110" s="100">
        <v>24013</v>
      </c>
      <c r="C110" s="100">
        <v>25094</v>
      </c>
      <c r="D110" s="100">
        <v>26867</v>
      </c>
      <c r="E110" s="100">
        <v>29051</v>
      </c>
      <c r="F110" s="100">
        <v>34500</v>
      </c>
      <c r="G110" s="100">
        <v>36411</v>
      </c>
      <c r="H110" s="100">
        <v>34734</v>
      </c>
      <c r="I110" s="100">
        <v>36289</v>
      </c>
      <c r="J110" s="100">
        <v>36437</v>
      </c>
      <c r="K110" s="100">
        <v>47201</v>
      </c>
      <c r="L110" s="100">
        <v>56094</v>
      </c>
      <c r="M110" s="100">
        <v>55931</v>
      </c>
      <c r="N110" s="100">
        <v>58697</v>
      </c>
    </row>
    <row r="111" spans="1:14" ht="12">
      <c r="A111" t="s">
        <v>124</v>
      </c>
      <c r="B111" s="100">
        <v>6356.26422</v>
      </c>
      <c r="C111" s="100">
        <v>6920.00646</v>
      </c>
      <c r="D111" s="100">
        <v>7872.4537</v>
      </c>
      <c r="E111" s="100">
        <v>8516.71689</v>
      </c>
      <c r="F111" s="100">
        <v>8375.40137</v>
      </c>
      <c r="G111" s="100">
        <v>8189.09533</v>
      </c>
      <c r="H111" s="100">
        <v>7924.54962</v>
      </c>
      <c r="I111" s="100">
        <v>7176.91886</v>
      </c>
      <c r="J111" s="100">
        <v>6759.84924</v>
      </c>
      <c r="K111" s="100">
        <v>5695.87608</v>
      </c>
      <c r="L111" s="100">
        <v>4840.44791</v>
      </c>
      <c r="M111" s="100">
        <v>5344.09348</v>
      </c>
      <c r="N111" s="100">
        <v>6208.4574</v>
      </c>
    </row>
    <row r="112" spans="1:14" ht="12">
      <c r="A112" t="s">
        <v>125</v>
      </c>
      <c r="B112" s="100">
        <v>17306</v>
      </c>
      <c r="C112" s="100">
        <v>17990</v>
      </c>
      <c r="D112" s="100">
        <v>18570</v>
      </c>
      <c r="E112" s="100">
        <v>18801</v>
      </c>
      <c r="F112" s="100">
        <v>21612</v>
      </c>
      <c r="G112" s="100">
        <v>23237</v>
      </c>
      <c r="H112" s="100">
        <v>23521</v>
      </c>
      <c r="I112" s="100">
        <v>25864</v>
      </c>
      <c r="J112" s="100">
        <v>27547</v>
      </c>
      <c r="K112" s="100">
        <v>30413</v>
      </c>
      <c r="L112" s="100">
        <v>28177</v>
      </c>
      <c r="M112" s="100">
        <v>29359</v>
      </c>
      <c r="N112" s="100">
        <v>26387</v>
      </c>
    </row>
    <row r="113" spans="1:14" ht="12">
      <c r="A113" t="s">
        <v>126</v>
      </c>
      <c r="B113" s="100">
        <v>94.5</v>
      </c>
      <c r="C113" s="100">
        <v>76.7</v>
      </c>
      <c r="D113" s="100">
        <v>65.4</v>
      </c>
      <c r="E113" s="100">
        <v>70</v>
      </c>
      <c r="F113" s="100">
        <v>32</v>
      </c>
      <c r="G113" s="100">
        <v>61.5</v>
      </c>
      <c r="H113" s="100">
        <v>85.2</v>
      </c>
      <c r="I113" s="100">
        <v>94.9</v>
      </c>
      <c r="J113" s="100">
        <v>95.1</v>
      </c>
      <c r="K113" s="100">
        <v>79.6</v>
      </c>
      <c r="L113" s="100">
        <v>71.5</v>
      </c>
      <c r="M113" s="100">
        <v>97.2</v>
      </c>
      <c r="N113" s="100">
        <v>55.1</v>
      </c>
    </row>
    <row r="114" spans="1:14" ht="12">
      <c r="A114" t="s">
        <v>127</v>
      </c>
      <c r="B114" s="100">
        <v>70.32</v>
      </c>
      <c r="C114" s="100">
        <v>105.6</v>
      </c>
      <c r="D114" s="100">
        <v>196.43</v>
      </c>
      <c r="E114" s="100">
        <v>334.47</v>
      </c>
      <c r="F114" s="100">
        <v>309.94</v>
      </c>
      <c r="G114" s="100">
        <v>247.79</v>
      </c>
      <c r="H114" s="100">
        <v>212.54</v>
      </c>
      <c r="I114" s="100">
        <v>310.02</v>
      </c>
      <c r="J114" s="100">
        <v>344.3</v>
      </c>
      <c r="K114" s="100">
        <v>409.07</v>
      </c>
      <c r="L114" s="100">
        <v>309.51</v>
      </c>
      <c r="M114" s="100">
        <v>300.8</v>
      </c>
      <c r="N114" s="100">
        <v>352.65</v>
      </c>
    </row>
    <row r="115" spans="1:14" ht="12">
      <c r="A115" t="s">
        <v>128</v>
      </c>
      <c r="B115" s="100">
        <v>141.76324</v>
      </c>
      <c r="C115" s="100">
        <v>161.90306</v>
      </c>
      <c r="D115" s="100">
        <v>255.574</v>
      </c>
      <c r="E115" s="100">
        <v>220.84135</v>
      </c>
      <c r="F115" s="100">
        <v>170.43594</v>
      </c>
      <c r="G115" s="100">
        <v>137.98882</v>
      </c>
      <c r="H115" s="100">
        <v>122.57064</v>
      </c>
      <c r="I115" s="100">
        <v>104.823</v>
      </c>
      <c r="J115" s="100">
        <v>115.63317</v>
      </c>
      <c r="K115" s="100">
        <v>118.7382</v>
      </c>
      <c r="L115" s="100">
        <v>147.57131</v>
      </c>
      <c r="M115" s="100">
        <v>162.03366</v>
      </c>
      <c r="N115" s="100">
        <v>144.14203</v>
      </c>
    </row>
    <row r="116" spans="1:14" ht="12">
      <c r="A116" t="s">
        <v>129</v>
      </c>
      <c r="B116" s="100">
        <v>378.74191</v>
      </c>
      <c r="C116" s="100">
        <v>399.06582</v>
      </c>
      <c r="D116" s="100">
        <v>460.20062</v>
      </c>
      <c r="E116" s="100">
        <v>471.99191</v>
      </c>
      <c r="F116" s="100">
        <v>480.94535</v>
      </c>
      <c r="G116" s="100">
        <v>503.67661</v>
      </c>
      <c r="H116" s="100">
        <v>527.06797</v>
      </c>
      <c r="I116" s="100">
        <v>606.53461</v>
      </c>
      <c r="J116" s="100">
        <v>671.91385</v>
      </c>
      <c r="K116" s="100">
        <v>714.88953</v>
      </c>
      <c r="L116" s="100">
        <v>724.17603</v>
      </c>
      <c r="M116" s="100">
        <v>676.28712</v>
      </c>
      <c r="N116" s="100">
        <v>728.3661</v>
      </c>
    </row>
    <row r="117" spans="1:14" ht="12">
      <c r="A117" t="s">
        <v>130</v>
      </c>
      <c r="B117" s="100">
        <v>297976</v>
      </c>
      <c r="C117" s="100">
        <v>340035</v>
      </c>
      <c r="D117" s="100">
        <v>354863</v>
      </c>
      <c r="E117" s="100">
        <v>300121</v>
      </c>
      <c r="F117" s="100">
        <v>248674</v>
      </c>
      <c r="G117" s="100">
        <v>292695</v>
      </c>
      <c r="H117" s="100">
        <v>348101</v>
      </c>
      <c r="I117" s="100">
        <v>397146</v>
      </c>
      <c r="J117" s="100">
        <v>389353</v>
      </c>
      <c r="K117" s="100">
        <v>421881.114</v>
      </c>
      <c r="L117" s="100">
        <v>427233.613</v>
      </c>
      <c r="M117" s="100">
        <v>479002.93468</v>
      </c>
      <c r="N117" s="100">
        <v>499514.05</v>
      </c>
    </row>
    <row r="118" spans="1:14" ht="12">
      <c r="A118" t="s">
        <v>131</v>
      </c>
      <c r="B118" s="100">
        <v>85.2202</v>
      </c>
      <c r="C118" s="100">
        <v>93.83533</v>
      </c>
      <c r="D118" s="100">
        <v>97.87991</v>
      </c>
      <c r="E118" s="100">
        <v>115.05336</v>
      </c>
      <c r="F118" s="100">
        <v>49.99101</v>
      </c>
      <c r="G118" s="100">
        <v>52.84877</v>
      </c>
      <c r="H118" s="100">
        <v>51.0196</v>
      </c>
      <c r="I118" s="100">
        <v>76.88195</v>
      </c>
      <c r="J118" s="100">
        <v>80.27115</v>
      </c>
      <c r="K118" s="100">
        <v>104.99299</v>
      </c>
      <c r="L118" s="100">
        <v>111.69996</v>
      </c>
      <c r="M118" s="100">
        <v>132.0025</v>
      </c>
      <c r="N118" s="100">
        <v>132.18638</v>
      </c>
    </row>
    <row r="119" spans="1:14" ht="12">
      <c r="A119" t="s">
        <v>132</v>
      </c>
      <c r="B119" s="100">
        <v>6827</v>
      </c>
      <c r="C119" s="100">
        <v>6938</v>
      </c>
      <c r="D119" s="100">
        <v>7974</v>
      </c>
      <c r="E119" s="100">
        <v>8305</v>
      </c>
      <c r="F119" s="100">
        <v>10110</v>
      </c>
      <c r="G119" s="100">
        <v>10398</v>
      </c>
      <c r="H119" s="100">
        <v>9674</v>
      </c>
      <c r="I119" s="100">
        <v>8929</v>
      </c>
      <c r="J119" s="100">
        <v>8211</v>
      </c>
      <c r="K119" s="100">
        <v>8021</v>
      </c>
      <c r="L119" s="100">
        <v>7804</v>
      </c>
      <c r="M119" s="100">
        <v>8406</v>
      </c>
      <c r="N119" s="100">
        <v>9061</v>
      </c>
    </row>
    <row r="120" spans="1:14" ht="12">
      <c r="A120" t="s">
        <v>133</v>
      </c>
      <c r="B120" s="100">
        <v>4102.31</v>
      </c>
      <c r="C120" s="100">
        <v>4273.44</v>
      </c>
      <c r="D120" s="100">
        <v>4234.23</v>
      </c>
      <c r="E120" s="100">
        <v>4626.33</v>
      </c>
      <c r="F120" s="100">
        <v>4706.49</v>
      </c>
      <c r="G120" s="100">
        <v>4621.63</v>
      </c>
      <c r="H120" s="100">
        <v>4568.21</v>
      </c>
      <c r="I120" s="100">
        <v>4709.11</v>
      </c>
      <c r="J120" s="100">
        <v>4378.88</v>
      </c>
      <c r="K120" s="100">
        <v>4524.02</v>
      </c>
      <c r="L120" s="100">
        <v>4499.13</v>
      </c>
      <c r="M120" s="100">
        <v>4985.55</v>
      </c>
      <c r="N120" s="100">
        <v>5312.3</v>
      </c>
    </row>
    <row r="121" spans="1:14" ht="12">
      <c r="A121" t="s">
        <v>134</v>
      </c>
      <c r="B121" s="100">
        <v>7608</v>
      </c>
      <c r="C121" s="100">
        <v>9167</v>
      </c>
      <c r="D121" s="100">
        <v>10934</v>
      </c>
      <c r="E121" s="100">
        <v>12897</v>
      </c>
      <c r="F121" s="100">
        <v>12044</v>
      </c>
      <c r="G121" s="100">
        <v>13001</v>
      </c>
      <c r="H121" s="100">
        <v>11772</v>
      </c>
      <c r="I121" s="100">
        <v>11379</v>
      </c>
      <c r="J121" s="100">
        <v>11032</v>
      </c>
      <c r="K121" s="100">
        <v>11277.8</v>
      </c>
      <c r="L121" s="100">
        <v>8641.7</v>
      </c>
      <c r="M121" s="100">
        <v>9867</v>
      </c>
      <c r="N121" s="100">
        <v>10086</v>
      </c>
    </row>
    <row r="122" spans="1:14" ht="12">
      <c r="A122" t="s">
        <v>135</v>
      </c>
      <c r="B122" s="100">
        <v>1437.693</v>
      </c>
      <c r="C122" s="100">
        <v>1435.429</v>
      </c>
      <c r="D122" s="100">
        <v>1337.045</v>
      </c>
      <c r="E122" s="100">
        <v>1154.136</v>
      </c>
      <c r="F122" s="100">
        <v>1258.351</v>
      </c>
      <c r="G122" s="100">
        <v>1295.421</v>
      </c>
      <c r="H122" s="100">
        <v>1168.459</v>
      </c>
      <c r="I122" s="100">
        <v>1018.372</v>
      </c>
      <c r="J122" s="100">
        <v>1031.491</v>
      </c>
      <c r="K122" s="100">
        <v>1229.866</v>
      </c>
      <c r="L122" s="100">
        <v>1123.806</v>
      </c>
      <c r="M122" s="100">
        <v>974.972</v>
      </c>
      <c r="N122" s="100">
        <v>866.35</v>
      </c>
    </row>
    <row r="123" spans="1:14" ht="12">
      <c r="A123" t="s">
        <v>136</v>
      </c>
      <c r="B123" s="100">
        <v>4953.2</v>
      </c>
      <c r="C123" s="100">
        <v>6801.4</v>
      </c>
      <c r="D123" s="100">
        <v>6403.5</v>
      </c>
      <c r="E123" s="100">
        <v>5727.2</v>
      </c>
      <c r="F123" s="100">
        <v>5582.6</v>
      </c>
      <c r="G123" s="100">
        <v>5366.4</v>
      </c>
      <c r="H123" s="100">
        <v>4806.7</v>
      </c>
      <c r="I123" s="100">
        <v>3885.9</v>
      </c>
      <c r="J123" s="100">
        <v>3449.6</v>
      </c>
      <c r="K123" s="100">
        <v>3159.2</v>
      </c>
      <c r="L123" s="100">
        <v>3499.2</v>
      </c>
      <c r="M123" s="100">
        <v>3199.9</v>
      </c>
      <c r="N123" s="100">
        <v>3651.5</v>
      </c>
    </row>
    <row r="124" spans="1:14" ht="12">
      <c r="A124" t="s">
        <v>137</v>
      </c>
      <c r="B124" s="100">
        <v>435.29</v>
      </c>
      <c r="C124" s="100">
        <v>490.93</v>
      </c>
      <c r="D124" s="100">
        <v>550.23</v>
      </c>
      <c r="E124" s="100">
        <v>593.1</v>
      </c>
      <c r="F124" s="100">
        <v>665.34</v>
      </c>
      <c r="G124" s="100">
        <v>648.46</v>
      </c>
      <c r="H124" s="100">
        <v>377.01</v>
      </c>
      <c r="I124" s="100">
        <v>329.21</v>
      </c>
      <c r="J124" s="100">
        <v>379.53</v>
      </c>
      <c r="K124" s="100">
        <v>328.95</v>
      </c>
      <c r="L124" s="100">
        <v>319.76</v>
      </c>
      <c r="M124" s="100">
        <v>314.84</v>
      </c>
      <c r="N124" s="100">
        <v>322.63</v>
      </c>
    </row>
    <row r="125" spans="1:14" ht="12">
      <c r="A125" t="s">
        <v>138</v>
      </c>
      <c r="B125" s="100">
        <v>458.802</v>
      </c>
      <c r="C125" s="100">
        <v>522.469</v>
      </c>
      <c r="D125" s="100">
        <v>528.448</v>
      </c>
      <c r="E125" s="100">
        <v>919.869</v>
      </c>
      <c r="F125" s="100">
        <v>734.258</v>
      </c>
      <c r="G125" s="100">
        <v>623.359</v>
      </c>
      <c r="H125" s="100">
        <v>498.551</v>
      </c>
      <c r="I125" s="100">
        <v>490.516</v>
      </c>
      <c r="J125" s="100">
        <v>574.001</v>
      </c>
      <c r="K125" s="100">
        <v>519.818</v>
      </c>
      <c r="L125" s="100">
        <v>463.736</v>
      </c>
      <c r="M125" s="100">
        <v>376.401</v>
      </c>
      <c r="N125" s="100">
        <v>362.66</v>
      </c>
    </row>
    <row r="126" spans="1:14" ht="12">
      <c r="A126" t="s">
        <v>139</v>
      </c>
      <c r="B126" s="100">
        <v>2075</v>
      </c>
      <c r="C126" s="100">
        <v>2256</v>
      </c>
      <c r="D126" s="100">
        <v>2319</v>
      </c>
      <c r="E126" s="100">
        <v>2463</v>
      </c>
      <c r="F126" s="100">
        <v>2477</v>
      </c>
      <c r="G126" s="100">
        <v>2650</v>
      </c>
      <c r="H126" s="100">
        <v>2724</v>
      </c>
      <c r="I126" s="100">
        <v>2740</v>
      </c>
      <c r="J126" s="100">
        <v>2697</v>
      </c>
      <c r="K126" s="100">
        <v>2689</v>
      </c>
      <c r="L126" s="100">
        <v>2832</v>
      </c>
      <c r="M126" s="100">
        <v>2711</v>
      </c>
      <c r="N126" s="100">
        <v>2655</v>
      </c>
    </row>
    <row r="127" spans="1:14" ht="12">
      <c r="A127" t="s">
        <v>140</v>
      </c>
      <c r="B127" s="100">
        <v>40715</v>
      </c>
      <c r="C127" s="100">
        <v>45211</v>
      </c>
      <c r="D127" s="100">
        <v>46546</v>
      </c>
      <c r="E127" s="100">
        <v>49337</v>
      </c>
      <c r="F127" s="100">
        <v>50597</v>
      </c>
      <c r="G127" s="100">
        <v>55412</v>
      </c>
      <c r="H127" s="100">
        <v>59750</v>
      </c>
      <c r="I127" s="100">
        <v>61974</v>
      </c>
      <c r="J127" s="100">
        <v>62900</v>
      </c>
      <c r="K127" s="100">
        <v>66605</v>
      </c>
      <c r="L127" s="100">
        <v>66426</v>
      </c>
      <c r="M127" s="100">
        <v>69662</v>
      </c>
      <c r="N127" s="100">
        <v>71810</v>
      </c>
    </row>
    <row r="128" spans="1:14" ht="12">
      <c r="A128" t="s">
        <v>141</v>
      </c>
      <c r="B128" s="100">
        <v>7173</v>
      </c>
      <c r="C128" s="100">
        <v>8674</v>
      </c>
      <c r="D128" s="100">
        <v>8886</v>
      </c>
      <c r="E128" s="100">
        <v>8831</v>
      </c>
      <c r="F128" s="100">
        <v>9374</v>
      </c>
      <c r="G128" s="100">
        <v>9165</v>
      </c>
      <c r="H128" s="100">
        <v>7985</v>
      </c>
      <c r="I128" s="100">
        <v>9061</v>
      </c>
      <c r="J128" s="100">
        <v>8910</v>
      </c>
      <c r="K128" s="100">
        <v>9891</v>
      </c>
      <c r="L128" s="100">
        <v>11641</v>
      </c>
      <c r="M128" s="100">
        <v>13150</v>
      </c>
      <c r="N128" s="100">
        <v>15832</v>
      </c>
    </row>
    <row r="129" spans="1:14" ht="12">
      <c r="A129" t="s">
        <v>142</v>
      </c>
      <c r="B129" s="100">
        <v>20808.01169</v>
      </c>
      <c r="C129" s="100">
        <v>20348.0214</v>
      </c>
      <c r="D129" s="100">
        <v>23517.79538</v>
      </c>
      <c r="E129" s="100">
        <v>27593.71661</v>
      </c>
      <c r="F129" s="100">
        <v>28285.91194</v>
      </c>
      <c r="G129" s="100">
        <v>27761.83294</v>
      </c>
      <c r="H129" s="100">
        <v>29154.48254</v>
      </c>
      <c r="I129" s="100">
        <v>30485.01964</v>
      </c>
      <c r="J129" s="100">
        <v>31070.15854</v>
      </c>
      <c r="K129" s="100">
        <v>29476.55539</v>
      </c>
      <c r="L129" s="100">
        <v>29884.929</v>
      </c>
      <c r="M129" s="100">
        <v>34555.77166</v>
      </c>
      <c r="N129" s="100">
        <v>37867.61012</v>
      </c>
    </row>
    <row r="130" spans="1:14" ht="12">
      <c r="A130" t="s">
        <v>143</v>
      </c>
      <c r="B130" s="100">
        <v>39903</v>
      </c>
      <c r="C130" s="100">
        <v>40591</v>
      </c>
      <c r="D130" s="100">
        <v>40693</v>
      </c>
      <c r="E130" s="100">
        <v>44989</v>
      </c>
      <c r="F130" s="100">
        <v>49311</v>
      </c>
      <c r="G130" s="100">
        <v>52383</v>
      </c>
      <c r="H130" s="100">
        <v>53311</v>
      </c>
      <c r="I130" s="100">
        <v>55603</v>
      </c>
      <c r="J130" s="100">
        <v>57378</v>
      </c>
      <c r="K130" s="100">
        <v>59849</v>
      </c>
      <c r="L130" s="100">
        <v>64200</v>
      </c>
      <c r="M130" s="100">
        <v>67212</v>
      </c>
      <c r="N130" s="100">
        <v>70422</v>
      </c>
    </row>
    <row r="131" spans="1:14" ht="12">
      <c r="A131" t="s">
        <v>144</v>
      </c>
      <c r="B131" s="100">
        <v>16572.35697</v>
      </c>
      <c r="C131" s="100">
        <v>16542.70396</v>
      </c>
      <c r="D131" s="100">
        <v>15490.00567</v>
      </c>
      <c r="E131" s="100">
        <v>15638.3735</v>
      </c>
      <c r="F131" s="100">
        <v>16612.44427</v>
      </c>
      <c r="G131" s="100">
        <v>16736.88382</v>
      </c>
      <c r="H131" s="100">
        <v>17734.47637</v>
      </c>
      <c r="I131" s="100">
        <v>19056.80577</v>
      </c>
      <c r="J131" s="100">
        <v>19175.0261</v>
      </c>
      <c r="K131" s="100">
        <v>19198.82639</v>
      </c>
      <c r="L131" s="100">
        <v>19709.40957</v>
      </c>
      <c r="M131" s="100">
        <v>20352.52424</v>
      </c>
      <c r="N131" s="100" t="s">
        <v>163</v>
      </c>
    </row>
    <row r="132" spans="1:14" ht="12">
      <c r="A132" t="s">
        <v>145</v>
      </c>
      <c r="B132" s="100">
        <v>100850.12919</v>
      </c>
      <c r="C132" s="100">
        <v>105359.10898</v>
      </c>
      <c r="D132" s="100">
        <v>111212.17011</v>
      </c>
      <c r="E132" s="100">
        <v>116194.17509</v>
      </c>
      <c r="F132" s="100">
        <v>134808.47929</v>
      </c>
      <c r="G132" s="100">
        <v>137553.93279</v>
      </c>
      <c r="H132" s="100">
        <v>134394.86626</v>
      </c>
      <c r="I132" s="100">
        <v>132926.53466</v>
      </c>
      <c r="J132" s="100">
        <v>136852.00017</v>
      </c>
      <c r="K132" s="100">
        <v>151795.46471</v>
      </c>
      <c r="L132" s="100">
        <v>159584.5393</v>
      </c>
      <c r="M132" s="100">
        <v>161420.84627</v>
      </c>
      <c r="N132" s="100">
        <v>162939.3445</v>
      </c>
    </row>
    <row r="133" spans="1:14" ht="12">
      <c r="A133" t="s">
        <v>146</v>
      </c>
      <c r="B133" s="100">
        <v>126840.17122</v>
      </c>
      <c r="C133" s="100">
        <v>135604.84401</v>
      </c>
      <c r="D133" s="100">
        <v>143209.01621</v>
      </c>
      <c r="E133" s="100">
        <v>146988.39002</v>
      </c>
      <c r="F133" s="100">
        <v>164199.05594</v>
      </c>
      <c r="G133" s="100">
        <v>168913.47919</v>
      </c>
      <c r="H133" s="100">
        <v>165821.14078</v>
      </c>
      <c r="I133" s="100">
        <v>166645.68617</v>
      </c>
      <c r="J133" s="100">
        <v>170012.15483</v>
      </c>
      <c r="K133" s="100">
        <v>186584.74033</v>
      </c>
      <c r="L133" s="100">
        <v>197766.49588</v>
      </c>
      <c r="M133" s="100">
        <v>199894.36258</v>
      </c>
      <c r="N133" s="100">
        <v>204101.3985</v>
      </c>
    </row>
    <row r="134" spans="1:14" ht="12">
      <c r="A134" t="s">
        <v>229</v>
      </c>
      <c r="B134" s="100">
        <v>160810.8</v>
      </c>
      <c r="C134" s="100">
        <v>158270.9</v>
      </c>
      <c r="D134" s="100">
        <v>166320.3</v>
      </c>
      <c r="E134" s="100">
        <v>178026.9</v>
      </c>
      <c r="F134" s="100">
        <v>188865.5</v>
      </c>
      <c r="G134" s="100">
        <v>194749.9</v>
      </c>
      <c r="H134" s="100">
        <v>206433.2</v>
      </c>
      <c r="I134" s="100">
        <v>216479.1</v>
      </c>
      <c r="J134" s="100">
        <v>219062.4</v>
      </c>
      <c r="K134" s="100">
        <v>221072.5</v>
      </c>
      <c r="L134" s="100">
        <v>220922.6</v>
      </c>
      <c r="M134" s="100">
        <v>225248</v>
      </c>
      <c r="N134" s="100">
        <v>228976.1</v>
      </c>
    </row>
    <row r="135" spans="1:14" ht="12">
      <c r="A135" t="s">
        <v>230</v>
      </c>
      <c r="B135" s="100">
        <v>17277.303</v>
      </c>
      <c r="C135" s="100">
        <v>18045.083</v>
      </c>
      <c r="D135" s="100">
        <v>23933.834</v>
      </c>
      <c r="E135" s="100">
        <v>27006.153</v>
      </c>
      <c r="F135" s="100">
        <v>28741.08</v>
      </c>
      <c r="G135" s="100">
        <v>27044.632</v>
      </c>
      <c r="H135" s="100">
        <v>27318.673</v>
      </c>
      <c r="I135" s="100">
        <v>28266.156</v>
      </c>
      <c r="J135" s="100">
        <v>30857.818</v>
      </c>
      <c r="K135" s="100">
        <v>35177.159</v>
      </c>
      <c r="L135" s="100">
        <v>36038.216</v>
      </c>
      <c r="M135" s="100">
        <v>32906.669</v>
      </c>
      <c r="N135" s="100">
        <v>34728.307</v>
      </c>
    </row>
    <row r="136" spans="1:14" ht="12">
      <c r="A136" t="s">
        <v>231</v>
      </c>
      <c r="B136" s="100">
        <v>1380188</v>
      </c>
      <c r="C136" s="100">
        <v>1452772</v>
      </c>
      <c r="D136" s="100">
        <v>1550421</v>
      </c>
      <c r="E136" s="100">
        <v>1635279</v>
      </c>
      <c r="F136" s="100">
        <v>1737233</v>
      </c>
      <c r="G136" s="100">
        <v>1724241</v>
      </c>
      <c r="H136" s="100">
        <v>1735916</v>
      </c>
      <c r="I136" s="100">
        <v>1805836</v>
      </c>
      <c r="J136" s="100">
        <v>1745908</v>
      </c>
      <c r="K136" s="100">
        <v>1830514</v>
      </c>
      <c r="L136" s="100">
        <v>1916390</v>
      </c>
      <c r="M136" s="100">
        <v>1882525</v>
      </c>
      <c r="N136" s="100">
        <v>1961845</v>
      </c>
    </row>
    <row r="137" spans="1:14" ht="12">
      <c r="A137" t="s">
        <v>232</v>
      </c>
      <c r="B137" s="100">
        <v>812682</v>
      </c>
      <c r="C137" s="100">
        <v>838266</v>
      </c>
      <c r="D137" s="100">
        <v>862318</v>
      </c>
      <c r="E137" s="100">
        <v>908135</v>
      </c>
      <c r="F137" s="100">
        <v>973636</v>
      </c>
      <c r="G137" s="100">
        <v>1026310</v>
      </c>
      <c r="H137" s="100">
        <v>1042167</v>
      </c>
      <c r="I137" s="100">
        <v>1098247</v>
      </c>
      <c r="J137" s="100">
        <v>1077153</v>
      </c>
      <c r="K137" s="100">
        <v>1093954</v>
      </c>
      <c r="L137" s="100">
        <v>1110402</v>
      </c>
      <c r="M137" s="100">
        <v>1107267</v>
      </c>
      <c r="N137" s="100">
        <v>1112857</v>
      </c>
    </row>
    <row r="138" spans="1:14" ht="12">
      <c r="A138" t="s">
        <v>233</v>
      </c>
      <c r="B138" s="100">
        <v>1062999</v>
      </c>
      <c r="C138" s="100">
        <v>1069695</v>
      </c>
      <c r="D138" s="100">
        <v>1076099</v>
      </c>
      <c r="E138" s="100">
        <v>1116223</v>
      </c>
      <c r="F138" s="100">
        <v>1170508</v>
      </c>
      <c r="G138" s="100">
        <v>1219219</v>
      </c>
      <c r="H138" s="100">
        <v>1208565</v>
      </c>
      <c r="I138" s="100">
        <v>1221782</v>
      </c>
      <c r="J138" s="100">
        <v>1263000</v>
      </c>
      <c r="K138" s="100">
        <v>1292829</v>
      </c>
      <c r="L138" s="100">
        <v>1328839</v>
      </c>
      <c r="M138" s="100">
        <v>1382367</v>
      </c>
      <c r="N138" s="100">
        <v>1433351</v>
      </c>
    </row>
    <row r="139" spans="1:14" ht="12">
      <c r="A139" t="s">
        <v>234</v>
      </c>
      <c r="B139" s="100">
        <v>3826.9</v>
      </c>
      <c r="C139" s="100">
        <v>4538.6</v>
      </c>
      <c r="D139" s="100">
        <v>5538.2</v>
      </c>
      <c r="E139" s="100">
        <v>6565.5</v>
      </c>
      <c r="F139" s="100">
        <v>6514.5</v>
      </c>
      <c r="G139" s="100">
        <v>5962.1</v>
      </c>
      <c r="H139" s="100">
        <v>6238</v>
      </c>
      <c r="I139" s="100">
        <v>7048.9</v>
      </c>
      <c r="J139" s="100">
        <v>7279.9</v>
      </c>
      <c r="K139" s="100">
        <v>7597.1</v>
      </c>
      <c r="L139" s="100">
        <v>8185.2</v>
      </c>
      <c r="M139" s="100">
        <v>8570.9</v>
      </c>
      <c r="N139" s="100">
        <v>9247.7</v>
      </c>
    </row>
    <row r="140" spans="1:14" ht="12">
      <c r="A140" t="s">
        <v>235</v>
      </c>
      <c r="B140" s="100">
        <v>56746.02</v>
      </c>
      <c r="C140" s="100">
        <v>62613.78</v>
      </c>
      <c r="D140" s="100">
        <v>70815.39</v>
      </c>
      <c r="E140" s="100">
        <v>78504.5</v>
      </c>
      <c r="F140" s="100">
        <v>79956.55</v>
      </c>
      <c r="G140" s="100">
        <v>109088.38</v>
      </c>
      <c r="H140" s="100">
        <v>79622.39</v>
      </c>
      <c r="I140" s="100">
        <v>73603.09</v>
      </c>
      <c r="J140" s="100">
        <v>72518.81</v>
      </c>
      <c r="K140" s="100">
        <v>73080.12</v>
      </c>
      <c r="L140" s="100">
        <v>75814.01</v>
      </c>
      <c r="M140" s="100">
        <v>74796.9</v>
      </c>
      <c r="N140" s="100">
        <v>77207</v>
      </c>
    </row>
    <row r="141" spans="1:14" ht="12">
      <c r="A141" t="s">
        <v>236</v>
      </c>
      <c r="B141" s="100">
        <v>90778</v>
      </c>
      <c r="C141" s="100">
        <v>98292</v>
      </c>
      <c r="D141" s="100">
        <v>109528</v>
      </c>
      <c r="E141" s="100">
        <v>123041</v>
      </c>
      <c r="F141" s="100">
        <v>128454</v>
      </c>
      <c r="G141" s="100">
        <v>118616</v>
      </c>
      <c r="H141" s="100">
        <v>111973</v>
      </c>
      <c r="I141" s="100">
        <v>106559</v>
      </c>
      <c r="J141" s="100">
        <v>112541</v>
      </c>
      <c r="K141" s="100">
        <v>89773</v>
      </c>
      <c r="L141" s="100">
        <v>94892</v>
      </c>
      <c r="M141" s="100">
        <v>86271</v>
      </c>
      <c r="N141" s="100">
        <v>85322</v>
      </c>
    </row>
    <row r="142" spans="1:14" ht="12">
      <c r="A142" t="s">
        <v>237</v>
      </c>
      <c r="B142" s="100">
        <v>356547</v>
      </c>
      <c r="C142" s="100">
        <v>385895</v>
      </c>
      <c r="D142" s="100">
        <v>421813</v>
      </c>
      <c r="E142" s="100">
        <v>459389</v>
      </c>
      <c r="F142" s="100">
        <v>494002</v>
      </c>
      <c r="G142" s="100">
        <v>493202</v>
      </c>
      <c r="H142" s="100">
        <v>490592</v>
      </c>
      <c r="I142" s="100">
        <v>500177</v>
      </c>
      <c r="J142" s="100">
        <v>467326</v>
      </c>
      <c r="K142" s="100">
        <v>465424</v>
      </c>
      <c r="L142" s="100">
        <v>472740</v>
      </c>
      <c r="M142" s="100">
        <v>472033</v>
      </c>
      <c r="N142" s="100">
        <v>477332</v>
      </c>
    </row>
    <row r="143" spans="1:14" ht="12">
      <c r="A143" t="s">
        <v>238</v>
      </c>
      <c r="B143" s="100">
        <v>941123</v>
      </c>
      <c r="C143" s="100">
        <v>977223</v>
      </c>
      <c r="D143" s="100">
        <v>1020486</v>
      </c>
      <c r="E143" s="100">
        <v>1061865</v>
      </c>
      <c r="F143" s="100">
        <v>1106701</v>
      </c>
      <c r="G143" s="100">
        <v>1134956</v>
      </c>
      <c r="H143" s="100">
        <v>1158670</v>
      </c>
      <c r="I143" s="100">
        <v>1192859</v>
      </c>
      <c r="J143" s="100">
        <v>1211621</v>
      </c>
      <c r="K143" s="100">
        <v>1229958</v>
      </c>
      <c r="L143" s="100">
        <v>1248656</v>
      </c>
      <c r="M143" s="100">
        <v>1260783</v>
      </c>
      <c r="N143" s="100">
        <v>1291948</v>
      </c>
    </row>
    <row r="144" spans="1:14" ht="12">
      <c r="A144" t="s">
        <v>239</v>
      </c>
      <c r="B144" s="100">
        <v>126295.58715</v>
      </c>
      <c r="C144" s="100">
        <v>136662.58896</v>
      </c>
      <c r="D144" s="100">
        <v>146594.3032</v>
      </c>
      <c r="E144" s="100">
        <v>157945.94081</v>
      </c>
      <c r="F144" s="100">
        <v>160010.34305</v>
      </c>
      <c r="G144" s="100">
        <v>155385.91329</v>
      </c>
      <c r="H144" s="100">
        <v>160586.1913</v>
      </c>
      <c r="I144" s="100">
        <v>156434.24511</v>
      </c>
      <c r="J144" s="100">
        <v>158094.44454</v>
      </c>
      <c r="K144" s="100">
        <v>159419.05088</v>
      </c>
      <c r="L144" s="100">
        <v>163988.76224</v>
      </c>
      <c r="M144" s="100">
        <v>164920.1952</v>
      </c>
      <c r="N144" s="100">
        <v>164448.05822</v>
      </c>
    </row>
    <row r="145" spans="1:14" ht="12">
      <c r="A145" t="s">
        <v>240</v>
      </c>
      <c r="B145" s="100">
        <v>702315</v>
      </c>
      <c r="C145" s="100">
        <v>737532</v>
      </c>
      <c r="D145" s="100">
        <v>753127</v>
      </c>
      <c r="E145" s="100">
        <v>780664</v>
      </c>
      <c r="F145" s="100">
        <v>804661</v>
      </c>
      <c r="G145" s="100">
        <v>800494</v>
      </c>
      <c r="H145" s="100">
        <v>808562</v>
      </c>
      <c r="I145" s="100">
        <v>819337</v>
      </c>
      <c r="J145" s="100">
        <v>819381</v>
      </c>
      <c r="K145" s="100">
        <v>825546</v>
      </c>
      <c r="L145" s="100">
        <v>831174</v>
      </c>
      <c r="M145" s="100">
        <v>829451</v>
      </c>
      <c r="N145" s="100">
        <v>839599</v>
      </c>
    </row>
    <row r="146" spans="1:14" ht="12">
      <c r="A146" t="s">
        <v>241</v>
      </c>
      <c r="B146" s="100">
        <v>5820</v>
      </c>
      <c r="C146" s="100">
        <v>6191.6</v>
      </c>
      <c r="D146" s="100">
        <v>6584.6</v>
      </c>
      <c r="E146" s="100">
        <v>7300.1</v>
      </c>
      <c r="F146" s="100">
        <v>7862.4</v>
      </c>
      <c r="G146" s="100">
        <v>8114.5</v>
      </c>
      <c r="H146" s="100">
        <v>8355.3</v>
      </c>
      <c r="I146" s="100">
        <v>8167.3</v>
      </c>
      <c r="J146" s="100">
        <v>7594.6</v>
      </c>
      <c r="K146" s="100">
        <v>8591.6</v>
      </c>
      <c r="L146" s="100">
        <v>7212.5</v>
      </c>
      <c r="M146" s="100">
        <v>7028.2</v>
      </c>
      <c r="N146" s="100">
        <v>7335.9</v>
      </c>
    </row>
    <row r="147" spans="1:14" ht="12">
      <c r="A147" t="s">
        <v>242</v>
      </c>
      <c r="B147" s="100">
        <v>4647.12</v>
      </c>
      <c r="C147" s="100">
        <v>6162.97</v>
      </c>
      <c r="D147" s="100">
        <v>7678.94</v>
      </c>
      <c r="E147" s="100">
        <v>9167.32</v>
      </c>
      <c r="F147" s="100">
        <v>8316.33</v>
      </c>
      <c r="G147" s="100">
        <v>8162.32</v>
      </c>
      <c r="H147" s="100">
        <v>8216.73</v>
      </c>
      <c r="I147" s="100">
        <v>8309.26</v>
      </c>
      <c r="J147" s="100">
        <v>8596.5</v>
      </c>
      <c r="K147" s="100">
        <v>9000.59</v>
      </c>
      <c r="L147" s="100">
        <v>9295.53</v>
      </c>
      <c r="M147" s="100">
        <v>9256.49</v>
      </c>
      <c r="N147" s="100">
        <v>10214.1</v>
      </c>
    </row>
    <row r="148" spans="1:14" ht="12">
      <c r="A148" t="s">
        <v>243</v>
      </c>
      <c r="B148" s="100">
        <v>7157.38591</v>
      </c>
      <c r="C148" s="100">
        <v>8261.68942</v>
      </c>
      <c r="D148" s="100">
        <v>10238.51298</v>
      </c>
      <c r="E148" s="100">
        <v>12454.31562</v>
      </c>
      <c r="F148" s="100">
        <v>12090.59305</v>
      </c>
      <c r="G148" s="100">
        <v>11855.38805</v>
      </c>
      <c r="H148" s="100">
        <v>13283.52561</v>
      </c>
      <c r="I148" s="100">
        <v>12039.56907</v>
      </c>
      <c r="J148" s="100">
        <v>12408.20415</v>
      </c>
      <c r="K148" s="100">
        <v>12666.73503</v>
      </c>
      <c r="L148" s="100">
        <v>13057.69532</v>
      </c>
      <c r="M148" s="100">
        <v>13226.58028</v>
      </c>
      <c r="N148" s="100">
        <v>13924.73348</v>
      </c>
    </row>
    <row r="149" spans="1:14" ht="12">
      <c r="A149" t="s">
        <v>244</v>
      </c>
      <c r="B149" s="100">
        <v>13087.14014</v>
      </c>
      <c r="C149" s="100">
        <v>13408.47842</v>
      </c>
      <c r="D149" s="100">
        <v>14055.73158</v>
      </c>
      <c r="E149" s="100">
        <v>15135.39822</v>
      </c>
      <c r="F149" s="100">
        <v>16692.47613</v>
      </c>
      <c r="G149" s="100">
        <v>17728.78924</v>
      </c>
      <c r="H149" s="100">
        <v>18287.15207</v>
      </c>
      <c r="I149" s="100">
        <v>19440.1363</v>
      </c>
      <c r="J149" s="100">
        <v>20144.51136</v>
      </c>
      <c r="K149" s="100">
        <v>20903.77944</v>
      </c>
      <c r="L149" s="100">
        <v>21640.5923</v>
      </c>
      <c r="M149" s="100">
        <v>22330.69082</v>
      </c>
      <c r="N149" s="100">
        <v>23732.22721</v>
      </c>
    </row>
    <row r="150" spans="1:14" ht="12">
      <c r="A150" t="s">
        <v>245</v>
      </c>
      <c r="B150" s="100">
        <v>11132600</v>
      </c>
      <c r="C150" s="100">
        <v>12474690</v>
      </c>
      <c r="D150" s="100">
        <v>12796338</v>
      </c>
      <c r="E150" s="100">
        <v>13210523</v>
      </c>
      <c r="F150" s="100">
        <v>13308058</v>
      </c>
      <c r="G150" s="100">
        <v>13404755</v>
      </c>
      <c r="H150" s="100">
        <v>13996199</v>
      </c>
      <c r="I150" s="100">
        <v>13950163</v>
      </c>
      <c r="J150" s="100">
        <v>14910507.5</v>
      </c>
      <c r="K150" s="100">
        <v>16091944.52651</v>
      </c>
      <c r="L150" s="100">
        <v>17198820.59449</v>
      </c>
      <c r="M150" s="100">
        <v>16482259.27764</v>
      </c>
      <c r="N150" s="100">
        <v>17754689.44189</v>
      </c>
    </row>
    <row r="151" spans="1:14" ht="12">
      <c r="A151" t="s">
        <v>246</v>
      </c>
      <c r="B151" s="100">
        <v>2174.97832</v>
      </c>
      <c r="C151" s="100">
        <v>2279.46626</v>
      </c>
      <c r="D151" s="100">
        <v>2368.84443</v>
      </c>
      <c r="E151" s="100">
        <v>2612.99424</v>
      </c>
      <c r="F151" s="100">
        <v>2570.93212</v>
      </c>
      <c r="G151" s="100">
        <v>2709.97767</v>
      </c>
      <c r="H151" s="100">
        <v>2819.15173</v>
      </c>
      <c r="I151" s="100">
        <v>3061.72902</v>
      </c>
      <c r="J151" s="100">
        <v>3206.8814</v>
      </c>
      <c r="K151" s="100">
        <v>3494.39986</v>
      </c>
      <c r="L151" s="100">
        <v>3818.86757</v>
      </c>
      <c r="M151" s="100">
        <v>3781.01613</v>
      </c>
      <c r="N151" s="100">
        <v>4057.92167</v>
      </c>
    </row>
    <row r="152" spans="1:14" ht="12">
      <c r="A152" t="s">
        <v>247</v>
      </c>
      <c r="B152" s="100">
        <v>230867</v>
      </c>
      <c r="C152" s="100">
        <v>249276</v>
      </c>
      <c r="D152" s="100">
        <v>260350</v>
      </c>
      <c r="E152" s="100">
        <v>278419</v>
      </c>
      <c r="F152" s="100">
        <v>297480</v>
      </c>
      <c r="G152" s="100">
        <v>304107</v>
      </c>
      <c r="H152" s="100">
        <v>302010</v>
      </c>
      <c r="I152" s="100">
        <v>303865</v>
      </c>
      <c r="J152" s="100">
        <v>302036</v>
      </c>
      <c r="K152" s="100">
        <v>306204</v>
      </c>
      <c r="L152" s="100">
        <v>306759</v>
      </c>
      <c r="M152" s="100">
        <v>305249</v>
      </c>
      <c r="N152" s="100">
        <v>312015</v>
      </c>
    </row>
    <row r="153" spans="1:14" ht="12">
      <c r="A153" t="s">
        <v>248</v>
      </c>
      <c r="B153" s="100">
        <v>129973.41</v>
      </c>
      <c r="C153" s="100">
        <v>134929.78</v>
      </c>
      <c r="D153" s="100">
        <v>139842.43</v>
      </c>
      <c r="E153" s="100">
        <v>146510.77</v>
      </c>
      <c r="F153" s="100">
        <v>155960.86</v>
      </c>
      <c r="G153" s="100">
        <v>156351.15</v>
      </c>
      <c r="H153" s="100">
        <v>157845.92</v>
      </c>
      <c r="I153" s="100">
        <v>163191.87</v>
      </c>
      <c r="J153" s="100">
        <v>167292.06</v>
      </c>
      <c r="K153" s="100">
        <v>174318.31</v>
      </c>
      <c r="L153" s="100">
        <v>175670.81</v>
      </c>
      <c r="M153" s="100">
        <v>178892.11</v>
      </c>
      <c r="N153" s="100">
        <v>181189.79</v>
      </c>
    </row>
    <row r="154" spans="1:14" ht="12">
      <c r="A154" t="s">
        <v>249</v>
      </c>
      <c r="B154" s="100">
        <v>439718.5</v>
      </c>
      <c r="C154" s="100">
        <v>477814</v>
      </c>
      <c r="D154" s="100">
        <v>513145</v>
      </c>
      <c r="E154" s="100">
        <v>569666</v>
      </c>
      <c r="F154" s="100">
        <v>618075</v>
      </c>
      <c r="G154" s="100">
        <v>662055</v>
      </c>
      <c r="H154" s="100">
        <v>687518</v>
      </c>
      <c r="I154" s="100">
        <v>698362</v>
      </c>
      <c r="J154" s="100">
        <v>705750</v>
      </c>
      <c r="K154" s="100">
        <v>726796.7</v>
      </c>
      <c r="L154" s="100">
        <v>747948.5</v>
      </c>
      <c r="M154" s="100">
        <v>764429</v>
      </c>
      <c r="N154" s="100">
        <v>816976</v>
      </c>
    </row>
    <row r="155" spans="1:14" ht="12">
      <c r="A155" t="s">
        <v>250</v>
      </c>
      <c r="B155" s="100">
        <v>74053.992</v>
      </c>
      <c r="C155" s="100">
        <v>75213.568</v>
      </c>
      <c r="D155" s="100">
        <v>78059.617</v>
      </c>
      <c r="E155" s="100">
        <v>81092.784</v>
      </c>
      <c r="F155" s="100">
        <v>88116.174</v>
      </c>
      <c r="G155" s="100">
        <v>93237.106</v>
      </c>
      <c r="H155" s="100">
        <v>88112.249</v>
      </c>
      <c r="I155" s="100">
        <v>81718.587</v>
      </c>
      <c r="J155" s="100">
        <v>85032.308</v>
      </c>
      <c r="K155" s="100">
        <v>89597.855</v>
      </c>
      <c r="L155" s="100">
        <v>86668.898</v>
      </c>
      <c r="M155" s="100">
        <v>83370.754</v>
      </c>
      <c r="N155" s="100">
        <v>88549.955</v>
      </c>
    </row>
    <row r="156" spans="1:14" ht="12">
      <c r="A156" t="s">
        <v>251</v>
      </c>
      <c r="B156" s="100">
        <v>96096</v>
      </c>
      <c r="C156" s="100">
        <v>122165.1</v>
      </c>
      <c r="D156" s="100">
        <v>159537.5</v>
      </c>
      <c r="E156" s="100">
        <v>203229</v>
      </c>
      <c r="F156" s="100">
        <v>208984.6</v>
      </c>
      <c r="G156" s="100">
        <v>211234.5</v>
      </c>
      <c r="H156" s="100">
        <v>221090.7</v>
      </c>
      <c r="I156" s="100">
        <v>221662.3</v>
      </c>
      <c r="J156" s="100">
        <v>225554.3</v>
      </c>
      <c r="K156" s="100">
        <v>233558.2</v>
      </c>
      <c r="L156" s="100">
        <v>254870.8</v>
      </c>
      <c r="M156" s="100">
        <v>263942.4</v>
      </c>
      <c r="N156" s="100">
        <v>286467.6</v>
      </c>
    </row>
    <row r="157" spans="1:14" ht="12">
      <c r="A157" t="s">
        <v>252</v>
      </c>
      <c r="B157" s="100">
        <v>13126.93</v>
      </c>
      <c r="C157" s="100">
        <v>13952.99</v>
      </c>
      <c r="D157" s="100">
        <v>14830.42</v>
      </c>
      <c r="E157" s="100">
        <v>16648.99</v>
      </c>
      <c r="F157" s="100">
        <v>17438.17</v>
      </c>
      <c r="G157" s="100">
        <v>17857.5</v>
      </c>
      <c r="H157" s="100">
        <v>18448.35</v>
      </c>
      <c r="I157" s="100">
        <v>17502.89</v>
      </c>
      <c r="J157" s="100">
        <v>21568.35</v>
      </c>
      <c r="K157" s="100">
        <v>18753.41</v>
      </c>
      <c r="L157" s="100">
        <v>18544.05</v>
      </c>
      <c r="M157" s="100">
        <v>18299.38</v>
      </c>
      <c r="N157" s="100">
        <v>18645.07</v>
      </c>
    </row>
    <row r="158" spans="1:14" ht="12">
      <c r="A158" t="s">
        <v>253</v>
      </c>
      <c r="B158" s="100">
        <v>20052.873</v>
      </c>
      <c r="C158" s="100">
        <v>21812.593</v>
      </c>
      <c r="D158" s="100">
        <v>22913.289</v>
      </c>
      <c r="E158" s="100">
        <v>25299.29</v>
      </c>
      <c r="F158" s="100">
        <v>28224.155</v>
      </c>
      <c r="G158" s="100">
        <v>28480.449</v>
      </c>
      <c r="H158" s="100">
        <v>28827.822</v>
      </c>
      <c r="I158" s="100">
        <v>29539.481</v>
      </c>
      <c r="J158" s="100">
        <v>30736.551</v>
      </c>
      <c r="K158" s="100">
        <v>31983.491</v>
      </c>
      <c r="L158" s="100">
        <v>35683.803</v>
      </c>
      <c r="M158" s="100">
        <v>33684.61</v>
      </c>
      <c r="N158" s="100">
        <v>34350.585</v>
      </c>
    </row>
    <row r="159" spans="1:14" ht="12">
      <c r="A159" t="s">
        <v>254</v>
      </c>
      <c r="B159" s="100">
        <v>81002</v>
      </c>
      <c r="C159" s="100">
        <v>83442</v>
      </c>
      <c r="D159" s="100">
        <v>87313</v>
      </c>
      <c r="E159" s="100">
        <v>93483</v>
      </c>
      <c r="F159" s="100">
        <v>99128</v>
      </c>
      <c r="G159" s="100">
        <v>102446</v>
      </c>
      <c r="H159" s="100">
        <v>107066</v>
      </c>
      <c r="I159" s="100">
        <v>112291</v>
      </c>
      <c r="J159" s="100">
        <v>116922</v>
      </c>
      <c r="K159" s="100">
        <v>119399</v>
      </c>
      <c r="L159" s="100">
        <v>119759</v>
      </c>
      <c r="M159" s="100">
        <v>120805</v>
      </c>
      <c r="N159" s="100">
        <v>120104</v>
      </c>
    </row>
    <row r="160" spans="1:14" ht="12">
      <c r="A160" t="s">
        <v>255</v>
      </c>
      <c r="B160" s="100">
        <v>1522630</v>
      </c>
      <c r="C160" s="100">
        <v>1581615</v>
      </c>
      <c r="D160" s="100">
        <v>1626633</v>
      </c>
      <c r="E160" s="100">
        <v>1696081</v>
      </c>
      <c r="F160" s="100">
        <v>1734560</v>
      </c>
      <c r="G160" s="100">
        <v>1788594</v>
      </c>
      <c r="H160" s="100">
        <v>1839764</v>
      </c>
      <c r="I160" s="100">
        <v>1892405</v>
      </c>
      <c r="J160" s="100">
        <v>1960578</v>
      </c>
      <c r="K160" s="100">
        <v>2012799</v>
      </c>
      <c r="L160" s="100">
        <v>2084437</v>
      </c>
      <c r="M160" s="100">
        <v>2177578</v>
      </c>
      <c r="N160" s="100">
        <v>2259243</v>
      </c>
    </row>
    <row r="161" spans="1:14" ht="12">
      <c r="A161" t="s">
        <v>256</v>
      </c>
      <c r="B161" s="100">
        <v>573271</v>
      </c>
      <c r="C161" s="100">
        <v>597403</v>
      </c>
      <c r="D161" s="100">
        <v>630385</v>
      </c>
      <c r="E161" s="100">
        <v>701444</v>
      </c>
      <c r="F161" s="100">
        <v>726921</v>
      </c>
      <c r="G161" s="100">
        <v>755070</v>
      </c>
      <c r="H161" s="100">
        <v>755251</v>
      </c>
      <c r="I161" s="100">
        <v>774886</v>
      </c>
      <c r="J161" s="100">
        <v>774215</v>
      </c>
      <c r="K161" s="100">
        <v>793376</v>
      </c>
      <c r="L161" s="100">
        <v>800648</v>
      </c>
      <c r="M161" s="100">
        <v>815312</v>
      </c>
      <c r="N161" s="100">
        <v>836712</v>
      </c>
    </row>
    <row r="162" spans="1:14" ht="12">
      <c r="A162" t="s">
        <v>257</v>
      </c>
      <c r="B162" s="100">
        <v>437350.55744</v>
      </c>
      <c r="C162" s="100">
        <v>491995.80729</v>
      </c>
      <c r="D162" s="100">
        <v>559386.58208</v>
      </c>
      <c r="E162" s="100">
        <v>858161.74736</v>
      </c>
      <c r="F162" s="100">
        <v>771326.38775</v>
      </c>
      <c r="G162" s="100">
        <v>799305.41821</v>
      </c>
      <c r="H162" s="100">
        <v>777342.39101</v>
      </c>
      <c r="I162" s="100">
        <v>807228.91504</v>
      </c>
      <c r="J162" s="100">
        <v>830530.01164</v>
      </c>
      <c r="K162" s="100">
        <v>908484.56088</v>
      </c>
      <c r="L162" s="100">
        <v>949125.82353</v>
      </c>
      <c r="M162" s="100">
        <v>1109925.7229</v>
      </c>
      <c r="N162" s="100">
        <v>1070945.51835</v>
      </c>
    </row>
    <row r="163" spans="1:14" ht="12">
      <c r="A163" t="s">
        <v>258</v>
      </c>
      <c r="B163" s="100">
        <v>836626</v>
      </c>
      <c r="C163" s="100">
        <v>904014</v>
      </c>
      <c r="D163" s="100">
        <v>973890</v>
      </c>
      <c r="E163" s="100">
        <v>1048571</v>
      </c>
      <c r="F163" s="100">
        <v>1119801</v>
      </c>
      <c r="G163" s="100">
        <v>1165716</v>
      </c>
      <c r="H163" s="100">
        <v>1223285</v>
      </c>
      <c r="I163" s="100">
        <v>1273047</v>
      </c>
      <c r="J163" s="100">
        <v>1352224</v>
      </c>
      <c r="K163" s="100">
        <v>1440800</v>
      </c>
      <c r="L163" s="100">
        <v>1521634</v>
      </c>
      <c r="M163" s="100">
        <v>1584224</v>
      </c>
      <c r="N163" s="100">
        <v>1650497</v>
      </c>
    </row>
    <row r="164" spans="1:14" ht="12">
      <c r="A164" t="s">
        <v>259</v>
      </c>
      <c r="B164" s="100">
        <v>171948.87943</v>
      </c>
      <c r="C164" s="100">
        <v>172598.08981</v>
      </c>
      <c r="D164" s="100">
        <v>177003.50448</v>
      </c>
      <c r="E164" s="100">
        <v>187831.17247</v>
      </c>
      <c r="F164" s="100">
        <v>195645.38207</v>
      </c>
      <c r="G164" s="100">
        <v>200808.00471</v>
      </c>
      <c r="H164" s="100">
        <v>204383.69574</v>
      </c>
      <c r="I164" s="100">
        <v>208134.56939</v>
      </c>
      <c r="J164" s="100">
        <v>218433.84621</v>
      </c>
      <c r="K164" s="100">
        <v>219439.70606</v>
      </c>
      <c r="L164" s="100">
        <v>222497.62919</v>
      </c>
      <c r="M164" s="100">
        <v>226203.35203</v>
      </c>
      <c r="N164" s="100" t="s">
        <v>163</v>
      </c>
    </row>
    <row r="165" spans="1:14" ht="12">
      <c r="A165" t="s">
        <v>260</v>
      </c>
      <c r="B165" s="100">
        <v>3952836.85573</v>
      </c>
      <c r="C165" s="100">
        <v>4104990.49018</v>
      </c>
      <c r="D165" s="100">
        <v>4265546.29094</v>
      </c>
      <c r="E165" s="100">
        <v>4491484.89808</v>
      </c>
      <c r="F165" s="100">
        <v>4713508.5098</v>
      </c>
      <c r="G165" s="100">
        <v>4827269.65593</v>
      </c>
      <c r="H165" s="100">
        <v>4823887.12262</v>
      </c>
      <c r="I165" s="100">
        <v>4897037.50013</v>
      </c>
      <c r="J165" s="100">
        <v>4948284.05527</v>
      </c>
      <c r="K165" s="100">
        <v>5000192.89033</v>
      </c>
      <c r="L165" s="100">
        <v>5079333.55619</v>
      </c>
      <c r="M165" s="100">
        <v>5135444.63122</v>
      </c>
      <c r="N165" s="100">
        <v>5257102.08236</v>
      </c>
    </row>
    <row r="166" spans="1:14" ht="12">
      <c r="A166" t="s">
        <v>261</v>
      </c>
      <c r="B166" s="100">
        <v>5317256.52499</v>
      </c>
      <c r="C166" s="100">
        <v>5548223.90724</v>
      </c>
      <c r="D166" s="100">
        <v>5800710.33398</v>
      </c>
      <c r="E166" s="100">
        <v>6041718.53493</v>
      </c>
      <c r="F166" s="100">
        <v>6165308.14082</v>
      </c>
      <c r="G166" s="100">
        <v>6400696.82104</v>
      </c>
      <c r="H166" s="100">
        <v>6412985.52737</v>
      </c>
      <c r="I166" s="100">
        <v>6589493.21332</v>
      </c>
      <c r="J166" s="100">
        <v>6604210.85092</v>
      </c>
      <c r="K166" s="100">
        <v>6736078.7418</v>
      </c>
      <c r="L166" s="100">
        <v>6955911.85519</v>
      </c>
      <c r="M166" s="100">
        <v>6904306.29192</v>
      </c>
      <c r="N166" s="100">
        <v>7021957.41892</v>
      </c>
    </row>
    <row r="167" spans="1:14" ht="12">
      <c r="A167" t="s">
        <v>262</v>
      </c>
      <c r="B167" s="100">
        <v>12.97707</v>
      </c>
      <c r="C167" s="100">
        <v>13.02667</v>
      </c>
      <c r="D167" s="100">
        <v>12.98774</v>
      </c>
      <c r="E167" s="100">
        <v>12.57868</v>
      </c>
      <c r="F167" s="100">
        <v>12.44275</v>
      </c>
      <c r="G167" s="100">
        <v>12.82635</v>
      </c>
      <c r="H167" s="100">
        <v>13.03502</v>
      </c>
      <c r="I167" s="100">
        <v>13.26513</v>
      </c>
      <c r="J167" s="100">
        <v>13.34109</v>
      </c>
      <c r="K167" s="100">
        <v>13.41292</v>
      </c>
      <c r="L167" s="100">
        <v>13.36949</v>
      </c>
      <c r="M167" s="100">
        <v>13.36544</v>
      </c>
      <c r="N167" s="100">
        <v>13.37438</v>
      </c>
    </row>
    <row r="168" spans="1:14" ht="12">
      <c r="A168" t="s">
        <v>263</v>
      </c>
      <c r="B168" s="100">
        <v>12.78649</v>
      </c>
      <c r="C168" s="100">
        <v>12.87125</v>
      </c>
      <c r="D168" s="100">
        <v>12.79544</v>
      </c>
      <c r="E168" s="100">
        <v>12.31186</v>
      </c>
      <c r="F168" s="100">
        <v>12.27248</v>
      </c>
      <c r="G168" s="100">
        <v>12.44839</v>
      </c>
      <c r="H168" s="100">
        <v>12.58321</v>
      </c>
      <c r="I168" s="100">
        <v>12.88892</v>
      </c>
      <c r="J168" s="100">
        <v>12.96965</v>
      </c>
      <c r="K168" s="100">
        <v>13.11829</v>
      </c>
      <c r="L168" s="100">
        <v>13.03487</v>
      </c>
      <c r="M168" s="100">
        <v>12.9723</v>
      </c>
      <c r="N168" s="100">
        <v>12.98085</v>
      </c>
    </row>
    <row r="169" spans="1:14" ht="12">
      <c r="A169" t="s">
        <v>264</v>
      </c>
      <c r="B169" s="100">
        <v>12.82888</v>
      </c>
      <c r="C169" s="100">
        <v>12.79919</v>
      </c>
      <c r="D169" s="100">
        <v>12.69165</v>
      </c>
      <c r="E169" s="100">
        <v>12.49776</v>
      </c>
      <c r="F169" s="100">
        <v>12.48072</v>
      </c>
      <c r="G169" s="100">
        <v>12.77788</v>
      </c>
      <c r="H169" s="100">
        <v>12.72213</v>
      </c>
      <c r="I169" s="100">
        <v>13.08087</v>
      </c>
      <c r="J169" s="100">
        <v>13.065</v>
      </c>
      <c r="K169" s="100">
        <v>13.01577</v>
      </c>
      <c r="L169" s="100">
        <v>12.87884</v>
      </c>
      <c r="M169" s="100">
        <v>13.07673</v>
      </c>
      <c r="N169" s="100">
        <v>13.0673</v>
      </c>
    </row>
    <row r="170" spans="1:14" ht="12">
      <c r="A170" t="s">
        <v>265</v>
      </c>
      <c r="B170" s="100">
        <v>16.20861</v>
      </c>
      <c r="C170" s="100">
        <v>16.77042</v>
      </c>
      <c r="D170" s="100">
        <v>15.97376</v>
      </c>
      <c r="E170" s="100">
        <v>16.74822</v>
      </c>
      <c r="F170" s="100">
        <v>14.27605</v>
      </c>
      <c r="G170" s="100">
        <v>14.12515</v>
      </c>
      <c r="H170" s="100">
        <v>13.6696</v>
      </c>
      <c r="I170" s="100">
        <v>14.84491</v>
      </c>
      <c r="J170" s="100">
        <v>15.31735</v>
      </c>
      <c r="K170" s="100">
        <v>14.75069</v>
      </c>
      <c r="L170" s="100">
        <v>15.38668</v>
      </c>
      <c r="M170" s="100">
        <v>15.35146</v>
      </c>
      <c r="N170" s="100">
        <v>15.11</v>
      </c>
    </row>
    <row r="171" spans="1:14" ht="12">
      <c r="A171" t="s">
        <v>266</v>
      </c>
      <c r="B171" s="100">
        <v>10.76963</v>
      </c>
      <c r="C171" s="100">
        <v>10.29877</v>
      </c>
      <c r="D171" s="100">
        <v>10.55036</v>
      </c>
      <c r="E171" s="100">
        <v>10.36789</v>
      </c>
      <c r="F171" s="100">
        <v>10.81249</v>
      </c>
      <c r="G171" s="100">
        <v>11.13827</v>
      </c>
      <c r="H171" s="100">
        <v>11.92774</v>
      </c>
      <c r="I171" s="100">
        <v>12.36032</v>
      </c>
      <c r="J171" s="100">
        <v>12.73557</v>
      </c>
      <c r="K171" s="100">
        <v>11.83927</v>
      </c>
      <c r="L171" s="100">
        <v>12.23443</v>
      </c>
      <c r="M171" s="100">
        <v>12.2927</v>
      </c>
      <c r="N171" s="100">
        <v>12.45033</v>
      </c>
    </row>
    <row r="172" spans="1:14" ht="12">
      <c r="A172" t="s">
        <v>267</v>
      </c>
      <c r="B172" s="100">
        <v>17.40043</v>
      </c>
      <c r="C172" s="100">
        <v>17.30327</v>
      </c>
      <c r="D172" s="100">
        <v>17.45124</v>
      </c>
      <c r="E172" s="100">
        <v>16.45689</v>
      </c>
      <c r="F172" s="100">
        <v>16.34429</v>
      </c>
      <c r="G172" s="100">
        <v>16.19586</v>
      </c>
      <c r="H172" s="100">
        <v>16.29636</v>
      </c>
      <c r="I172" s="100">
        <v>16.3298</v>
      </c>
      <c r="J172" s="100">
        <v>16.43498</v>
      </c>
      <c r="K172" s="100">
        <v>16.2407</v>
      </c>
      <c r="L172" s="100">
        <v>16.28216</v>
      </c>
      <c r="M172" s="100">
        <v>16.38041</v>
      </c>
      <c r="N172" s="100">
        <v>16.06227</v>
      </c>
    </row>
    <row r="173" spans="1:14" ht="12">
      <c r="A173" t="s">
        <v>268</v>
      </c>
      <c r="B173" s="100">
        <v>10.28898</v>
      </c>
      <c r="C173" s="100">
        <v>10.27419</v>
      </c>
      <c r="D173" s="100">
        <v>10.71935</v>
      </c>
      <c r="E173" s="100">
        <v>10.67634</v>
      </c>
      <c r="F173" s="100">
        <v>11.19909</v>
      </c>
      <c r="G173" s="100">
        <v>10.76018</v>
      </c>
      <c r="H173" s="100">
        <v>10.91812</v>
      </c>
      <c r="I173" s="100">
        <v>10.90115</v>
      </c>
      <c r="J173" s="100">
        <v>10.81975</v>
      </c>
      <c r="K173" s="100">
        <v>10.73818</v>
      </c>
      <c r="L173" s="100">
        <v>10.70245</v>
      </c>
      <c r="M173" s="100">
        <v>10.64636</v>
      </c>
      <c r="N173" s="100">
        <v>10.56136</v>
      </c>
    </row>
    <row r="174" spans="1:14" ht="12">
      <c r="A174" t="s">
        <v>269</v>
      </c>
      <c r="B174" s="100">
        <v>12.64751</v>
      </c>
      <c r="C174" s="100">
        <v>13.34595</v>
      </c>
      <c r="D174" s="100">
        <v>13.33526</v>
      </c>
      <c r="E174" s="100">
        <v>12.05223</v>
      </c>
      <c r="F174" s="100">
        <v>14.53075</v>
      </c>
      <c r="G174" s="100">
        <v>13.72606</v>
      </c>
      <c r="H174" s="100">
        <v>13.44822</v>
      </c>
      <c r="I174" s="100">
        <v>13.75085</v>
      </c>
      <c r="J174" s="100">
        <v>13.33647</v>
      </c>
      <c r="K174" s="100">
        <v>13.91358</v>
      </c>
      <c r="L174" s="100">
        <v>14.41342</v>
      </c>
      <c r="M174" s="100">
        <v>15.04955</v>
      </c>
      <c r="N174" s="100">
        <v>14.55898</v>
      </c>
    </row>
    <row r="175" spans="1:14" ht="12">
      <c r="A175" t="s">
        <v>270</v>
      </c>
      <c r="B175" s="100">
        <v>13.1505</v>
      </c>
      <c r="C175" s="100">
        <v>13.58534</v>
      </c>
      <c r="D175" s="100">
        <v>13.13845</v>
      </c>
      <c r="E175" s="100">
        <v>12.04605</v>
      </c>
      <c r="F175" s="100">
        <v>10.79885</v>
      </c>
      <c r="G175" s="100">
        <v>10.78651</v>
      </c>
      <c r="H175" s="100">
        <v>10.34905</v>
      </c>
      <c r="I175" s="100">
        <v>10.46459</v>
      </c>
      <c r="J175" s="100">
        <v>10.71024</v>
      </c>
      <c r="K175" s="100">
        <v>10.9042</v>
      </c>
      <c r="L175" s="100">
        <v>8.60148</v>
      </c>
      <c r="M175" s="100">
        <v>8.50645</v>
      </c>
      <c r="N175" s="100">
        <v>8.24682</v>
      </c>
    </row>
    <row r="176" spans="1:14" ht="12">
      <c r="A176" t="s">
        <v>271</v>
      </c>
      <c r="B176" s="100">
        <v>11.86093</v>
      </c>
      <c r="C176" s="100">
        <v>12.24998</v>
      </c>
      <c r="D176" s="100">
        <v>12.56626</v>
      </c>
      <c r="E176" s="100">
        <v>12.56785</v>
      </c>
      <c r="F176" s="100">
        <v>11.71452</v>
      </c>
      <c r="G176" s="100">
        <v>12.58851</v>
      </c>
      <c r="H176" s="100">
        <v>13.51067</v>
      </c>
      <c r="I176" s="100">
        <v>13.87523</v>
      </c>
      <c r="J176" s="100">
        <v>14.37001</v>
      </c>
      <c r="K176" s="100">
        <v>15.72015</v>
      </c>
      <c r="L176" s="100">
        <v>16.27172</v>
      </c>
      <c r="M176" s="100">
        <v>17.46279</v>
      </c>
      <c r="N176" s="100">
        <v>17.29935</v>
      </c>
    </row>
    <row r="177" spans="1:14" ht="12">
      <c r="A177" t="s">
        <v>272</v>
      </c>
      <c r="B177" s="100">
        <v>12.23417</v>
      </c>
      <c r="C177" s="100">
        <v>12.27333</v>
      </c>
      <c r="D177" s="100">
        <v>11.53138</v>
      </c>
      <c r="E177" s="100">
        <v>9.68631</v>
      </c>
      <c r="F177" s="100">
        <v>8.54528</v>
      </c>
      <c r="G177" s="100">
        <v>10.21403</v>
      </c>
      <c r="H177" s="100">
        <v>9.95031</v>
      </c>
      <c r="I177" s="100">
        <v>10.43945</v>
      </c>
      <c r="J177" s="100">
        <v>11.21291</v>
      </c>
      <c r="K177" s="100">
        <v>11.5284</v>
      </c>
      <c r="L177" s="100">
        <v>11.80548</v>
      </c>
      <c r="M177" s="100">
        <v>11.55927</v>
      </c>
      <c r="N177" s="100">
        <v>11.58953</v>
      </c>
    </row>
    <row r="178" spans="1:14" ht="12">
      <c r="A178" t="s">
        <v>273</v>
      </c>
      <c r="B178" s="100">
        <v>15.25875</v>
      </c>
      <c r="C178" s="100">
        <v>15.14065</v>
      </c>
      <c r="D178" s="100">
        <v>14.94777</v>
      </c>
      <c r="E178" s="100">
        <v>14.72199</v>
      </c>
      <c r="F178" s="100">
        <v>14.94085</v>
      </c>
      <c r="G178" s="100">
        <v>14.70689</v>
      </c>
      <c r="H178" s="100">
        <v>15.09618</v>
      </c>
      <c r="I178" s="100">
        <v>15.30124</v>
      </c>
      <c r="J178" s="100">
        <v>15.52856</v>
      </c>
      <c r="K178" s="100">
        <v>15.67897</v>
      </c>
      <c r="L178" s="100">
        <v>15.80795</v>
      </c>
      <c r="M178" s="100">
        <v>15.97398</v>
      </c>
      <c r="N178" s="100">
        <v>16.27558</v>
      </c>
    </row>
    <row r="179" spans="1:14" ht="12">
      <c r="A179" t="s">
        <v>274</v>
      </c>
      <c r="B179" s="100">
        <v>18.52109</v>
      </c>
      <c r="C179" s="100">
        <v>18.51439</v>
      </c>
      <c r="D179" s="100">
        <v>18.22746</v>
      </c>
      <c r="E179" s="100">
        <v>17.98596</v>
      </c>
      <c r="F179" s="100">
        <v>17.19095</v>
      </c>
      <c r="G179" s="100">
        <v>17.57787</v>
      </c>
      <c r="H179" s="100">
        <v>17.19232</v>
      </c>
      <c r="I179" s="100">
        <v>18.09828</v>
      </c>
      <c r="J179" s="100">
        <v>18.62769</v>
      </c>
      <c r="K179" s="100">
        <v>18.50159</v>
      </c>
      <c r="L179" s="100">
        <v>19.11953</v>
      </c>
      <c r="M179" s="100">
        <v>19.43157</v>
      </c>
      <c r="N179" s="100">
        <v>19.70816</v>
      </c>
    </row>
    <row r="180" spans="1:14" ht="12">
      <c r="A180" t="s">
        <v>275</v>
      </c>
      <c r="B180" s="100">
        <v>13.94009</v>
      </c>
      <c r="C180" s="100">
        <v>14.53406</v>
      </c>
      <c r="D180" s="100">
        <v>14.37991</v>
      </c>
      <c r="E180" s="100">
        <v>13.57454</v>
      </c>
      <c r="F180" s="100">
        <v>13.44427</v>
      </c>
      <c r="G180" s="100">
        <v>13.95157</v>
      </c>
      <c r="H180" s="100">
        <v>14.1133</v>
      </c>
      <c r="I180" s="100">
        <v>15.29482</v>
      </c>
      <c r="J180" s="100">
        <v>14.94535</v>
      </c>
      <c r="K180" s="100">
        <v>15.34374</v>
      </c>
      <c r="L180" s="100">
        <v>15.1397</v>
      </c>
      <c r="M180" s="100">
        <v>14.4619</v>
      </c>
      <c r="N180" s="100">
        <v>14.55629</v>
      </c>
    </row>
    <row r="181" spans="1:14" ht="12">
      <c r="A181" t="s">
        <v>276</v>
      </c>
      <c r="B181" s="100">
        <v>14.97136</v>
      </c>
      <c r="C181" s="100">
        <v>15.56063</v>
      </c>
      <c r="D181" s="100">
        <v>17.01444</v>
      </c>
      <c r="E181" s="100">
        <v>16.35098</v>
      </c>
      <c r="F181" s="100">
        <v>14.10769</v>
      </c>
      <c r="G181" s="100">
        <v>14.27291</v>
      </c>
      <c r="H181" s="100">
        <v>13.62121</v>
      </c>
      <c r="I181" s="100">
        <v>13.8663</v>
      </c>
      <c r="J181" s="100">
        <v>13.6413</v>
      </c>
      <c r="K181" s="100">
        <v>14.76607</v>
      </c>
      <c r="L181" s="100">
        <v>14.69846</v>
      </c>
      <c r="M181" s="100">
        <v>15.03642</v>
      </c>
      <c r="N181" s="100">
        <v>15.82925</v>
      </c>
    </row>
    <row r="182" spans="1:14" ht="12">
      <c r="A182" t="s">
        <v>277</v>
      </c>
      <c r="B182" s="100">
        <v>12.31287</v>
      </c>
      <c r="C182" s="100">
        <v>12.59325</v>
      </c>
      <c r="D182" s="100">
        <v>12.0096</v>
      </c>
      <c r="E182" s="100">
        <v>10.83608</v>
      </c>
      <c r="F182" s="100">
        <v>11.22933</v>
      </c>
      <c r="G182" s="100">
        <v>12.27414</v>
      </c>
      <c r="H182" s="100">
        <v>12.2075</v>
      </c>
      <c r="I182" s="100">
        <v>12.60408</v>
      </c>
      <c r="J182" s="100">
        <v>12.96908</v>
      </c>
      <c r="K182" s="100">
        <v>13.33199</v>
      </c>
      <c r="L182" s="100">
        <v>13.62951</v>
      </c>
      <c r="M182" s="100">
        <v>14.25983</v>
      </c>
      <c r="N182" s="100">
        <v>13.995</v>
      </c>
    </row>
    <row r="183" spans="1:14" ht="12">
      <c r="A183" t="s">
        <v>278</v>
      </c>
      <c r="B183" s="100">
        <v>11.2109</v>
      </c>
      <c r="C183" s="100">
        <v>11.31046</v>
      </c>
      <c r="D183" s="100">
        <v>11.62971</v>
      </c>
      <c r="E183" s="100">
        <v>11.5938</v>
      </c>
      <c r="F183" s="100">
        <v>11.5629</v>
      </c>
      <c r="G183" s="100">
        <v>11.84278</v>
      </c>
      <c r="H183" s="100">
        <v>11.60212</v>
      </c>
      <c r="I183" s="100">
        <v>11.16712</v>
      </c>
      <c r="J183" s="100">
        <v>10.98793</v>
      </c>
      <c r="K183" s="100">
        <v>11.15596</v>
      </c>
      <c r="L183" s="100">
        <v>11.60574</v>
      </c>
      <c r="M183" s="100">
        <v>11.72216</v>
      </c>
      <c r="N183" s="100">
        <v>11.74143</v>
      </c>
    </row>
    <row r="184" spans="1:14" ht="12">
      <c r="A184" t="s">
        <v>279</v>
      </c>
      <c r="B184" s="100">
        <v>13.44784</v>
      </c>
      <c r="C184" s="100">
        <v>12.63652</v>
      </c>
      <c r="D184" s="100">
        <v>12.93695</v>
      </c>
      <c r="E184" s="100">
        <v>12.33733</v>
      </c>
      <c r="F184" s="100">
        <v>12.43588</v>
      </c>
      <c r="G184" s="100">
        <v>12.23229</v>
      </c>
      <c r="H184" s="100">
        <v>12.27461</v>
      </c>
      <c r="I184" s="100">
        <v>12.8326</v>
      </c>
      <c r="J184" s="100">
        <v>12.88417</v>
      </c>
      <c r="K184" s="100">
        <v>13.06506</v>
      </c>
      <c r="L184" s="100">
        <v>11.88206</v>
      </c>
      <c r="M184" s="100">
        <v>11.90418</v>
      </c>
      <c r="N184" s="100">
        <v>11.8619</v>
      </c>
    </row>
    <row r="185" spans="1:14" ht="12">
      <c r="A185" t="s">
        <v>280</v>
      </c>
      <c r="B185" s="100">
        <v>15.30291</v>
      </c>
      <c r="C185" s="100">
        <v>14.83313</v>
      </c>
      <c r="D185" s="100">
        <v>15.64508</v>
      </c>
      <c r="E185" s="100">
        <v>15.44775</v>
      </c>
      <c r="F185" s="100">
        <v>16.27298</v>
      </c>
      <c r="G185" s="100">
        <v>17.40283</v>
      </c>
      <c r="H185" s="100">
        <v>17.24298</v>
      </c>
      <c r="I185" s="100">
        <v>18.49762</v>
      </c>
      <c r="J185" s="100">
        <v>18.36932</v>
      </c>
      <c r="K185" s="100">
        <v>18.32446</v>
      </c>
      <c r="L185" s="100">
        <v>18.67612</v>
      </c>
      <c r="M185" s="100">
        <v>18.16357</v>
      </c>
      <c r="N185" s="100">
        <v>18.04909</v>
      </c>
    </row>
    <row r="186" spans="1:14" ht="12">
      <c r="A186" t="s">
        <v>281</v>
      </c>
      <c r="B186" s="100">
        <v>14.09533</v>
      </c>
      <c r="C186" s="100">
        <v>14.25768</v>
      </c>
      <c r="D186" s="100">
        <v>14.1043</v>
      </c>
      <c r="E186" s="100">
        <v>13.76615</v>
      </c>
      <c r="F186" s="100">
        <v>13.34155</v>
      </c>
      <c r="G186" s="100">
        <v>13.67672</v>
      </c>
      <c r="H186" s="100">
        <v>13.49612</v>
      </c>
      <c r="I186" s="100">
        <v>13.13416</v>
      </c>
      <c r="J186" s="100">
        <v>12.93881</v>
      </c>
      <c r="K186" s="100">
        <v>13.09314</v>
      </c>
      <c r="L186" s="100">
        <v>12.50533</v>
      </c>
      <c r="M186" s="100">
        <v>12.5206</v>
      </c>
      <c r="N186" s="100">
        <v>12.67558</v>
      </c>
    </row>
    <row r="187" spans="1:14" ht="12">
      <c r="A187" t="s">
        <v>282</v>
      </c>
      <c r="B187" s="100">
        <v>11.82037</v>
      </c>
      <c r="C187" s="100">
        <v>11.90773</v>
      </c>
      <c r="D187" s="100">
        <v>11.74586</v>
      </c>
      <c r="E187" s="100">
        <v>11.46108</v>
      </c>
      <c r="F187" s="100">
        <v>11.03507</v>
      </c>
      <c r="G187" s="100">
        <v>11.30002</v>
      </c>
      <c r="H187" s="100">
        <v>10.83868</v>
      </c>
      <c r="I187" s="100">
        <v>10.61219</v>
      </c>
      <c r="J187" s="100">
        <v>10.94297</v>
      </c>
      <c r="K187" s="100">
        <v>11.33938</v>
      </c>
      <c r="L187" s="100">
        <v>11.17568</v>
      </c>
      <c r="M187" s="100">
        <v>11.64051</v>
      </c>
      <c r="N187" s="100">
        <v>11.52164</v>
      </c>
    </row>
    <row r="188" spans="1:14" ht="12">
      <c r="A188" t="s">
        <v>283</v>
      </c>
      <c r="B188" s="100">
        <v>14.2593</v>
      </c>
      <c r="C188" s="100">
        <v>13.85242</v>
      </c>
      <c r="D188" s="100">
        <v>13.72542</v>
      </c>
      <c r="E188" s="100">
        <v>13.86126</v>
      </c>
      <c r="F188" s="100">
        <v>14.28908</v>
      </c>
      <c r="G188" s="100">
        <v>14.28764</v>
      </c>
      <c r="H188" s="100">
        <v>14.34189</v>
      </c>
      <c r="I188" s="100">
        <v>14.56098</v>
      </c>
      <c r="J188" s="100">
        <v>14.4944</v>
      </c>
      <c r="K188" s="100">
        <v>14.34823</v>
      </c>
      <c r="L188" s="100">
        <v>14.30443</v>
      </c>
      <c r="M188" s="100">
        <v>14.45429</v>
      </c>
      <c r="N188" s="100">
        <v>14.1082</v>
      </c>
    </row>
    <row r="189" spans="1:14" ht="12">
      <c r="A189" t="s">
        <v>284</v>
      </c>
      <c r="B189" s="100">
        <v>13.82942</v>
      </c>
      <c r="C189" s="100">
        <v>14.14223</v>
      </c>
      <c r="D189" s="100">
        <v>14.44041</v>
      </c>
      <c r="E189" s="100">
        <v>14.40055</v>
      </c>
      <c r="F189" s="100">
        <v>12.84951</v>
      </c>
      <c r="G189" s="100">
        <v>13.802</v>
      </c>
      <c r="H189" s="100">
        <v>13.86467</v>
      </c>
      <c r="I189" s="100">
        <v>13.01741</v>
      </c>
      <c r="J189" s="100">
        <v>12.85845</v>
      </c>
      <c r="K189" s="100">
        <v>12.8416</v>
      </c>
      <c r="L189" s="100">
        <v>12.84354</v>
      </c>
      <c r="M189" s="100">
        <v>13.46206</v>
      </c>
      <c r="N189" s="100">
        <v>13.66347</v>
      </c>
    </row>
    <row r="190" spans="1:14" ht="12">
      <c r="A190" t="s">
        <v>285</v>
      </c>
      <c r="B190" s="100">
        <v>14.50128</v>
      </c>
      <c r="C190" s="100">
        <v>14.79859</v>
      </c>
      <c r="D190" s="100">
        <v>14.40136</v>
      </c>
      <c r="E190" s="100">
        <v>13.95199</v>
      </c>
      <c r="F190" s="100">
        <v>12.64782</v>
      </c>
      <c r="G190" s="100">
        <v>13.21483</v>
      </c>
      <c r="H190" s="100">
        <v>13.85703</v>
      </c>
      <c r="I190" s="100">
        <v>13.85987</v>
      </c>
      <c r="J190" s="100">
        <v>13.69578</v>
      </c>
      <c r="K190" s="100">
        <v>14.19052</v>
      </c>
      <c r="L190" s="100">
        <v>14.49789</v>
      </c>
      <c r="M190" s="100">
        <v>14.74265</v>
      </c>
      <c r="N190" s="100">
        <v>15.03661</v>
      </c>
    </row>
    <row r="191" spans="1:14" ht="12">
      <c r="A191" t="s">
        <v>286</v>
      </c>
      <c r="B191" s="100">
        <v>12.82266</v>
      </c>
      <c r="C191" s="100">
        <v>12.7244</v>
      </c>
      <c r="D191" s="100">
        <v>12.01952</v>
      </c>
      <c r="E191" s="100">
        <v>11.2813</v>
      </c>
      <c r="F191" s="100">
        <v>10.31403</v>
      </c>
      <c r="G191" s="100">
        <v>11.83714</v>
      </c>
      <c r="H191" s="100">
        <v>12.999</v>
      </c>
      <c r="I191" s="100">
        <v>13.09387</v>
      </c>
      <c r="J191" s="100">
        <v>12.65096</v>
      </c>
      <c r="K191" s="100">
        <v>12.6897</v>
      </c>
      <c r="L191" s="100">
        <v>13.24066</v>
      </c>
      <c r="M191" s="100">
        <v>11.29373</v>
      </c>
      <c r="N191" s="100">
        <v>10.28635</v>
      </c>
    </row>
    <row r="192" spans="1:14" ht="12">
      <c r="A192" t="s">
        <v>287</v>
      </c>
      <c r="B192" s="100">
        <v>15.37148</v>
      </c>
      <c r="C192" s="100">
        <v>14.8414</v>
      </c>
      <c r="D192" s="100">
        <v>14.42246</v>
      </c>
      <c r="E192" s="100">
        <v>13.93161</v>
      </c>
      <c r="F192" s="100">
        <v>13.57068</v>
      </c>
      <c r="G192" s="100">
        <v>14.06907</v>
      </c>
      <c r="H192" s="100">
        <v>14.02466</v>
      </c>
      <c r="I192" s="100">
        <v>14.46939</v>
      </c>
      <c r="J192" s="100">
        <v>14.96192</v>
      </c>
      <c r="K192" s="100">
        <v>14.84506</v>
      </c>
      <c r="L192" s="100">
        <v>14.7528</v>
      </c>
      <c r="M192" s="100">
        <v>14.56648</v>
      </c>
      <c r="N192" s="100">
        <v>14.17649</v>
      </c>
    </row>
    <row r="193" spans="1:14" ht="12">
      <c r="A193" t="s">
        <v>288</v>
      </c>
      <c r="B193" s="100">
        <v>12.42124</v>
      </c>
      <c r="C193" s="100">
        <v>11.09375</v>
      </c>
      <c r="D193" s="100">
        <v>10.98289</v>
      </c>
      <c r="E193" s="100">
        <v>10.33541</v>
      </c>
      <c r="F193" s="100">
        <v>10.35565</v>
      </c>
      <c r="G193" s="100">
        <v>10.03165</v>
      </c>
      <c r="H193" s="100">
        <v>10.44579</v>
      </c>
      <c r="I193" s="100">
        <v>9.85265</v>
      </c>
      <c r="J193" s="100">
        <v>10.29027</v>
      </c>
      <c r="K193" s="100">
        <v>10.57365</v>
      </c>
      <c r="L193" s="100">
        <v>10.78145</v>
      </c>
      <c r="M193" s="100">
        <v>10.63448</v>
      </c>
      <c r="N193" s="100">
        <v>10.93362</v>
      </c>
    </row>
    <row r="194" spans="1:14" ht="12">
      <c r="A194" t="s">
        <v>289</v>
      </c>
      <c r="B194" s="100">
        <v>13.3137</v>
      </c>
      <c r="C194" s="100">
        <v>13.23184</v>
      </c>
      <c r="D194" s="100">
        <v>12.66186</v>
      </c>
      <c r="E194" s="100">
        <v>12.42108</v>
      </c>
      <c r="F194" s="100">
        <v>12.91395</v>
      </c>
      <c r="G194" s="100">
        <v>12.94816</v>
      </c>
      <c r="H194" s="100">
        <v>13.80614</v>
      </c>
      <c r="I194" s="100">
        <v>14.08207</v>
      </c>
      <c r="J194" s="100">
        <v>14.41246</v>
      </c>
      <c r="K194" s="100">
        <v>14.3843</v>
      </c>
      <c r="L194" s="100">
        <v>14.15526</v>
      </c>
      <c r="M194" s="100">
        <v>14.40588</v>
      </c>
      <c r="N194" s="100">
        <v>14.08989</v>
      </c>
    </row>
    <row r="195" spans="1:14" ht="12">
      <c r="A195" t="s">
        <v>290</v>
      </c>
      <c r="B195" s="100">
        <v>22.51767</v>
      </c>
      <c r="C195" s="100">
        <v>22.04544</v>
      </c>
      <c r="D195" s="100">
        <v>21.97945</v>
      </c>
      <c r="E195" s="100">
        <v>22.34113</v>
      </c>
      <c r="F195" s="100">
        <v>22.63238</v>
      </c>
      <c r="G195" s="100">
        <v>22.21205</v>
      </c>
      <c r="H195" s="100">
        <v>21.93037</v>
      </c>
      <c r="I195" s="100">
        <v>22.16492</v>
      </c>
      <c r="J195" s="100">
        <v>22.15772</v>
      </c>
      <c r="K195" s="100">
        <v>21.83459</v>
      </c>
      <c r="L195" s="100">
        <v>21.8088</v>
      </c>
      <c r="M195" s="100">
        <v>22.41753</v>
      </c>
      <c r="N195" s="100">
        <v>22.3906</v>
      </c>
    </row>
    <row r="196" spans="1:14" ht="12">
      <c r="A196" t="s">
        <v>291</v>
      </c>
      <c r="B196" s="100">
        <v>11.61343</v>
      </c>
      <c r="C196" s="100">
        <v>11.61603</v>
      </c>
      <c r="D196" s="100">
        <v>11.63732</v>
      </c>
      <c r="E196" s="100">
        <v>11.23528</v>
      </c>
      <c r="F196" s="100">
        <v>10.84551</v>
      </c>
      <c r="G196" s="100">
        <v>12.0898</v>
      </c>
      <c r="H196" s="100">
        <v>12.63628</v>
      </c>
      <c r="I196" s="100">
        <v>12.60099</v>
      </c>
      <c r="J196" s="100">
        <v>12.66483</v>
      </c>
      <c r="K196" s="100">
        <v>12.70703</v>
      </c>
      <c r="L196" s="100">
        <v>12.77092</v>
      </c>
      <c r="M196" s="100">
        <v>12.85273</v>
      </c>
      <c r="N196" s="100">
        <v>12.92747</v>
      </c>
    </row>
    <row r="197" spans="1:14" ht="12">
      <c r="A197" t="s">
        <v>292</v>
      </c>
      <c r="B197" s="100">
        <v>18.62158</v>
      </c>
      <c r="C197" s="100">
        <v>18.97694</v>
      </c>
      <c r="D197" s="100">
        <v>17.87343</v>
      </c>
      <c r="E197" s="100">
        <v>14.93293</v>
      </c>
      <c r="F197" s="100">
        <v>13.14718</v>
      </c>
      <c r="G197" s="100">
        <v>13.55226</v>
      </c>
      <c r="H197" s="100">
        <v>13.64242</v>
      </c>
      <c r="I197" s="100">
        <v>14.24685</v>
      </c>
      <c r="J197" s="100">
        <v>14.05087</v>
      </c>
      <c r="K197" s="100">
        <v>15.55218</v>
      </c>
      <c r="L197" s="100">
        <v>14.98435</v>
      </c>
      <c r="M197" s="100">
        <v>14.24232</v>
      </c>
      <c r="N197" s="100">
        <v>14.84903</v>
      </c>
    </row>
    <row r="198" spans="1:14" ht="12">
      <c r="A198" t="s">
        <v>293</v>
      </c>
      <c r="B198" s="100">
        <v>12.01639</v>
      </c>
      <c r="C198" s="100">
        <v>11.99565</v>
      </c>
      <c r="D198" s="100">
        <v>12.24716</v>
      </c>
      <c r="E198" s="100">
        <v>11.01289</v>
      </c>
      <c r="F198" s="100">
        <v>11.789</v>
      </c>
      <c r="G198" s="100">
        <v>11.87174</v>
      </c>
      <c r="H198" s="100">
        <v>11.43684</v>
      </c>
      <c r="I198" s="100">
        <v>11.23737</v>
      </c>
      <c r="J198" s="100">
        <v>11.32689</v>
      </c>
      <c r="K198" s="100">
        <v>11.50132</v>
      </c>
      <c r="L198" s="100">
        <v>12.00956</v>
      </c>
      <c r="M198" s="100">
        <v>12.57793</v>
      </c>
      <c r="N198" s="100">
        <v>12.51362</v>
      </c>
    </row>
    <row r="199" spans="1:14" ht="12">
      <c r="A199" t="s">
        <v>294</v>
      </c>
      <c r="B199" s="100">
        <v>6.48095</v>
      </c>
      <c r="C199" s="100">
        <v>6.39151</v>
      </c>
      <c r="D199" s="100">
        <v>6.23467</v>
      </c>
      <c r="E199" s="100">
        <v>6.19501</v>
      </c>
      <c r="F199" s="100">
        <v>6.18666</v>
      </c>
      <c r="G199" s="100">
        <v>6.27709</v>
      </c>
      <c r="H199" s="100">
        <v>6.25807</v>
      </c>
      <c r="I199" s="100">
        <v>6.19835</v>
      </c>
      <c r="J199" s="100">
        <v>6.14082</v>
      </c>
      <c r="K199" s="100">
        <v>6.05369</v>
      </c>
      <c r="L199" s="100">
        <v>6.0462</v>
      </c>
      <c r="M199" s="100">
        <v>5.97994</v>
      </c>
      <c r="N199" s="100" t="s">
        <v>163</v>
      </c>
    </row>
    <row r="200" spans="1:14" ht="12">
      <c r="A200" t="s">
        <v>295</v>
      </c>
      <c r="B200" s="100">
        <v>1450914.00646</v>
      </c>
      <c r="C200" s="100">
        <v>1586571.1267</v>
      </c>
      <c r="D200" s="100">
        <v>1715673.56644</v>
      </c>
      <c r="E200" s="100">
        <v>1686525.5898</v>
      </c>
      <c r="F200" s="100">
        <v>1494587.62334</v>
      </c>
      <c r="G200" s="100">
        <v>1552734.75334</v>
      </c>
      <c r="H200" s="100">
        <v>1622931.31193</v>
      </c>
      <c r="I200" s="100">
        <v>1702962.95582</v>
      </c>
      <c r="J200" s="100">
        <v>1750778.74553</v>
      </c>
      <c r="K200" s="100">
        <v>1808810.12729</v>
      </c>
      <c r="L200" s="100">
        <v>1911232.99466</v>
      </c>
      <c r="M200" s="100">
        <v>1936865.34559</v>
      </c>
      <c r="N200" s="100">
        <v>2018735.6745</v>
      </c>
    </row>
    <row r="201" spans="1:14" ht="12">
      <c r="A201" t="s">
        <v>296</v>
      </c>
      <c r="B201" s="100">
        <v>969965.54122</v>
      </c>
      <c r="C201" s="100">
        <v>1070977.02026</v>
      </c>
      <c r="D201" s="100">
        <v>1165430.35294</v>
      </c>
      <c r="E201" s="100">
        <v>1182004.28475</v>
      </c>
      <c r="F201" s="100">
        <v>1063329.4916</v>
      </c>
      <c r="G201" s="100">
        <v>1088886.93543</v>
      </c>
      <c r="H201" s="100">
        <v>1144447.03764</v>
      </c>
      <c r="I201" s="100">
        <v>1205216.3608</v>
      </c>
      <c r="J201" s="100">
        <v>1249894.90046</v>
      </c>
      <c r="K201" s="100">
        <v>1273232.93284</v>
      </c>
      <c r="L201" s="100">
        <v>1322240.88658</v>
      </c>
      <c r="M201" s="100">
        <v>1360865.15489</v>
      </c>
      <c r="N201" s="100">
        <v>1435624.36535</v>
      </c>
    </row>
    <row r="202" spans="1:14" ht="12">
      <c r="A202" t="s">
        <v>297</v>
      </c>
      <c r="B202" s="100">
        <v>50676.1</v>
      </c>
      <c r="C202" s="100">
        <v>52663.7</v>
      </c>
      <c r="D202" s="100">
        <v>54700.9</v>
      </c>
      <c r="E202" s="100">
        <v>57118.3</v>
      </c>
      <c r="F202" s="100">
        <v>52131.5</v>
      </c>
      <c r="G202" s="100">
        <v>55681.8</v>
      </c>
      <c r="H202" s="100">
        <v>59729.9</v>
      </c>
      <c r="I202" s="100">
        <v>62513.3</v>
      </c>
      <c r="J202" s="100">
        <v>65682.2</v>
      </c>
      <c r="K202" s="100">
        <v>67108.2</v>
      </c>
      <c r="L202" s="100">
        <v>68038.7</v>
      </c>
      <c r="M202" s="100">
        <v>68753.4</v>
      </c>
      <c r="N202" s="100">
        <v>73776.7</v>
      </c>
    </row>
    <row r="203" spans="1:14" ht="12">
      <c r="A203" t="s">
        <v>298</v>
      </c>
      <c r="B203" s="100">
        <v>2116.712</v>
      </c>
      <c r="C203" s="100">
        <v>2473.066</v>
      </c>
      <c r="D203" s="100">
        <v>4591.743</v>
      </c>
      <c r="E203" s="100">
        <v>4245.859</v>
      </c>
      <c r="F203" s="100">
        <v>3832.594</v>
      </c>
      <c r="G203" s="100">
        <v>3620.878</v>
      </c>
      <c r="H203" s="100">
        <v>3713.341</v>
      </c>
      <c r="I203" s="100">
        <v>3842.774</v>
      </c>
      <c r="J203" s="100">
        <v>4188.368</v>
      </c>
      <c r="K203" s="100">
        <v>4526.771</v>
      </c>
      <c r="L203" s="100">
        <v>4798.284</v>
      </c>
      <c r="M203" s="100">
        <v>5281.642</v>
      </c>
      <c r="N203" s="100">
        <v>5812.052</v>
      </c>
    </row>
    <row r="204" spans="1:14" ht="12">
      <c r="A204" t="s">
        <v>299</v>
      </c>
      <c r="B204" s="100">
        <v>279200</v>
      </c>
      <c r="C204" s="100">
        <v>300555</v>
      </c>
      <c r="D204" s="100">
        <v>336650</v>
      </c>
      <c r="E204" s="100">
        <v>313109</v>
      </c>
      <c r="F204" s="100">
        <v>278309</v>
      </c>
      <c r="G204" s="100">
        <v>269131</v>
      </c>
      <c r="H204" s="100">
        <v>282066</v>
      </c>
      <c r="I204" s="100">
        <v>282097</v>
      </c>
      <c r="J204" s="100">
        <v>293516</v>
      </c>
      <c r="K204" s="100">
        <v>315283</v>
      </c>
      <c r="L204" s="100">
        <v>332063</v>
      </c>
      <c r="M204" s="100">
        <v>361432</v>
      </c>
      <c r="N204" s="100">
        <v>389878</v>
      </c>
    </row>
    <row r="205" spans="1:14" ht="12">
      <c r="A205" t="s">
        <v>300</v>
      </c>
      <c r="B205" s="100">
        <v>480076</v>
      </c>
      <c r="C205" s="100">
        <v>484863</v>
      </c>
      <c r="D205" s="100">
        <v>497699</v>
      </c>
      <c r="E205" s="100">
        <v>502745</v>
      </c>
      <c r="F205" s="100">
        <v>488213</v>
      </c>
      <c r="G205" s="100">
        <v>516653</v>
      </c>
      <c r="H205" s="100">
        <v>524822</v>
      </c>
      <c r="I205" s="100">
        <v>552605</v>
      </c>
      <c r="J205" s="100">
        <v>582715</v>
      </c>
      <c r="K205" s="100">
        <v>656814</v>
      </c>
      <c r="L205" s="100">
        <v>621019</v>
      </c>
      <c r="M205" s="100">
        <v>620185</v>
      </c>
      <c r="N205" s="100">
        <v>644863</v>
      </c>
    </row>
    <row r="206" spans="1:14" ht="12">
      <c r="A206" t="s">
        <v>301</v>
      </c>
      <c r="B206" s="100">
        <v>242252</v>
      </c>
      <c r="C206" s="100">
        <v>270416</v>
      </c>
      <c r="D206" s="100">
        <v>293626</v>
      </c>
      <c r="E206" s="100">
        <v>307641</v>
      </c>
      <c r="F206" s="100">
        <v>274678</v>
      </c>
      <c r="G206" s="100">
        <v>274165</v>
      </c>
      <c r="H206" s="100">
        <v>299396</v>
      </c>
      <c r="I206" s="100">
        <v>319866</v>
      </c>
      <c r="J206" s="100">
        <v>340540</v>
      </c>
      <c r="K206" s="100">
        <v>353761</v>
      </c>
      <c r="L206" s="100">
        <v>372263</v>
      </c>
      <c r="M206" s="100">
        <v>397223</v>
      </c>
      <c r="N206" s="100">
        <v>422571</v>
      </c>
    </row>
    <row r="207" spans="1:14" ht="12">
      <c r="A207" t="s">
        <v>302</v>
      </c>
      <c r="B207" s="100">
        <v>781.8</v>
      </c>
      <c r="C207" s="100">
        <v>946.1</v>
      </c>
      <c r="D207" s="100">
        <v>1196.7</v>
      </c>
      <c r="E207" s="100">
        <v>1277.1</v>
      </c>
      <c r="F207" s="100">
        <v>1044.9</v>
      </c>
      <c r="G207" s="100">
        <v>970.2</v>
      </c>
      <c r="H207" s="100">
        <v>1046.9</v>
      </c>
      <c r="I207" s="100">
        <v>1183.7</v>
      </c>
      <c r="J207" s="100">
        <v>1357.2</v>
      </c>
      <c r="K207" s="100">
        <v>1478.6</v>
      </c>
      <c r="L207" s="100">
        <v>1606.8</v>
      </c>
      <c r="M207" s="100">
        <v>1627.9</v>
      </c>
      <c r="N207" s="100">
        <v>1710</v>
      </c>
    </row>
    <row r="208" spans="1:14" ht="12">
      <c r="A208" t="s">
        <v>303</v>
      </c>
      <c r="B208" s="100">
        <v>21785.56</v>
      </c>
      <c r="C208" s="100">
        <v>25251.21</v>
      </c>
      <c r="D208" s="100">
        <v>26087.2</v>
      </c>
      <c r="E208" s="100">
        <v>22964.41</v>
      </c>
      <c r="F208" s="100">
        <v>20095.47</v>
      </c>
      <c r="G208" s="100">
        <v>19568.93</v>
      </c>
      <c r="H208" s="100">
        <v>20836.18</v>
      </c>
      <c r="I208" s="100">
        <v>22292.26</v>
      </c>
      <c r="J208" s="100">
        <v>22928.64</v>
      </c>
      <c r="K208" s="100">
        <v>24888.72</v>
      </c>
      <c r="L208" s="100">
        <v>27862.64</v>
      </c>
      <c r="M208" s="100">
        <v>29061.39</v>
      </c>
      <c r="N208" s="100">
        <v>30801.08</v>
      </c>
    </row>
    <row r="209" spans="1:14" ht="12">
      <c r="A209" t="s">
        <v>304</v>
      </c>
      <c r="B209" s="100">
        <v>17878</v>
      </c>
      <c r="C209" s="100">
        <v>18009</v>
      </c>
      <c r="D209" s="100">
        <v>19199</v>
      </c>
      <c r="E209" s="100">
        <v>19640</v>
      </c>
      <c r="F209" s="100">
        <v>20292</v>
      </c>
      <c r="G209" s="100">
        <v>18682</v>
      </c>
      <c r="H209" s="100">
        <v>19102</v>
      </c>
      <c r="I209" s="100">
        <v>20680</v>
      </c>
      <c r="J209" s="100">
        <v>18934</v>
      </c>
      <c r="K209" s="100">
        <v>17361</v>
      </c>
      <c r="L209" s="100">
        <v>17095</v>
      </c>
      <c r="M209" s="100">
        <v>18130</v>
      </c>
      <c r="N209" s="100">
        <v>18090</v>
      </c>
    </row>
    <row r="210" spans="1:14" ht="12">
      <c r="A210" t="s">
        <v>305</v>
      </c>
      <c r="B210" s="100">
        <v>100912</v>
      </c>
      <c r="C210" s="100">
        <v>116932</v>
      </c>
      <c r="D210" s="100">
        <v>137905</v>
      </c>
      <c r="E210" s="100">
        <v>116720</v>
      </c>
      <c r="F210" s="100">
        <v>101737</v>
      </c>
      <c r="G210" s="100">
        <v>100736</v>
      </c>
      <c r="H210" s="100">
        <v>102003</v>
      </c>
      <c r="I210" s="100">
        <v>106383</v>
      </c>
      <c r="J210" s="100">
        <v>105174</v>
      </c>
      <c r="K210" s="100">
        <v>105606</v>
      </c>
      <c r="L210" s="100">
        <v>109168</v>
      </c>
      <c r="M210" s="100">
        <v>110770</v>
      </c>
      <c r="N210" s="100">
        <v>118814</v>
      </c>
    </row>
    <row r="211" spans="1:14" ht="12">
      <c r="A211" t="s">
        <v>306</v>
      </c>
      <c r="B211" s="100">
        <v>199521</v>
      </c>
      <c r="C211" s="100">
        <v>218094</v>
      </c>
      <c r="D211" s="100">
        <v>226985</v>
      </c>
      <c r="E211" s="100">
        <v>236709</v>
      </c>
      <c r="F211" s="100">
        <v>206384</v>
      </c>
      <c r="G211" s="100">
        <v>223084</v>
      </c>
      <c r="H211" s="100">
        <v>240770</v>
      </c>
      <c r="I211" s="100">
        <v>259511</v>
      </c>
      <c r="J211" s="100">
        <v>272250</v>
      </c>
      <c r="K211" s="100">
        <v>274052</v>
      </c>
      <c r="L211" s="100">
        <v>278398</v>
      </c>
      <c r="M211" s="100">
        <v>280003</v>
      </c>
      <c r="N211" s="100">
        <v>294464</v>
      </c>
    </row>
    <row r="212" spans="1:14" ht="12">
      <c r="A212" t="s">
        <v>307</v>
      </c>
      <c r="B212" s="100">
        <v>16577.9603</v>
      </c>
      <c r="C212" s="100">
        <v>20006.1929</v>
      </c>
      <c r="D212" s="100">
        <v>23569.8223</v>
      </c>
      <c r="E212" s="100">
        <v>24650.05697</v>
      </c>
      <c r="F212" s="100">
        <v>23599.31105</v>
      </c>
      <c r="G212" s="100">
        <v>21705.63589</v>
      </c>
      <c r="H212" s="100">
        <v>21316.53393</v>
      </c>
      <c r="I212" s="100">
        <v>20931.46229</v>
      </c>
      <c r="J212" s="100">
        <v>21587.40165</v>
      </c>
      <c r="K212" s="100">
        <v>20841.02288</v>
      </c>
      <c r="L212" s="100">
        <v>20755.86821</v>
      </c>
      <c r="M212" s="100">
        <v>22911.54573</v>
      </c>
      <c r="N212" s="100">
        <v>22954.61257</v>
      </c>
    </row>
    <row r="213" spans="1:14" ht="12">
      <c r="A213" t="s">
        <v>308</v>
      </c>
      <c r="B213" s="100">
        <v>190861</v>
      </c>
      <c r="C213" s="100">
        <v>213336</v>
      </c>
      <c r="D213" s="100">
        <v>233352</v>
      </c>
      <c r="E213" s="100">
        <v>239738</v>
      </c>
      <c r="F213" s="100">
        <v>222379</v>
      </c>
      <c r="G213" s="100">
        <v>226541</v>
      </c>
      <c r="H213" s="100">
        <v>226826</v>
      </c>
      <c r="I213" s="100">
        <v>239760</v>
      </c>
      <c r="J213" s="100">
        <v>240920</v>
      </c>
      <c r="K213" s="100">
        <v>238021</v>
      </c>
      <c r="L213" s="100">
        <v>243255</v>
      </c>
      <c r="M213" s="100">
        <v>248264</v>
      </c>
      <c r="N213" s="100">
        <v>250477</v>
      </c>
    </row>
    <row r="214" spans="1:14" ht="12">
      <c r="A214" t="s">
        <v>309</v>
      </c>
      <c r="B214" s="100">
        <v>1150.2</v>
      </c>
      <c r="C214" s="100">
        <v>1470.4</v>
      </c>
      <c r="D214" s="100">
        <v>2077.6</v>
      </c>
      <c r="E214" s="100">
        <v>2104</v>
      </c>
      <c r="F214" s="100">
        <v>1791</v>
      </c>
      <c r="G214" s="100">
        <v>1819.5</v>
      </c>
      <c r="H214" s="100">
        <v>1998.3</v>
      </c>
      <c r="I214" s="100">
        <v>1924.3</v>
      </c>
      <c r="J214" s="100">
        <v>1874</v>
      </c>
      <c r="K214" s="100">
        <v>1812.1</v>
      </c>
      <c r="L214" s="100">
        <v>1761</v>
      </c>
      <c r="M214" s="100">
        <v>1755.2</v>
      </c>
      <c r="N214" s="100">
        <v>1835.3</v>
      </c>
    </row>
    <row r="215" spans="1:14" ht="12">
      <c r="A215" t="s">
        <v>310</v>
      </c>
      <c r="B215" s="100">
        <v>1017.93</v>
      </c>
      <c r="C215" s="100">
        <v>1350.48</v>
      </c>
      <c r="D215" s="100">
        <v>1872.7</v>
      </c>
      <c r="E215" s="100">
        <v>2204.83</v>
      </c>
      <c r="F215" s="100">
        <v>1321.54</v>
      </c>
      <c r="G215" s="100">
        <v>1326.56</v>
      </c>
      <c r="H215" s="100">
        <v>1481.81</v>
      </c>
      <c r="I215" s="100">
        <v>1677.57</v>
      </c>
      <c r="J215" s="100">
        <v>1760.46</v>
      </c>
      <c r="K215" s="100">
        <v>1834.37</v>
      </c>
      <c r="L215" s="100">
        <v>1912.06</v>
      </c>
      <c r="M215" s="100">
        <v>2098.83</v>
      </c>
      <c r="N215" s="100">
        <v>2301.05</v>
      </c>
    </row>
    <row r="216" spans="1:14" ht="12">
      <c r="A216" t="s">
        <v>311</v>
      </c>
      <c r="B216" s="100">
        <v>1878.48462</v>
      </c>
      <c r="C216" s="100">
        <v>2299.46613</v>
      </c>
      <c r="D216" s="100">
        <v>2633.69108</v>
      </c>
      <c r="E216" s="100">
        <v>3016.59719</v>
      </c>
      <c r="F216" s="100">
        <v>1598.30762</v>
      </c>
      <c r="G216" s="100">
        <v>1294.05115</v>
      </c>
      <c r="H216" s="100">
        <v>1359.07592</v>
      </c>
      <c r="I216" s="100">
        <v>1607.55236</v>
      </c>
      <c r="J216" s="100">
        <v>1736.18798</v>
      </c>
      <c r="K216" s="100">
        <v>1836.72623</v>
      </c>
      <c r="L216" s="100">
        <v>2032.18848</v>
      </c>
      <c r="M216" s="100">
        <v>2194.0978</v>
      </c>
      <c r="N216" s="100">
        <v>2262.66005</v>
      </c>
    </row>
    <row r="217" spans="1:14" ht="12">
      <c r="A217" t="s">
        <v>312</v>
      </c>
      <c r="B217" s="100">
        <v>4109.27126</v>
      </c>
      <c r="C217" s="100">
        <v>4409.14441</v>
      </c>
      <c r="D217" s="100">
        <v>4881.8472</v>
      </c>
      <c r="E217" s="100">
        <v>5262.86076</v>
      </c>
      <c r="F217" s="100">
        <v>5264.27403</v>
      </c>
      <c r="G217" s="100">
        <v>5730.95339</v>
      </c>
      <c r="H217" s="100">
        <v>6004.20237</v>
      </c>
      <c r="I217" s="100">
        <v>6276.81629</v>
      </c>
      <c r="J217" s="100">
        <v>6602.8472</v>
      </c>
      <c r="K217" s="100">
        <v>6797.86467</v>
      </c>
      <c r="L217" s="100">
        <v>7456.16035</v>
      </c>
      <c r="M217" s="100">
        <v>8012.0276</v>
      </c>
      <c r="N217" s="100">
        <v>8542.2136</v>
      </c>
    </row>
    <row r="218" spans="1:14" ht="12">
      <c r="A218" t="s">
        <v>313</v>
      </c>
      <c r="B218" s="100">
        <v>1973356</v>
      </c>
      <c r="C218" s="100">
        <v>2210875</v>
      </c>
      <c r="D218" s="100">
        <v>2577587</v>
      </c>
      <c r="E218" s="100">
        <v>2792991</v>
      </c>
      <c r="F218" s="100">
        <v>2539015</v>
      </c>
      <c r="G218" s="100">
        <v>2127905</v>
      </c>
      <c r="H218" s="100">
        <v>1769071</v>
      </c>
      <c r="I218" s="100">
        <v>1946962</v>
      </c>
      <c r="J218" s="100">
        <v>1990762</v>
      </c>
      <c r="K218" s="100">
        <v>2204137.91809</v>
      </c>
      <c r="L218" s="100">
        <v>2388169.53132</v>
      </c>
      <c r="M218" s="100">
        <v>2629900.64947</v>
      </c>
      <c r="N218" s="100">
        <v>2833336.63724</v>
      </c>
    </row>
    <row r="219" spans="1:14" ht="12">
      <c r="A219" t="s">
        <v>314</v>
      </c>
      <c r="B219" s="100">
        <v>559.45351</v>
      </c>
      <c r="C219" s="100">
        <v>609.75434</v>
      </c>
      <c r="D219" s="100">
        <v>725.95468</v>
      </c>
      <c r="E219" s="100">
        <v>742.76529</v>
      </c>
      <c r="F219" s="100">
        <v>795.4236</v>
      </c>
      <c r="G219" s="100">
        <v>807.77083</v>
      </c>
      <c r="H219" s="100">
        <v>849.3874</v>
      </c>
      <c r="I219" s="100">
        <v>934.90154</v>
      </c>
      <c r="J219" s="100">
        <v>1043.2709</v>
      </c>
      <c r="K219" s="100">
        <v>1155.42994</v>
      </c>
      <c r="L219" s="100">
        <v>1237.52275</v>
      </c>
      <c r="M219" s="100">
        <v>1383.9105</v>
      </c>
      <c r="N219" s="100">
        <v>1569.8427</v>
      </c>
    </row>
    <row r="220" spans="1:14" ht="12">
      <c r="A220" t="s">
        <v>315</v>
      </c>
      <c r="B220" s="100">
        <v>58448</v>
      </c>
      <c r="C220" s="100">
        <v>62359</v>
      </c>
      <c r="D220" s="100">
        <v>67940</v>
      </c>
      <c r="E220" s="100">
        <v>69295</v>
      </c>
      <c r="F220" s="100">
        <v>67693</v>
      </c>
      <c r="G220" s="100">
        <v>70134</v>
      </c>
      <c r="H220" s="100">
        <v>68629</v>
      </c>
      <c r="I220" s="100">
        <v>65633</v>
      </c>
      <c r="J220" s="100">
        <v>65946</v>
      </c>
      <c r="K220" s="100">
        <v>71052</v>
      </c>
      <c r="L220" s="100">
        <v>78305</v>
      </c>
      <c r="M220" s="100">
        <v>81998</v>
      </c>
      <c r="N220" s="100">
        <v>94112</v>
      </c>
    </row>
    <row r="221" spans="1:14" ht="12">
      <c r="A221" t="s">
        <v>316</v>
      </c>
      <c r="B221" s="100">
        <v>32662.81</v>
      </c>
      <c r="C221" s="100">
        <v>34249.29</v>
      </c>
      <c r="D221" s="100">
        <v>37592.63</v>
      </c>
      <c r="E221" s="100">
        <v>40605.28</v>
      </c>
      <c r="F221" s="100">
        <v>36242.81</v>
      </c>
      <c r="G221" s="100">
        <v>37520.8</v>
      </c>
      <c r="H221" s="100">
        <v>39571.34</v>
      </c>
      <c r="I221" s="100">
        <v>41692.71</v>
      </c>
      <c r="J221" s="100">
        <v>43540.43</v>
      </c>
      <c r="K221" s="100">
        <v>45774.56</v>
      </c>
      <c r="L221" s="100">
        <v>48903.82</v>
      </c>
      <c r="M221" s="100">
        <v>45928.36</v>
      </c>
      <c r="N221" s="100">
        <v>48102.13</v>
      </c>
    </row>
    <row r="222" spans="1:14" ht="12">
      <c r="A222" t="s">
        <v>317</v>
      </c>
      <c r="B222" s="100">
        <v>67840</v>
      </c>
      <c r="C222" s="100">
        <v>78599</v>
      </c>
      <c r="D222" s="100">
        <v>97983</v>
      </c>
      <c r="E222" s="100">
        <v>107488</v>
      </c>
      <c r="F222" s="100">
        <v>98141</v>
      </c>
      <c r="G222" s="100">
        <v>96549</v>
      </c>
      <c r="H222" s="100">
        <v>105371</v>
      </c>
      <c r="I222" s="100">
        <v>113395</v>
      </c>
      <c r="J222" s="100">
        <v>111176</v>
      </c>
      <c r="K222" s="100">
        <v>116633.1</v>
      </c>
      <c r="L222" s="100">
        <v>124633.7</v>
      </c>
      <c r="M222" s="100">
        <v>132472</v>
      </c>
      <c r="N222" s="100">
        <v>145915</v>
      </c>
    </row>
    <row r="223" spans="1:14" ht="12">
      <c r="A223" t="s">
        <v>318</v>
      </c>
      <c r="B223" s="100">
        <v>12663.045</v>
      </c>
      <c r="C223" s="100">
        <v>13852.752</v>
      </c>
      <c r="D223" s="100">
        <v>16085.349</v>
      </c>
      <c r="E223" s="100">
        <v>16641.348</v>
      </c>
      <c r="F223" s="100">
        <v>15140.254</v>
      </c>
      <c r="G223" s="100">
        <v>15211.325</v>
      </c>
      <c r="H223" s="100">
        <v>16703.047</v>
      </c>
      <c r="I223" s="100">
        <v>15140.879</v>
      </c>
      <c r="J223" s="100">
        <v>19411.096</v>
      </c>
      <c r="K223" s="100">
        <v>19003.457</v>
      </c>
      <c r="L223" s="100">
        <v>19529.174</v>
      </c>
      <c r="M223" s="100">
        <v>19081.139</v>
      </c>
      <c r="N223" s="100">
        <v>19714.599</v>
      </c>
    </row>
    <row r="224" spans="1:14" ht="12">
      <c r="A224" t="s">
        <v>319</v>
      </c>
      <c r="B224" s="100">
        <v>15376.5</v>
      </c>
      <c r="C224" s="100">
        <v>20722.5</v>
      </c>
      <c r="D224" s="100">
        <v>27887.2</v>
      </c>
      <c r="E224" s="100">
        <v>34573.5</v>
      </c>
      <c r="F224" s="100">
        <v>31532.8</v>
      </c>
      <c r="G224" s="100">
        <v>30619.4</v>
      </c>
      <c r="H224" s="100">
        <v>34014.3</v>
      </c>
      <c r="I224" s="100">
        <v>34479.9</v>
      </c>
      <c r="J224" s="100">
        <v>37616.2</v>
      </c>
      <c r="K224" s="100">
        <v>41421.4</v>
      </c>
      <c r="L224" s="100">
        <v>47044.4</v>
      </c>
      <c r="M224" s="100">
        <v>49204.9</v>
      </c>
      <c r="N224" s="100">
        <v>51986.8</v>
      </c>
    </row>
    <row r="225" spans="1:14" ht="12">
      <c r="A225" t="s">
        <v>320</v>
      </c>
      <c r="B225" s="100">
        <v>2494.99</v>
      </c>
      <c r="C225" s="100">
        <v>2827.13</v>
      </c>
      <c r="D225" s="100">
        <v>3167.61</v>
      </c>
      <c r="E225" s="100">
        <v>3319.51</v>
      </c>
      <c r="F225" s="100">
        <v>2930.76</v>
      </c>
      <c r="G225" s="100">
        <v>2910.03</v>
      </c>
      <c r="H225" s="100">
        <v>2885.8</v>
      </c>
      <c r="I225" s="100">
        <v>2719.3</v>
      </c>
      <c r="J225" s="100">
        <v>2539.78</v>
      </c>
      <c r="K225" s="100">
        <v>2693.19</v>
      </c>
      <c r="L225" s="100">
        <v>2800.92</v>
      </c>
      <c r="M225" s="100">
        <v>3021.05</v>
      </c>
      <c r="N225" s="100">
        <v>3217.56</v>
      </c>
    </row>
    <row r="226" spans="1:14" ht="12">
      <c r="A226" t="s">
        <v>321</v>
      </c>
      <c r="B226" s="100">
        <v>3155.001</v>
      </c>
      <c r="C226" s="100">
        <v>3581.784</v>
      </c>
      <c r="D226" s="100">
        <v>4042.227</v>
      </c>
      <c r="E226" s="100">
        <v>4601.153</v>
      </c>
      <c r="F226" s="100">
        <v>3738.676</v>
      </c>
      <c r="G226" s="100">
        <v>3812.051</v>
      </c>
      <c r="H226" s="100">
        <v>4053.429</v>
      </c>
      <c r="I226" s="100">
        <v>4227.83</v>
      </c>
      <c r="J226" s="100">
        <v>4714.516</v>
      </c>
      <c r="K226" s="100">
        <v>5206.715</v>
      </c>
      <c r="L226" s="100">
        <v>5795.901</v>
      </c>
      <c r="M226" s="100">
        <v>5956.85</v>
      </c>
      <c r="N226" s="100">
        <v>6052.23</v>
      </c>
    </row>
    <row r="227" spans="1:14" ht="12">
      <c r="A227" t="s">
        <v>322</v>
      </c>
      <c r="B227" s="100">
        <v>27825</v>
      </c>
      <c r="C227" s="100">
        <v>28966</v>
      </c>
      <c r="D227" s="100">
        <v>31779</v>
      </c>
      <c r="E227" s="100">
        <v>32570</v>
      </c>
      <c r="F227" s="100">
        <v>28077</v>
      </c>
      <c r="G227" s="100">
        <v>28902</v>
      </c>
      <c r="H227" s="100">
        <v>31209</v>
      </c>
      <c r="I227" s="100">
        <v>31179</v>
      </c>
      <c r="J227" s="100">
        <v>32937</v>
      </c>
      <c r="K227" s="100">
        <v>33790</v>
      </c>
      <c r="L227" s="100">
        <v>34820</v>
      </c>
      <c r="M227" s="100">
        <v>35603</v>
      </c>
      <c r="N227" s="100">
        <v>37211</v>
      </c>
    </row>
    <row r="228" spans="1:14" ht="12">
      <c r="A228" t="s">
        <v>323</v>
      </c>
      <c r="B228" s="100">
        <v>608397</v>
      </c>
      <c r="C228" s="100">
        <v>653792</v>
      </c>
      <c r="D228" s="100">
        <v>664215</v>
      </c>
      <c r="E228" s="100">
        <v>635040</v>
      </c>
      <c r="F228" s="100">
        <v>608343</v>
      </c>
      <c r="G228" s="100">
        <v>639571</v>
      </c>
      <c r="H228" s="100">
        <v>645039</v>
      </c>
      <c r="I228" s="100">
        <v>642230</v>
      </c>
      <c r="J228" s="100">
        <v>670598</v>
      </c>
      <c r="K228" s="100">
        <v>701287</v>
      </c>
      <c r="L228" s="100">
        <v>771355</v>
      </c>
      <c r="M228" s="100">
        <v>825409</v>
      </c>
      <c r="N228" s="100">
        <v>858284</v>
      </c>
    </row>
    <row r="229" spans="1:14" ht="12">
      <c r="A229" t="s">
        <v>324</v>
      </c>
      <c r="B229" s="100">
        <v>211443</v>
      </c>
      <c r="C229" s="100">
        <v>225602</v>
      </c>
      <c r="D229" s="100">
        <v>239136</v>
      </c>
      <c r="E229" s="100">
        <v>240329</v>
      </c>
      <c r="F229" s="100">
        <v>225880</v>
      </c>
      <c r="G229" s="100">
        <v>233999</v>
      </c>
      <c r="H229" s="100">
        <v>243394</v>
      </c>
      <c r="I229" s="100">
        <v>236935</v>
      </c>
      <c r="J229" s="100">
        <v>243946</v>
      </c>
      <c r="K229" s="100">
        <v>249546</v>
      </c>
      <c r="L229" s="100">
        <v>259733</v>
      </c>
      <c r="M229" s="100">
        <v>275882</v>
      </c>
      <c r="N229" s="100">
        <v>290761</v>
      </c>
    </row>
    <row r="230" spans="1:14" ht="12">
      <c r="A230" t="s">
        <v>325</v>
      </c>
      <c r="B230" s="100">
        <v>187683.92316</v>
      </c>
      <c r="C230" s="100">
        <v>218840.88857</v>
      </c>
      <c r="D230" s="100">
        <v>246963.12071</v>
      </c>
      <c r="E230" s="100">
        <v>269473.89121</v>
      </c>
      <c r="F230" s="100">
        <v>250394.88943</v>
      </c>
      <c r="G230" s="100">
        <v>254710.38365</v>
      </c>
      <c r="H230" s="100">
        <v>284591.72523</v>
      </c>
      <c r="I230" s="100">
        <v>304735.0913</v>
      </c>
      <c r="J230" s="100">
        <v>336650.76383</v>
      </c>
      <c r="K230" s="100">
        <v>383848.34985</v>
      </c>
      <c r="L230" s="100">
        <v>394114.59235</v>
      </c>
      <c r="M230" s="100">
        <v>442566.33573</v>
      </c>
      <c r="N230" s="100">
        <v>489665.17507</v>
      </c>
    </row>
    <row r="231" spans="1:14" ht="12">
      <c r="A231" t="s">
        <v>326</v>
      </c>
      <c r="B231" s="100">
        <v>433169</v>
      </c>
      <c r="C231" s="100">
        <v>492368</v>
      </c>
      <c r="D231" s="100">
        <v>494753</v>
      </c>
      <c r="E231" s="100">
        <v>565954</v>
      </c>
      <c r="F231" s="100">
        <v>479660</v>
      </c>
      <c r="G231" s="100">
        <v>533621</v>
      </c>
      <c r="H231" s="100">
        <v>594938</v>
      </c>
      <c r="I231" s="100">
        <v>618816</v>
      </c>
      <c r="J231" s="100">
        <v>583619</v>
      </c>
      <c r="K231" s="100">
        <v>544415</v>
      </c>
      <c r="L231" s="100">
        <v>498382</v>
      </c>
      <c r="M231" s="100">
        <v>484248</v>
      </c>
      <c r="N231" s="100">
        <v>510582</v>
      </c>
    </row>
    <row r="232" spans="1:14" ht="12">
      <c r="A232" t="s">
        <v>327</v>
      </c>
      <c r="B232" s="100">
        <v>70205.87177</v>
      </c>
      <c r="C232" s="100">
        <v>75034.0726</v>
      </c>
      <c r="D232" s="100">
        <v>80187.14998</v>
      </c>
      <c r="E232" s="100">
        <v>85967.82449</v>
      </c>
      <c r="F232" s="100">
        <v>84647.12306</v>
      </c>
      <c r="G232" s="100">
        <v>85456.55973</v>
      </c>
      <c r="H232" s="100">
        <v>87541.30395</v>
      </c>
      <c r="I232" s="100">
        <v>88095.21043</v>
      </c>
      <c r="J232" s="100">
        <v>90747.25186</v>
      </c>
      <c r="K232" s="100">
        <v>91897.92095</v>
      </c>
      <c r="L232" s="100">
        <v>96779.40397</v>
      </c>
      <c r="M232" s="100">
        <v>98572.97248</v>
      </c>
      <c r="N232" s="100" t="s">
        <v>163</v>
      </c>
    </row>
    <row r="233" spans="1:14" ht="12">
      <c r="A233" t="s">
        <v>328</v>
      </c>
      <c r="B233" s="100">
        <v>29820.73786</v>
      </c>
      <c r="C233" s="100">
        <v>28588.84229</v>
      </c>
      <c r="D233" s="100">
        <v>30807.36367</v>
      </c>
      <c r="E233" s="100">
        <v>56523.58694</v>
      </c>
      <c r="F233" s="100">
        <v>39512.52138</v>
      </c>
      <c r="G233" s="100">
        <v>29072.3446</v>
      </c>
      <c r="H233" s="100">
        <v>35009.89268</v>
      </c>
      <c r="I233" s="100">
        <v>29977.92611</v>
      </c>
      <c r="J233" s="100">
        <v>37703.65455</v>
      </c>
      <c r="K233" s="100">
        <v>35431.63804</v>
      </c>
      <c r="L233" s="100">
        <v>39817.63932</v>
      </c>
      <c r="M233" s="100">
        <v>44247.19374</v>
      </c>
      <c r="N233" s="100">
        <v>42181.57054</v>
      </c>
    </row>
    <row r="234" spans="1:14" ht="12">
      <c r="A234" t="s">
        <v>329</v>
      </c>
      <c r="B234" s="100">
        <v>24437.26358</v>
      </c>
      <c r="C234" s="100">
        <v>22574.05095</v>
      </c>
      <c r="D234" s="100">
        <v>24297.07448</v>
      </c>
      <c r="E234" s="100">
        <v>24035.82758</v>
      </c>
      <c r="F234" s="100">
        <v>34069.41386</v>
      </c>
      <c r="G234" s="100">
        <v>25301.32518</v>
      </c>
      <c r="H234" s="100">
        <v>30781.82955</v>
      </c>
      <c r="I234" s="100">
        <v>25373.58976</v>
      </c>
      <c r="J234" s="100">
        <v>31972.47326</v>
      </c>
      <c r="K234" s="100">
        <v>29887.82804</v>
      </c>
      <c r="L234" s="100">
        <v>32793.35952</v>
      </c>
      <c r="M234" s="100">
        <v>37578.93909</v>
      </c>
      <c r="N234" s="100">
        <v>35189.10701</v>
      </c>
    </row>
    <row r="235" spans="1:14" ht="12">
      <c r="A235" t="s">
        <v>330</v>
      </c>
      <c r="B235" s="100">
        <v>1872.8</v>
      </c>
      <c r="C235" s="100">
        <v>2153.3</v>
      </c>
      <c r="D235" s="100">
        <v>2215.7</v>
      </c>
      <c r="E235" s="100">
        <v>2370.1</v>
      </c>
      <c r="F235" s="100">
        <v>2234.7</v>
      </c>
      <c r="G235" s="100">
        <v>2596.3</v>
      </c>
      <c r="H235" s="100">
        <v>2771.7</v>
      </c>
      <c r="I235" s="100">
        <v>3318</v>
      </c>
      <c r="J235" s="100">
        <v>3973</v>
      </c>
      <c r="K235" s="100">
        <v>3899.6</v>
      </c>
      <c r="L235" s="100">
        <v>3637.5</v>
      </c>
      <c r="M235" s="100">
        <v>3346.5</v>
      </c>
      <c r="N235" s="100">
        <v>3618.5</v>
      </c>
    </row>
    <row r="236" spans="1:14" ht="12">
      <c r="A236" t="s">
        <v>331</v>
      </c>
      <c r="B236" s="100">
        <v>121.053</v>
      </c>
      <c r="C236" s="100">
        <v>210.846</v>
      </c>
      <c r="D236" s="100">
        <v>316.266</v>
      </c>
      <c r="E236" s="100">
        <v>363.27</v>
      </c>
      <c r="F236" s="100">
        <v>190.835</v>
      </c>
      <c r="G236" s="100">
        <v>169.728</v>
      </c>
      <c r="H236" s="100">
        <v>189.476</v>
      </c>
      <c r="I236" s="100">
        <v>189.364</v>
      </c>
      <c r="J236" s="100">
        <v>199.727</v>
      </c>
      <c r="K236" s="100">
        <v>208.939</v>
      </c>
      <c r="L236" s="100">
        <v>223.854</v>
      </c>
      <c r="M236" s="100">
        <v>253.571</v>
      </c>
      <c r="N236" s="100">
        <v>267.044</v>
      </c>
    </row>
    <row r="237" spans="1:14" ht="12">
      <c r="A237" t="s">
        <v>332</v>
      </c>
      <c r="B237" s="100">
        <v>737</v>
      </c>
      <c r="C237" s="100">
        <v>805</v>
      </c>
      <c r="D237" s="100">
        <v>464</v>
      </c>
      <c r="E237" s="100">
        <v>256</v>
      </c>
      <c r="F237" s="100">
        <v>235</v>
      </c>
      <c r="G237" s="100">
        <v>227</v>
      </c>
      <c r="H237" s="100">
        <v>229</v>
      </c>
      <c r="I237" s="100">
        <v>231</v>
      </c>
      <c r="J237" s="100">
        <v>154</v>
      </c>
      <c r="K237" s="100">
        <v>10</v>
      </c>
      <c r="L237" s="100">
        <v>11</v>
      </c>
      <c r="M237" s="100">
        <v>17</v>
      </c>
      <c r="N237" s="100">
        <v>29</v>
      </c>
    </row>
    <row r="238" spans="1:14" ht="12">
      <c r="A238" t="s">
        <v>333</v>
      </c>
      <c r="B238" s="100">
        <v>3188</v>
      </c>
      <c r="C238" s="100">
        <v>3542</v>
      </c>
      <c r="D238" s="100">
        <v>3902</v>
      </c>
      <c r="E238" s="100">
        <v>4760</v>
      </c>
      <c r="F238" s="100">
        <v>3678</v>
      </c>
      <c r="G238" s="100">
        <v>3646</v>
      </c>
      <c r="H238" s="100">
        <v>4792</v>
      </c>
      <c r="I238" s="100">
        <v>4042</v>
      </c>
      <c r="J238" s="100">
        <v>3940</v>
      </c>
      <c r="K238" s="100">
        <v>3882</v>
      </c>
      <c r="L238" s="100">
        <v>5177</v>
      </c>
      <c r="M238" s="100">
        <v>4240</v>
      </c>
      <c r="N238" s="100">
        <v>4368</v>
      </c>
    </row>
    <row r="239" spans="1:14" ht="12">
      <c r="A239" t="s">
        <v>334</v>
      </c>
      <c r="B239" s="100">
        <v>4100</v>
      </c>
      <c r="C239" s="100">
        <v>3760</v>
      </c>
      <c r="D239" s="100">
        <v>4200</v>
      </c>
      <c r="E239" s="100">
        <v>4770</v>
      </c>
      <c r="F239" s="100">
        <v>4540</v>
      </c>
      <c r="G239" s="100">
        <v>4405</v>
      </c>
      <c r="H239" s="100">
        <v>4245</v>
      </c>
      <c r="I239" s="100">
        <v>4305</v>
      </c>
      <c r="J239" s="100">
        <v>4632</v>
      </c>
      <c r="K239" s="100">
        <v>5452</v>
      </c>
      <c r="L239" s="100">
        <v>6290</v>
      </c>
      <c r="M239" s="100">
        <v>7006</v>
      </c>
      <c r="N239" s="100">
        <v>6114</v>
      </c>
    </row>
    <row r="240" spans="1:14" ht="12">
      <c r="A240" t="s">
        <v>335</v>
      </c>
      <c r="B240" s="100" t="s">
        <v>164</v>
      </c>
      <c r="C240" s="100" t="s">
        <v>164</v>
      </c>
      <c r="D240" s="100" t="s">
        <v>164</v>
      </c>
      <c r="E240" s="100" t="s">
        <v>164</v>
      </c>
      <c r="F240" s="100" t="s">
        <v>164</v>
      </c>
      <c r="G240" s="100" t="s">
        <v>164</v>
      </c>
      <c r="H240" s="100" t="s">
        <v>164</v>
      </c>
      <c r="I240" s="100" t="s">
        <v>164</v>
      </c>
      <c r="J240" s="100" t="s">
        <v>164</v>
      </c>
      <c r="K240" s="100" t="s">
        <v>164</v>
      </c>
      <c r="L240" s="100" t="s">
        <v>164</v>
      </c>
      <c r="M240" s="100" t="s">
        <v>164</v>
      </c>
      <c r="N240" s="100" t="s">
        <v>164</v>
      </c>
    </row>
    <row r="241" spans="1:14" ht="12">
      <c r="A241" t="s">
        <v>336</v>
      </c>
      <c r="B241" s="100">
        <v>273.69</v>
      </c>
      <c r="C241" s="100">
        <v>354.72</v>
      </c>
      <c r="D241" s="100">
        <v>432.19</v>
      </c>
      <c r="E241" s="100">
        <v>367.61</v>
      </c>
      <c r="F241" s="100">
        <v>265.92</v>
      </c>
      <c r="G241" s="100">
        <v>245.12</v>
      </c>
      <c r="H241" s="100">
        <v>242.18</v>
      </c>
      <c r="I241" s="100">
        <v>284.83</v>
      </c>
      <c r="J241" s="100">
        <v>278.43</v>
      </c>
      <c r="K241" s="100">
        <v>358.53</v>
      </c>
      <c r="L241" s="100">
        <v>400.85</v>
      </c>
      <c r="M241" s="100">
        <v>410.65</v>
      </c>
      <c r="N241" s="100">
        <v>448.36</v>
      </c>
    </row>
    <row r="242" spans="1:14" ht="12">
      <c r="A242" t="s">
        <v>337</v>
      </c>
      <c r="B242" s="100">
        <v>394</v>
      </c>
      <c r="C242" s="100">
        <v>325</v>
      </c>
      <c r="D242" s="100">
        <v>303</v>
      </c>
      <c r="E242" s="100">
        <v>614</v>
      </c>
      <c r="F242" s="100">
        <v>524</v>
      </c>
      <c r="G242" s="100">
        <v>250</v>
      </c>
      <c r="H242" s="100">
        <v>250</v>
      </c>
      <c r="I242" s="100">
        <v>161</v>
      </c>
      <c r="J242" s="100">
        <v>162</v>
      </c>
      <c r="K242" s="100">
        <v>137</v>
      </c>
      <c r="L242" s="100">
        <v>166</v>
      </c>
      <c r="M242" s="100">
        <v>136</v>
      </c>
      <c r="N242" s="100">
        <v>176</v>
      </c>
    </row>
    <row r="243" spans="1:14" ht="12">
      <c r="A243" t="s">
        <v>338</v>
      </c>
      <c r="B243" s="100">
        <v>4317</v>
      </c>
      <c r="C243" s="100">
        <v>4863</v>
      </c>
      <c r="D243" s="100">
        <v>5352</v>
      </c>
      <c r="E243" s="100">
        <v>4849</v>
      </c>
      <c r="F243" s="100">
        <v>4318</v>
      </c>
      <c r="G243" s="100">
        <v>4234</v>
      </c>
      <c r="H243" s="100">
        <v>3896</v>
      </c>
      <c r="I243" s="100">
        <v>3880</v>
      </c>
      <c r="J243" s="100">
        <v>5094</v>
      </c>
      <c r="K243" s="100">
        <v>5665</v>
      </c>
      <c r="L243" s="100">
        <v>6332</v>
      </c>
      <c r="M243" s="100">
        <v>6412</v>
      </c>
      <c r="N243" s="100">
        <v>5678</v>
      </c>
    </row>
    <row r="244" spans="1:14" ht="12">
      <c r="A244" t="s">
        <v>339</v>
      </c>
      <c r="B244" s="100">
        <v>9006</v>
      </c>
      <c r="C244" s="100">
        <v>8346</v>
      </c>
      <c r="D244" s="100">
        <v>8910</v>
      </c>
      <c r="E244" s="100">
        <v>7894</v>
      </c>
      <c r="F244" s="100">
        <v>7462</v>
      </c>
      <c r="G244" s="100">
        <v>7738</v>
      </c>
      <c r="H244" s="100">
        <v>10338</v>
      </c>
      <c r="I244" s="100">
        <v>9616</v>
      </c>
      <c r="J244" s="100">
        <v>10456</v>
      </c>
      <c r="K244" s="100">
        <v>10375</v>
      </c>
      <c r="L244" s="100">
        <v>12317</v>
      </c>
      <c r="M244" s="100">
        <v>12362</v>
      </c>
      <c r="N244" s="100">
        <v>14208</v>
      </c>
    </row>
    <row r="245" spans="1:14" ht="12">
      <c r="A245" t="s">
        <v>340</v>
      </c>
      <c r="B245" s="100">
        <v>2.4105</v>
      </c>
      <c r="C245" s="100">
        <v>1.99276</v>
      </c>
      <c r="D245" s="100">
        <v>2.20308</v>
      </c>
      <c r="E245" s="100">
        <v>2.60383</v>
      </c>
      <c r="F245" s="100">
        <v>4.17586</v>
      </c>
      <c r="G245" s="100">
        <v>3.22919</v>
      </c>
      <c r="H245" s="100">
        <v>7.39868</v>
      </c>
      <c r="I245" s="100">
        <v>7.37381</v>
      </c>
      <c r="J245" s="100">
        <v>6.09378</v>
      </c>
      <c r="K245" s="100">
        <v>9.61758</v>
      </c>
      <c r="L245" s="100">
        <v>9.92091</v>
      </c>
      <c r="M245" s="100">
        <v>14.05505</v>
      </c>
      <c r="N245" s="100">
        <v>7.76693</v>
      </c>
    </row>
    <row r="246" spans="1:14" ht="12">
      <c r="A246" t="s">
        <v>341</v>
      </c>
      <c r="B246" s="100">
        <v>1870</v>
      </c>
      <c r="C246" s="100">
        <v>225</v>
      </c>
      <c r="D246" s="100">
        <v>299</v>
      </c>
      <c r="E246" s="100">
        <v>487</v>
      </c>
      <c r="F246" s="100">
        <v>12256</v>
      </c>
      <c r="G246" s="100">
        <v>3517</v>
      </c>
      <c r="H246" s="100">
        <v>6981</v>
      </c>
      <c r="I246" s="100">
        <v>1524</v>
      </c>
      <c r="J246" s="100">
        <v>4154</v>
      </c>
      <c r="K246" s="100">
        <v>1582</v>
      </c>
      <c r="L246" s="100">
        <v>1214</v>
      </c>
      <c r="M246" s="100">
        <v>5365</v>
      </c>
      <c r="N246" s="100">
        <v>2222</v>
      </c>
    </row>
    <row r="247" spans="1:14" ht="12">
      <c r="A247" t="s">
        <v>342</v>
      </c>
      <c r="B247" s="100">
        <v>123.9</v>
      </c>
      <c r="C247" s="100">
        <v>0.9</v>
      </c>
      <c r="D247" s="100">
        <v>3.4</v>
      </c>
      <c r="E247" s="100">
        <v>1.2</v>
      </c>
      <c r="F247" s="100">
        <v>1.5</v>
      </c>
      <c r="G247" s="100">
        <v>0.5</v>
      </c>
      <c r="H247" s="100">
        <v>0.8</v>
      </c>
      <c r="I247" s="100">
        <v>2.4</v>
      </c>
      <c r="J247" s="100">
        <v>0.4</v>
      </c>
      <c r="K247" s="100">
        <v>0.2</v>
      </c>
      <c r="L247" s="100">
        <v>0.5</v>
      </c>
      <c r="M247" s="100">
        <v>0.1</v>
      </c>
      <c r="N247" s="100">
        <v>0.2</v>
      </c>
    </row>
    <row r="248" spans="1:14" ht="12">
      <c r="A248" t="s">
        <v>343</v>
      </c>
      <c r="B248" s="100">
        <v>0</v>
      </c>
      <c r="C248" s="100">
        <v>0</v>
      </c>
      <c r="D248" s="100">
        <v>3.15</v>
      </c>
      <c r="E248" s="100">
        <v>3.74</v>
      </c>
      <c r="F248" s="100">
        <v>3.14</v>
      </c>
      <c r="G248" s="100">
        <v>2.04</v>
      </c>
      <c r="H248" s="100">
        <v>2.22</v>
      </c>
      <c r="I248" s="100">
        <v>2.16</v>
      </c>
      <c r="J248" s="100">
        <v>2.27</v>
      </c>
      <c r="K248" s="100">
        <v>2.38</v>
      </c>
      <c r="L248" s="100">
        <v>2.61</v>
      </c>
      <c r="M248" s="100">
        <v>2.81</v>
      </c>
      <c r="N248" s="100">
        <v>2.77</v>
      </c>
    </row>
    <row r="249" spans="1:14" ht="12">
      <c r="A249" t="s">
        <v>344</v>
      </c>
      <c r="B249" s="100">
        <v>0.67302</v>
      </c>
      <c r="C249" s="100">
        <v>1.20899</v>
      </c>
      <c r="D249" s="100">
        <v>1.81612</v>
      </c>
      <c r="E249" s="100">
        <v>1.75973</v>
      </c>
      <c r="F249" s="100">
        <v>1.77853</v>
      </c>
      <c r="G249" s="100">
        <v>1.10464</v>
      </c>
      <c r="H249" s="100">
        <v>1.00377</v>
      </c>
      <c r="I249" s="100">
        <v>1.19767</v>
      </c>
      <c r="J249" s="100">
        <v>1.28189</v>
      </c>
      <c r="K249" s="100">
        <v>1.33112</v>
      </c>
      <c r="L249" s="100">
        <v>1.42936</v>
      </c>
      <c r="M249" s="100">
        <v>1.4687</v>
      </c>
      <c r="N249" s="100">
        <v>1.6695</v>
      </c>
    </row>
    <row r="250" spans="1:14" ht="12">
      <c r="A250" t="s">
        <v>345</v>
      </c>
      <c r="B250" s="100">
        <v>43.99437</v>
      </c>
      <c r="C250" s="100">
        <v>47.46949</v>
      </c>
      <c r="D250" s="100">
        <v>46.54996</v>
      </c>
      <c r="E250" s="100">
        <v>53.32516</v>
      </c>
      <c r="F250" s="100">
        <v>52.33485</v>
      </c>
      <c r="G250" s="100">
        <v>50.16298</v>
      </c>
      <c r="H250" s="100">
        <v>43.42798</v>
      </c>
      <c r="I250" s="100">
        <v>71.10157</v>
      </c>
      <c r="J250" s="100">
        <v>71.80645</v>
      </c>
      <c r="K250" s="100">
        <v>73.65861</v>
      </c>
      <c r="L250" s="100">
        <v>74.10839</v>
      </c>
      <c r="M250" s="100">
        <v>85.90661</v>
      </c>
      <c r="N250" s="100">
        <v>110.77376</v>
      </c>
    </row>
    <row r="251" spans="1:14" ht="12">
      <c r="A251" t="s">
        <v>346</v>
      </c>
      <c r="B251" s="100">
        <v>20894</v>
      </c>
      <c r="C251" s="100">
        <v>21411</v>
      </c>
      <c r="D251" s="100">
        <v>17087</v>
      </c>
      <c r="E251" s="100">
        <v>16526</v>
      </c>
      <c r="F251" s="100">
        <v>13669</v>
      </c>
      <c r="G251" s="100">
        <v>8752</v>
      </c>
      <c r="H251" s="100">
        <v>7462</v>
      </c>
      <c r="I251" s="100">
        <v>7510</v>
      </c>
      <c r="J251" s="100">
        <v>7188</v>
      </c>
      <c r="K251" s="100">
        <v>9545.968</v>
      </c>
      <c r="L251" s="100">
        <v>10982.688</v>
      </c>
      <c r="M251" s="100">
        <v>13727.56878</v>
      </c>
      <c r="N251" s="100">
        <v>15153.81752</v>
      </c>
    </row>
    <row r="252" spans="1:14" ht="12">
      <c r="A252" t="s">
        <v>347</v>
      </c>
      <c r="B252" s="100">
        <v>17.50332</v>
      </c>
      <c r="C252" s="100">
        <v>14.65338</v>
      </c>
      <c r="D252" s="100">
        <v>15.66561</v>
      </c>
      <c r="E252" s="100">
        <v>15.06977</v>
      </c>
      <c r="F252" s="100">
        <v>14.00537</v>
      </c>
      <c r="G252" s="100">
        <v>14.72154</v>
      </c>
      <c r="H252" s="100">
        <v>14.80879</v>
      </c>
      <c r="I252" s="100">
        <v>16.12148</v>
      </c>
      <c r="J252" s="100">
        <v>12.7477</v>
      </c>
      <c r="K252" s="100">
        <v>11.82331</v>
      </c>
      <c r="L252" s="100">
        <v>14.97776</v>
      </c>
      <c r="M252" s="100">
        <v>15.94278</v>
      </c>
      <c r="N252" s="100">
        <v>19.31375</v>
      </c>
    </row>
    <row r="253" spans="1:14" ht="12">
      <c r="A253" t="s">
        <v>348</v>
      </c>
      <c r="B253" s="100">
        <v>1713</v>
      </c>
      <c r="C253" s="100">
        <v>1817</v>
      </c>
      <c r="D253" s="100">
        <v>1882</v>
      </c>
      <c r="E253" s="100">
        <v>1796</v>
      </c>
      <c r="F253" s="100">
        <v>1815</v>
      </c>
      <c r="G253" s="100">
        <v>1717</v>
      </c>
      <c r="H253" s="100">
        <v>1538</v>
      </c>
      <c r="I253" s="100">
        <v>1383</v>
      </c>
      <c r="J253" s="100">
        <v>1731</v>
      </c>
      <c r="K253" s="100">
        <v>1525</v>
      </c>
      <c r="L253" s="100">
        <v>1614</v>
      </c>
      <c r="M253" s="100">
        <v>1845</v>
      </c>
      <c r="N253" s="100">
        <v>1641</v>
      </c>
    </row>
    <row r="254" spans="1:14" ht="12">
      <c r="A254" t="s">
        <v>349</v>
      </c>
      <c r="B254" s="100">
        <v>139.66</v>
      </c>
      <c r="C254" s="100">
        <v>131.89</v>
      </c>
      <c r="D254" s="100">
        <v>155.17</v>
      </c>
      <c r="E254" s="100">
        <v>142.67</v>
      </c>
      <c r="F254" s="100">
        <v>129.78</v>
      </c>
      <c r="G254" s="100">
        <v>44.84</v>
      </c>
      <c r="H254" s="100">
        <v>50.83</v>
      </c>
      <c r="I254" s="100">
        <v>31.67</v>
      </c>
      <c r="J254" s="100">
        <v>747.29</v>
      </c>
      <c r="K254" s="100">
        <v>295.68</v>
      </c>
      <c r="L254" s="100">
        <v>87.79</v>
      </c>
      <c r="M254" s="100">
        <v>54.85</v>
      </c>
      <c r="N254" s="100">
        <v>27.28</v>
      </c>
    </row>
    <row r="255" spans="1:14" ht="12">
      <c r="A255" t="s">
        <v>350</v>
      </c>
      <c r="B255" s="100">
        <v>242.2</v>
      </c>
      <c r="C255" s="100">
        <v>255</v>
      </c>
      <c r="D255" s="100">
        <v>328</v>
      </c>
      <c r="E255" s="100">
        <v>344</v>
      </c>
      <c r="F255" s="100">
        <v>313</v>
      </c>
      <c r="G255" s="100">
        <v>290</v>
      </c>
      <c r="H255" s="100">
        <v>279</v>
      </c>
      <c r="I255" s="100">
        <v>293</v>
      </c>
      <c r="J255" s="100">
        <v>252</v>
      </c>
      <c r="K255" s="100">
        <v>263</v>
      </c>
      <c r="L255" s="100">
        <v>246</v>
      </c>
      <c r="M255" s="100">
        <v>279</v>
      </c>
      <c r="N255" s="100">
        <v>295</v>
      </c>
    </row>
    <row r="256" spans="1:14" ht="12">
      <c r="A256" t="s">
        <v>351</v>
      </c>
      <c r="B256" s="100">
        <v>68.831</v>
      </c>
      <c r="C256" s="100">
        <v>23.028</v>
      </c>
      <c r="D256" s="100">
        <v>9.626</v>
      </c>
      <c r="E256" s="100">
        <v>8.246</v>
      </c>
      <c r="F256" s="100">
        <v>0.273</v>
      </c>
      <c r="G256" s="100">
        <v>84.883</v>
      </c>
      <c r="H256" s="100">
        <v>0.027</v>
      </c>
      <c r="I256" s="100">
        <v>258.46</v>
      </c>
      <c r="J256" s="100">
        <v>1.746</v>
      </c>
      <c r="K256" s="100">
        <v>0.001</v>
      </c>
      <c r="L256" s="100">
        <v>0</v>
      </c>
      <c r="M256" s="100">
        <v>0.377</v>
      </c>
      <c r="N256" s="100">
        <v>0</v>
      </c>
    </row>
    <row r="257" spans="1:14" ht="12">
      <c r="A257" t="s">
        <v>352</v>
      </c>
      <c r="B257" s="100">
        <v>0</v>
      </c>
      <c r="C257" s="100">
        <v>0</v>
      </c>
      <c r="D257" s="100">
        <v>0</v>
      </c>
      <c r="E257" s="100">
        <v>0</v>
      </c>
      <c r="F257" s="100">
        <v>0</v>
      </c>
      <c r="G257" s="100">
        <v>0</v>
      </c>
      <c r="H257" s="100">
        <v>0</v>
      </c>
      <c r="I257" s="100">
        <v>0</v>
      </c>
      <c r="J257" s="100">
        <v>0</v>
      </c>
      <c r="K257" s="100">
        <v>0</v>
      </c>
      <c r="L257" s="100">
        <v>0</v>
      </c>
      <c r="M257" s="100">
        <v>0</v>
      </c>
      <c r="N257" s="100">
        <v>0</v>
      </c>
    </row>
    <row r="258" spans="1:14" ht="12">
      <c r="A258" t="s">
        <v>353</v>
      </c>
      <c r="B258" s="100">
        <v>7.98</v>
      </c>
      <c r="C258" s="100">
        <v>5.65</v>
      </c>
      <c r="D258" s="100">
        <v>8.69</v>
      </c>
      <c r="E258" s="100">
        <v>11.01</v>
      </c>
      <c r="F258" s="100">
        <v>10.95</v>
      </c>
      <c r="G258" s="100">
        <v>13.65</v>
      </c>
      <c r="H258" s="100">
        <v>11.83</v>
      </c>
      <c r="I258" s="100">
        <v>9.62</v>
      </c>
      <c r="J258" s="100">
        <v>8.49</v>
      </c>
      <c r="K258" s="100">
        <v>9.62</v>
      </c>
      <c r="L258" s="100">
        <v>9.6</v>
      </c>
      <c r="M258" s="100">
        <v>12.33</v>
      </c>
      <c r="N258" s="100">
        <v>12.24</v>
      </c>
    </row>
    <row r="259" spans="1:14" ht="12">
      <c r="A259" t="s">
        <v>354</v>
      </c>
      <c r="B259" s="100">
        <v>0.564</v>
      </c>
      <c r="C259" s="100">
        <v>0.266</v>
      </c>
      <c r="D259" s="100">
        <v>0.1</v>
      </c>
      <c r="E259" s="100">
        <v>0.1</v>
      </c>
      <c r="F259" s="100">
        <v>0.045</v>
      </c>
      <c r="G259" s="100">
        <v>0.02</v>
      </c>
      <c r="H259" s="100">
        <v>0.013</v>
      </c>
      <c r="I259" s="100">
        <v>0.012</v>
      </c>
      <c r="J259" s="100">
        <v>0.007</v>
      </c>
      <c r="K259" s="100">
        <v>0.004</v>
      </c>
      <c r="L259" s="100">
        <v>-0.006</v>
      </c>
      <c r="M259" s="100">
        <v>0.004</v>
      </c>
      <c r="N259" s="100">
        <v>0</v>
      </c>
    </row>
    <row r="260" spans="1:14" ht="12">
      <c r="A260" t="s">
        <v>355</v>
      </c>
      <c r="B260" s="100">
        <v>486</v>
      </c>
      <c r="C260" s="100">
        <v>505</v>
      </c>
      <c r="D260" s="100">
        <v>459</v>
      </c>
      <c r="E260" s="100">
        <v>651</v>
      </c>
      <c r="F260" s="100">
        <v>440</v>
      </c>
      <c r="G260" s="100">
        <v>387</v>
      </c>
      <c r="H260" s="100">
        <v>395</v>
      </c>
      <c r="I260" s="100">
        <v>509</v>
      </c>
      <c r="J260" s="100">
        <v>646</v>
      </c>
      <c r="K260" s="100">
        <v>499</v>
      </c>
      <c r="L260" s="100">
        <v>631</v>
      </c>
      <c r="M260" s="100">
        <v>522</v>
      </c>
      <c r="N260" s="100">
        <v>909</v>
      </c>
    </row>
    <row r="261" spans="1:14" ht="12">
      <c r="A261" t="s">
        <v>356</v>
      </c>
      <c r="B261" s="100">
        <v>1092</v>
      </c>
      <c r="C261" s="100">
        <v>120</v>
      </c>
      <c r="D261" s="100">
        <v>23</v>
      </c>
      <c r="E261" s="100">
        <v>16</v>
      </c>
      <c r="F261" s="100">
        <v>2</v>
      </c>
      <c r="G261" s="100">
        <v>10</v>
      </c>
      <c r="H261" s="100">
        <v>3</v>
      </c>
      <c r="I261" s="100">
        <v>-4</v>
      </c>
      <c r="J261" s="100">
        <v>-4</v>
      </c>
      <c r="K261" s="100">
        <v>2</v>
      </c>
      <c r="L261" s="100" t="s">
        <v>164</v>
      </c>
      <c r="M261" s="100" t="s">
        <v>164</v>
      </c>
      <c r="N261" s="100" t="s">
        <v>164</v>
      </c>
    </row>
    <row r="262" spans="1:14" ht="12">
      <c r="A262" t="s">
        <v>357</v>
      </c>
      <c r="B262" s="100">
        <v>3150</v>
      </c>
      <c r="C262" s="100">
        <v>3575</v>
      </c>
      <c r="D262" s="100">
        <v>3867</v>
      </c>
      <c r="E262" s="100">
        <v>25073</v>
      </c>
      <c r="F262" s="100">
        <v>4206</v>
      </c>
      <c r="G262" s="100">
        <v>2642</v>
      </c>
      <c r="H262" s="100">
        <v>2936</v>
      </c>
      <c r="I262" s="100">
        <v>3129</v>
      </c>
      <c r="J262" s="100">
        <v>4255</v>
      </c>
      <c r="K262" s="100">
        <v>3886</v>
      </c>
      <c r="L262" s="100">
        <v>4442</v>
      </c>
      <c r="M262" s="100">
        <v>4801</v>
      </c>
      <c r="N262" s="100">
        <v>5390</v>
      </c>
    </row>
    <row r="263" spans="1:14" ht="12">
      <c r="A263" t="s">
        <v>358</v>
      </c>
      <c r="B263" s="100">
        <v>1113.4559</v>
      </c>
      <c r="C263" s="100">
        <v>1247.54628</v>
      </c>
      <c r="D263" s="100">
        <v>2122.94747</v>
      </c>
      <c r="E263" s="100">
        <v>1632.56021</v>
      </c>
      <c r="F263" s="100">
        <v>1954.06056</v>
      </c>
      <c r="G263" s="100">
        <v>2758.77238</v>
      </c>
      <c r="H263" s="100">
        <v>1469.1381</v>
      </c>
      <c r="I263" s="100">
        <v>2143.33177</v>
      </c>
      <c r="J263" s="100">
        <v>2670.54155</v>
      </c>
      <c r="K263" s="100">
        <v>2743.26442</v>
      </c>
      <c r="L263" s="100">
        <v>3280.19949</v>
      </c>
      <c r="M263" s="100">
        <v>388312.5402</v>
      </c>
      <c r="N263" s="100">
        <v>4528.6411</v>
      </c>
    </row>
    <row r="264" spans="1:14" ht="12">
      <c r="A264" t="s">
        <v>359</v>
      </c>
      <c r="B264" s="100">
        <v>1768</v>
      </c>
      <c r="C264" s="100">
        <v>2063</v>
      </c>
      <c r="D264" s="100">
        <v>2576</v>
      </c>
      <c r="E264" s="100">
        <v>1973</v>
      </c>
      <c r="F264" s="100">
        <v>2431</v>
      </c>
      <c r="G264" s="100">
        <v>2377</v>
      </c>
      <c r="H264" s="100">
        <v>1754</v>
      </c>
      <c r="I264" s="100">
        <v>1887</v>
      </c>
      <c r="J264" s="100">
        <v>2246</v>
      </c>
      <c r="K264" s="100">
        <v>1880</v>
      </c>
      <c r="L264" s="100">
        <v>295</v>
      </c>
      <c r="M264" s="100">
        <v>206</v>
      </c>
      <c r="N264" s="100">
        <v>91</v>
      </c>
    </row>
    <row r="265" spans="1:14" ht="12">
      <c r="A265" t="s">
        <v>360</v>
      </c>
      <c r="B265" s="100">
        <v>903.38097</v>
      </c>
      <c r="C265" s="100">
        <v>841.49505</v>
      </c>
      <c r="D265" s="100">
        <v>869.37127</v>
      </c>
      <c r="E265" s="100">
        <v>875.21211</v>
      </c>
      <c r="F265" s="100">
        <v>995.23148</v>
      </c>
      <c r="G265" s="100">
        <v>974.11559</v>
      </c>
      <c r="H265" s="100">
        <v>862.55634</v>
      </c>
      <c r="I265" s="100">
        <v>898.39651</v>
      </c>
      <c r="J265" s="100">
        <v>965.84398</v>
      </c>
      <c r="K265" s="100">
        <v>1176.71875</v>
      </c>
      <c r="L265" s="100">
        <v>1087.57988</v>
      </c>
      <c r="M265" s="100">
        <v>1118.77304</v>
      </c>
      <c r="N265" s="100" t="s">
        <v>163</v>
      </c>
    </row>
    <row r="266" spans="1:14" ht="12">
      <c r="A266" t="s">
        <v>361</v>
      </c>
      <c r="B266" s="100">
        <v>1499321.347</v>
      </c>
      <c r="C266" s="100">
        <v>1566539.64806</v>
      </c>
      <c r="D266" s="100">
        <v>1642485.38799</v>
      </c>
      <c r="E266" s="100">
        <v>1690990.08442</v>
      </c>
      <c r="F266" s="100">
        <v>1654499.71821</v>
      </c>
      <c r="G266" s="100">
        <v>1695386.66376</v>
      </c>
      <c r="H266" s="100">
        <v>1750077.37435</v>
      </c>
      <c r="I266" s="100">
        <v>1794003.87183</v>
      </c>
      <c r="J266" s="100">
        <v>1818312.90838</v>
      </c>
      <c r="K266" s="100">
        <v>1865438.03154</v>
      </c>
      <c r="L266" s="100">
        <v>1935597.17927</v>
      </c>
      <c r="M266" s="100">
        <v>1976794.02143</v>
      </c>
      <c r="N266" s="100">
        <v>2044779.76071</v>
      </c>
    </row>
    <row r="267" spans="1:14" ht="12">
      <c r="A267" t="s">
        <v>362</v>
      </c>
      <c r="B267" s="100">
        <v>1256783.80292</v>
      </c>
      <c r="C267" s="100">
        <v>1307908.58231</v>
      </c>
      <c r="D267" s="100">
        <v>1363697.01058</v>
      </c>
      <c r="E267" s="100">
        <v>1417584.43007</v>
      </c>
      <c r="F267" s="100">
        <v>1414897.72619</v>
      </c>
      <c r="G267" s="100">
        <v>1440284.41738</v>
      </c>
      <c r="H267" s="100">
        <v>1483818.37342</v>
      </c>
      <c r="I267" s="100">
        <v>1510008.52924</v>
      </c>
      <c r="J267" s="100">
        <v>1535596.90112</v>
      </c>
      <c r="K267" s="100">
        <v>1568496.63663</v>
      </c>
      <c r="L267" s="100">
        <v>1602420.92035</v>
      </c>
      <c r="M267" s="100">
        <v>1649692.87045</v>
      </c>
      <c r="N267" s="100">
        <v>1706420.14961</v>
      </c>
    </row>
    <row r="268" spans="1:14" ht="12">
      <c r="A268" t="s">
        <v>363</v>
      </c>
      <c r="B268" s="100">
        <v>47550.1</v>
      </c>
      <c r="C268" s="100">
        <v>49774.6</v>
      </c>
      <c r="D268" s="100">
        <v>52850.7</v>
      </c>
      <c r="E268" s="100">
        <v>55912.8</v>
      </c>
      <c r="F268" s="100">
        <v>57320.6</v>
      </c>
      <c r="G268" s="100">
        <v>58714.5</v>
      </c>
      <c r="H268" s="100">
        <v>61775.8</v>
      </c>
      <c r="I268" s="100">
        <v>64338.9</v>
      </c>
      <c r="J268" s="100">
        <v>65989.3</v>
      </c>
      <c r="K268" s="100">
        <v>66772.7</v>
      </c>
      <c r="L268" s="100">
        <v>67944.4</v>
      </c>
      <c r="M268" s="100">
        <v>67528.7</v>
      </c>
      <c r="N268" s="100">
        <v>69342.8</v>
      </c>
    </row>
    <row r="269" spans="1:14" ht="12">
      <c r="A269" t="s">
        <v>364</v>
      </c>
      <c r="B269" s="100">
        <v>4420.282</v>
      </c>
      <c r="C269" s="100">
        <v>4296.832</v>
      </c>
      <c r="D269" s="100">
        <v>4890.278</v>
      </c>
      <c r="E269" s="100">
        <v>5392.646</v>
      </c>
      <c r="F269" s="100">
        <v>5273.073</v>
      </c>
      <c r="G269" s="100">
        <v>4969.795</v>
      </c>
      <c r="H269" s="100">
        <v>5417.004</v>
      </c>
      <c r="I269" s="100">
        <v>5596.034</v>
      </c>
      <c r="J269" s="100">
        <v>6116.026</v>
      </c>
      <c r="K269" s="100">
        <v>6575.341</v>
      </c>
      <c r="L269" s="100">
        <v>6965.723</v>
      </c>
      <c r="M269" s="100">
        <v>7369.544</v>
      </c>
      <c r="N269" s="100">
        <v>8456.45</v>
      </c>
    </row>
    <row r="270" spans="1:14" ht="12">
      <c r="A270" t="s">
        <v>365</v>
      </c>
      <c r="B270" s="100">
        <v>482138</v>
      </c>
      <c r="C270" s="100">
        <v>524788</v>
      </c>
      <c r="D270" s="100">
        <v>576714</v>
      </c>
      <c r="E270" s="100">
        <v>599217</v>
      </c>
      <c r="F270" s="100">
        <v>559694</v>
      </c>
      <c r="G270" s="100">
        <v>577920</v>
      </c>
      <c r="H270" s="100">
        <v>592514</v>
      </c>
      <c r="I270" s="100">
        <v>600265</v>
      </c>
      <c r="J270" s="100">
        <v>606639</v>
      </c>
      <c r="K270" s="100">
        <v>628548</v>
      </c>
      <c r="L270" s="100">
        <v>662916</v>
      </c>
      <c r="M270" s="100">
        <v>703045</v>
      </c>
      <c r="N270" s="100">
        <v>759552</v>
      </c>
    </row>
    <row r="271" spans="1:14" ht="12">
      <c r="A271" t="s">
        <v>366</v>
      </c>
      <c r="B271" s="100">
        <v>24186</v>
      </c>
      <c r="C271" s="100">
        <v>24166</v>
      </c>
      <c r="D271" s="100">
        <v>24041</v>
      </c>
      <c r="E271" s="100">
        <v>23756</v>
      </c>
      <c r="F271" s="100">
        <v>23287</v>
      </c>
      <c r="G271" s="100">
        <v>24363</v>
      </c>
      <c r="H271" s="100">
        <v>24750</v>
      </c>
      <c r="I271" s="100">
        <v>22986</v>
      </c>
      <c r="J271" s="100">
        <v>20793</v>
      </c>
      <c r="K271" s="100">
        <v>20368</v>
      </c>
      <c r="L271" s="100">
        <v>20166</v>
      </c>
      <c r="M271" s="100">
        <v>19817</v>
      </c>
      <c r="N271" s="100">
        <v>19378</v>
      </c>
    </row>
    <row r="272" spans="1:14" ht="12">
      <c r="A272" t="s">
        <v>367</v>
      </c>
      <c r="B272" s="100">
        <v>399730</v>
      </c>
      <c r="C272" s="100">
        <v>404212</v>
      </c>
      <c r="D272" s="100">
        <v>404271</v>
      </c>
      <c r="E272" s="100">
        <v>412449</v>
      </c>
      <c r="F272" s="100">
        <v>415615</v>
      </c>
      <c r="G272" s="100">
        <v>426180</v>
      </c>
      <c r="H272" s="100">
        <v>442255</v>
      </c>
      <c r="I272" s="100">
        <v>454321</v>
      </c>
      <c r="J272" s="100">
        <v>465031</v>
      </c>
      <c r="K272" s="100">
        <v>481978</v>
      </c>
      <c r="L272" s="100">
        <v>500818</v>
      </c>
      <c r="M272" s="100">
        <v>523755</v>
      </c>
      <c r="N272" s="100">
        <v>548067</v>
      </c>
    </row>
    <row r="273" spans="1:14" ht="12">
      <c r="A273" t="s">
        <v>368</v>
      </c>
      <c r="B273" s="100">
        <v>1161.1</v>
      </c>
      <c r="C273" s="100">
        <v>1368.1</v>
      </c>
      <c r="D273" s="100">
        <v>1703.2</v>
      </c>
      <c r="E273" s="100">
        <v>1918.4</v>
      </c>
      <c r="F273" s="100">
        <v>1851.5</v>
      </c>
      <c r="G273" s="100">
        <v>1909.9</v>
      </c>
      <c r="H273" s="100">
        <v>1967.7</v>
      </c>
      <c r="I273" s="100">
        <v>2035.7</v>
      </c>
      <c r="J273" s="100">
        <v>2115.6</v>
      </c>
      <c r="K273" s="100">
        <v>2222</v>
      </c>
      <c r="L273" s="100">
        <v>2339.1</v>
      </c>
      <c r="M273" s="100">
        <v>2481.1</v>
      </c>
      <c r="N273" s="100">
        <v>2698</v>
      </c>
    </row>
    <row r="274" spans="1:14" ht="12">
      <c r="A274" t="s">
        <v>369</v>
      </c>
      <c r="B274" s="100">
        <v>8730.02</v>
      </c>
      <c r="C274" s="100">
        <v>9556.34</v>
      </c>
      <c r="D274" s="100">
        <v>10697.05</v>
      </c>
      <c r="E274" s="100">
        <v>10984.08</v>
      </c>
      <c r="F274" s="100">
        <v>10242.83</v>
      </c>
      <c r="G274" s="100">
        <v>9485.15</v>
      </c>
      <c r="H274" s="100">
        <v>10368.43</v>
      </c>
      <c r="I274" s="100">
        <v>9874.42</v>
      </c>
      <c r="J274" s="100">
        <v>10409.63</v>
      </c>
      <c r="K274" s="100">
        <v>10983</v>
      </c>
      <c r="L274" s="100">
        <v>11385.84</v>
      </c>
      <c r="M274" s="100">
        <v>12036.7</v>
      </c>
      <c r="N274" s="100">
        <v>12643.95</v>
      </c>
    </row>
    <row r="275" spans="1:14" ht="12">
      <c r="A275" t="s">
        <v>370</v>
      </c>
      <c r="B275" s="100">
        <v>24537</v>
      </c>
      <c r="C275" s="100">
        <v>25891</v>
      </c>
      <c r="D275" s="100">
        <v>28892</v>
      </c>
      <c r="E275" s="100">
        <v>30641</v>
      </c>
      <c r="F275" s="100">
        <v>29344</v>
      </c>
      <c r="G275" s="100">
        <v>29700</v>
      </c>
      <c r="H275" s="100">
        <v>27272</v>
      </c>
      <c r="I275" s="100">
        <v>26621</v>
      </c>
      <c r="J275" s="100">
        <v>24455</v>
      </c>
      <c r="K275" s="100">
        <v>24088</v>
      </c>
      <c r="L275" s="100">
        <v>24422</v>
      </c>
      <c r="M275" s="100">
        <v>24908</v>
      </c>
      <c r="N275" s="100">
        <v>25941</v>
      </c>
    </row>
    <row r="276" spans="1:14" ht="12">
      <c r="A276" t="s">
        <v>371</v>
      </c>
      <c r="B276" s="100">
        <v>117460</v>
      </c>
      <c r="C276" s="100">
        <v>127099</v>
      </c>
      <c r="D276" s="100">
        <v>136417</v>
      </c>
      <c r="E276" s="100">
        <v>142049</v>
      </c>
      <c r="F276" s="100">
        <v>139727</v>
      </c>
      <c r="G276" s="100">
        <v>138649</v>
      </c>
      <c r="H276" s="100">
        <v>137802</v>
      </c>
      <c r="I276" s="100">
        <v>131859</v>
      </c>
      <c r="J276" s="100">
        <v>128217</v>
      </c>
      <c r="K276" s="100">
        <v>130052</v>
      </c>
      <c r="L276" s="100">
        <v>132320</v>
      </c>
      <c r="M276" s="100">
        <v>136173</v>
      </c>
      <c r="N276" s="100">
        <v>142908</v>
      </c>
    </row>
    <row r="277" spans="1:14" ht="12">
      <c r="A277" t="s">
        <v>372</v>
      </c>
      <c r="B277" s="100">
        <v>312240</v>
      </c>
      <c r="C277" s="100">
        <v>328748</v>
      </c>
      <c r="D277" s="100">
        <v>341168</v>
      </c>
      <c r="E277" s="100">
        <v>350663</v>
      </c>
      <c r="F277" s="100">
        <v>354283</v>
      </c>
      <c r="G277" s="100">
        <v>361844</v>
      </c>
      <c r="H277" s="100">
        <v>376155</v>
      </c>
      <c r="I277" s="100">
        <v>387117</v>
      </c>
      <c r="J277" s="100">
        <v>398881</v>
      </c>
      <c r="K277" s="100">
        <v>408802</v>
      </c>
      <c r="L277" s="100">
        <v>413030</v>
      </c>
      <c r="M277" s="100">
        <v>418089</v>
      </c>
      <c r="N277" s="100">
        <v>431315</v>
      </c>
    </row>
    <row r="278" spans="1:14" ht="12">
      <c r="A278" t="s">
        <v>373</v>
      </c>
      <c r="B278" s="100">
        <v>31301.3396</v>
      </c>
      <c r="C278" s="100">
        <v>33877.1476</v>
      </c>
      <c r="D278" s="100">
        <v>37203.4858</v>
      </c>
      <c r="E278" s="100">
        <v>40703.48399</v>
      </c>
      <c r="F278" s="100">
        <v>39994.73896</v>
      </c>
      <c r="G278" s="100">
        <v>38712.38206</v>
      </c>
      <c r="H278" s="100">
        <v>38605.06663</v>
      </c>
      <c r="I278" s="100">
        <v>37845.87062</v>
      </c>
      <c r="J278" s="100">
        <v>37149.26285</v>
      </c>
      <c r="K278" s="100">
        <v>39186.68364</v>
      </c>
      <c r="L278" s="100">
        <v>40605.95313</v>
      </c>
      <c r="M278" s="100">
        <v>41645.42636</v>
      </c>
      <c r="N278" s="100">
        <v>43339.18453</v>
      </c>
    </row>
    <row r="279" spans="1:14" ht="12">
      <c r="A279" t="s">
        <v>374</v>
      </c>
      <c r="B279" s="100">
        <v>181957</v>
      </c>
      <c r="C279" s="100">
        <v>184337</v>
      </c>
      <c r="D279" s="100">
        <v>203068</v>
      </c>
      <c r="E279" s="100">
        <v>212926</v>
      </c>
      <c r="F279" s="100">
        <v>212133</v>
      </c>
      <c r="G279" s="100">
        <v>213702</v>
      </c>
      <c r="H279" s="100">
        <v>216294</v>
      </c>
      <c r="I279" s="100">
        <v>215837</v>
      </c>
      <c r="J279" s="100">
        <v>215289</v>
      </c>
      <c r="K279" s="100">
        <v>214346</v>
      </c>
      <c r="L279" s="100">
        <v>219065</v>
      </c>
      <c r="M279" s="100">
        <v>220632</v>
      </c>
      <c r="N279" s="100">
        <v>226244</v>
      </c>
    </row>
    <row r="280" spans="1:14" ht="12">
      <c r="A280" t="s">
        <v>375</v>
      </c>
      <c r="B280" s="100">
        <v>1110.7</v>
      </c>
      <c r="C280" s="100">
        <v>1128.4</v>
      </c>
      <c r="D280" s="100">
        <v>1194.7</v>
      </c>
      <c r="E280" s="100">
        <v>1332.5</v>
      </c>
      <c r="F280" s="100">
        <v>1464.2</v>
      </c>
      <c r="G280" s="100">
        <v>1552.3</v>
      </c>
      <c r="H280" s="100">
        <v>1566</v>
      </c>
      <c r="I280" s="100">
        <v>1510.4</v>
      </c>
      <c r="J280" s="100">
        <v>1362.3</v>
      </c>
      <c r="K280" s="100">
        <v>1444.6</v>
      </c>
      <c r="L280" s="100">
        <v>1482.9</v>
      </c>
      <c r="M280" s="100">
        <v>1544.7</v>
      </c>
      <c r="N280" s="100">
        <v>1707.2</v>
      </c>
    </row>
    <row r="281" spans="1:14" ht="12">
      <c r="A281" t="s">
        <v>376</v>
      </c>
      <c r="B281" s="100">
        <v>1105.91</v>
      </c>
      <c r="C281" s="100">
        <v>1416.31</v>
      </c>
      <c r="D281" s="100">
        <v>1825</v>
      </c>
      <c r="E281" s="100">
        <v>2037.76</v>
      </c>
      <c r="F281" s="100">
        <v>1806.47</v>
      </c>
      <c r="G281" s="100">
        <v>1589.97</v>
      </c>
      <c r="H281" s="100">
        <v>1794.86</v>
      </c>
      <c r="I281" s="100">
        <v>1947.69</v>
      </c>
      <c r="J281" s="100">
        <v>1991.88</v>
      </c>
      <c r="K281" s="100">
        <v>2053.84</v>
      </c>
      <c r="L281" s="100">
        <v>2110.52</v>
      </c>
      <c r="M281" s="100">
        <v>2153.73</v>
      </c>
      <c r="N281" s="100">
        <v>2348.96</v>
      </c>
    </row>
    <row r="282" spans="1:14" ht="12">
      <c r="A282" t="s">
        <v>377</v>
      </c>
      <c r="B282" s="100">
        <v>1926.07254</v>
      </c>
      <c r="C282" s="100">
        <v>2269.86686</v>
      </c>
      <c r="D282" s="100">
        <v>2736.77584</v>
      </c>
      <c r="E282" s="100">
        <v>3226.46685</v>
      </c>
      <c r="F282" s="100">
        <v>3521.32919</v>
      </c>
      <c r="G282" s="100">
        <v>3398.47608</v>
      </c>
      <c r="H282" s="100">
        <v>3583.3857</v>
      </c>
      <c r="I282" s="100">
        <v>3725.47695</v>
      </c>
      <c r="J282" s="100">
        <v>3892.7459</v>
      </c>
      <c r="K282" s="100">
        <v>4173.72842</v>
      </c>
      <c r="L282" s="100">
        <v>4456.34265</v>
      </c>
      <c r="M282" s="100">
        <v>4844.09652</v>
      </c>
      <c r="N282" s="100">
        <v>5300.38442</v>
      </c>
    </row>
    <row r="283" spans="1:14" ht="12">
      <c r="A283" t="s">
        <v>378</v>
      </c>
      <c r="B283" s="100">
        <v>3584.20019</v>
      </c>
      <c r="C283" s="100">
        <v>3796.80999</v>
      </c>
      <c r="D283" s="100">
        <v>4151.10456</v>
      </c>
      <c r="E283" s="100">
        <v>4451.91923</v>
      </c>
      <c r="F283" s="100">
        <v>4741.12698</v>
      </c>
      <c r="G283" s="100">
        <v>4885.96408</v>
      </c>
      <c r="H283" s="100">
        <v>5233.84049</v>
      </c>
      <c r="I283" s="100">
        <v>5555.70021</v>
      </c>
      <c r="J283" s="100">
        <v>5786.9608</v>
      </c>
      <c r="K283" s="100">
        <v>5966.24169</v>
      </c>
      <c r="L283" s="100">
        <v>6260.19653</v>
      </c>
      <c r="M283" s="100">
        <v>6461.13123</v>
      </c>
      <c r="N283" s="100">
        <v>6916.31797</v>
      </c>
    </row>
    <row r="284" spans="1:14" ht="12">
      <c r="A284" t="s">
        <v>379</v>
      </c>
      <c r="B284" s="100">
        <v>2781064</v>
      </c>
      <c r="C284" s="100">
        <v>2996916</v>
      </c>
      <c r="D284" s="100">
        <v>3465398</v>
      </c>
      <c r="E284" s="100">
        <v>3667952</v>
      </c>
      <c r="F284" s="100">
        <v>3411895</v>
      </c>
      <c r="G284" s="100">
        <v>3247064</v>
      </c>
      <c r="H284" s="100">
        <v>3686046</v>
      </c>
      <c r="I284" s="100">
        <v>3733980</v>
      </c>
      <c r="J284" s="100">
        <v>3907469</v>
      </c>
      <c r="K284" s="100">
        <v>4204092.765</v>
      </c>
      <c r="L284" s="100">
        <v>4489202.616</v>
      </c>
      <c r="M284" s="100">
        <v>4820096.14893</v>
      </c>
      <c r="N284" s="100">
        <v>4898432.37661</v>
      </c>
    </row>
    <row r="285" spans="1:14" ht="12">
      <c r="A285" t="s">
        <v>380</v>
      </c>
      <c r="B285" s="100">
        <v>380.16262</v>
      </c>
      <c r="C285" s="100">
        <v>389.77208</v>
      </c>
      <c r="D285" s="100">
        <v>398.30415</v>
      </c>
      <c r="E285" s="100">
        <v>431.99528</v>
      </c>
      <c r="F285" s="100">
        <v>434.92783</v>
      </c>
      <c r="G285" s="100">
        <v>456.49552</v>
      </c>
      <c r="H285" s="100">
        <v>486.74469</v>
      </c>
      <c r="I285" s="100">
        <v>504.34932</v>
      </c>
      <c r="J285" s="100">
        <v>524.83487</v>
      </c>
      <c r="K285" s="100">
        <v>560.30452</v>
      </c>
      <c r="L285" s="100">
        <v>596.30717</v>
      </c>
      <c r="M285" s="100">
        <v>639.2777</v>
      </c>
      <c r="N285" s="100">
        <v>702.90921</v>
      </c>
    </row>
    <row r="286" spans="1:14" ht="12">
      <c r="A286" t="s">
        <v>381</v>
      </c>
      <c r="B286" s="100">
        <v>70844</v>
      </c>
      <c r="C286" s="100">
        <v>79127</v>
      </c>
      <c r="D286" s="100">
        <v>80581</v>
      </c>
      <c r="E286" s="100">
        <v>89593</v>
      </c>
      <c r="F286" s="100">
        <v>82463</v>
      </c>
      <c r="G286" s="100">
        <v>86277</v>
      </c>
      <c r="H286" s="100">
        <v>92026</v>
      </c>
      <c r="I286" s="100">
        <v>98213</v>
      </c>
      <c r="J286" s="100">
        <v>100786</v>
      </c>
      <c r="K286" s="100">
        <v>101931</v>
      </c>
      <c r="L286" s="100">
        <v>99586</v>
      </c>
      <c r="M286" s="100">
        <v>107364</v>
      </c>
      <c r="N286" s="100">
        <v>105386</v>
      </c>
    </row>
    <row r="287" spans="1:14" ht="12">
      <c r="A287" t="s">
        <v>382</v>
      </c>
      <c r="B287" s="100">
        <v>37804.71</v>
      </c>
      <c r="C287" s="100">
        <v>39289.32</v>
      </c>
      <c r="D287" s="100">
        <v>40886.81</v>
      </c>
      <c r="E287" s="100">
        <v>42596.21</v>
      </c>
      <c r="F287" s="100">
        <v>43061.3</v>
      </c>
      <c r="G287" s="100">
        <v>43867.97</v>
      </c>
      <c r="H287" s="100">
        <v>45762.58</v>
      </c>
      <c r="I287" s="100">
        <v>47251.83</v>
      </c>
      <c r="J287" s="100">
        <v>49116.27</v>
      </c>
      <c r="K287" s="100">
        <v>50532.6</v>
      </c>
      <c r="L287" s="100">
        <v>52112.41</v>
      </c>
      <c r="M287" s="100">
        <v>53953.5</v>
      </c>
      <c r="N287" s="100">
        <v>55955.76</v>
      </c>
    </row>
    <row r="288" spans="1:14" ht="12">
      <c r="A288" t="s">
        <v>383</v>
      </c>
      <c r="B288" s="100">
        <v>131268</v>
      </c>
      <c r="C288" s="100">
        <v>140041</v>
      </c>
      <c r="D288" s="100">
        <v>152305</v>
      </c>
      <c r="E288" s="100">
        <v>157285</v>
      </c>
      <c r="F288" s="100">
        <v>166357</v>
      </c>
      <c r="G288" s="100">
        <v>171273</v>
      </c>
      <c r="H288" s="100">
        <v>190511</v>
      </c>
      <c r="I288" s="100">
        <v>212170</v>
      </c>
      <c r="J288" s="100">
        <v>221237</v>
      </c>
      <c r="K288" s="100">
        <v>227207</v>
      </c>
      <c r="L288" s="100">
        <v>243182.8</v>
      </c>
      <c r="M288" s="100">
        <v>256530</v>
      </c>
      <c r="N288" s="100">
        <v>275454</v>
      </c>
    </row>
    <row r="289" spans="1:14" ht="12">
      <c r="A289" t="s">
        <v>384</v>
      </c>
      <c r="B289" s="100">
        <v>18397.987</v>
      </c>
      <c r="C289" s="100">
        <v>19192.583</v>
      </c>
      <c r="D289" s="100">
        <v>19865.672</v>
      </c>
      <c r="E289" s="100">
        <v>20698.713</v>
      </c>
      <c r="F289" s="100">
        <v>21190.334</v>
      </c>
      <c r="G289" s="100">
        <v>21362.448</v>
      </c>
      <c r="H289" s="100">
        <v>21200.731</v>
      </c>
      <c r="I289" s="100">
        <v>19142.309</v>
      </c>
      <c r="J289" s="100">
        <v>20449.199</v>
      </c>
      <c r="K289" s="100">
        <v>20457.121</v>
      </c>
      <c r="L289" s="100">
        <v>20783.18</v>
      </c>
      <c r="M289" s="100">
        <v>21608.582</v>
      </c>
      <c r="N289" s="100">
        <v>22704.247</v>
      </c>
    </row>
    <row r="290" spans="1:14" ht="12">
      <c r="A290" t="s">
        <v>385</v>
      </c>
      <c r="B290" s="100">
        <v>29649.5</v>
      </c>
      <c r="C290" s="100">
        <v>35604.2</v>
      </c>
      <c r="D290" s="100">
        <v>43639.1</v>
      </c>
      <c r="E290" s="100">
        <v>51988.1</v>
      </c>
      <c r="F290" s="100">
        <v>51260.6</v>
      </c>
      <c r="G290" s="100">
        <v>49551.7</v>
      </c>
      <c r="H290" s="100">
        <v>50808</v>
      </c>
      <c r="I290" s="100">
        <v>51953</v>
      </c>
      <c r="J290" s="100">
        <v>54817.4</v>
      </c>
      <c r="K290" s="100">
        <v>56983.3</v>
      </c>
      <c r="L290" s="100">
        <v>57604.3</v>
      </c>
      <c r="M290" s="100">
        <v>67008.6</v>
      </c>
      <c r="N290" s="100">
        <v>80167.8</v>
      </c>
    </row>
    <row r="291" spans="1:14" ht="12">
      <c r="A291" t="s">
        <v>386</v>
      </c>
      <c r="B291" s="100">
        <v>4164.59</v>
      </c>
      <c r="C291" s="100">
        <v>4428.47</v>
      </c>
      <c r="D291" s="100">
        <v>4813.7</v>
      </c>
      <c r="E291" s="100">
        <v>5325.77</v>
      </c>
      <c r="F291" s="100">
        <v>5387.64</v>
      </c>
      <c r="G291" s="100">
        <v>5496.59</v>
      </c>
      <c r="H291" s="100">
        <v>5524.28</v>
      </c>
      <c r="I291" s="100">
        <v>5502.68</v>
      </c>
      <c r="J291" s="100">
        <v>5386.69</v>
      </c>
      <c r="K291" s="100">
        <v>5485.39</v>
      </c>
      <c r="L291" s="100">
        <v>5724.42</v>
      </c>
      <c r="M291" s="100">
        <v>5967.26</v>
      </c>
      <c r="N291" s="100">
        <v>6370.99</v>
      </c>
    </row>
    <row r="292" spans="1:14" ht="12">
      <c r="A292" t="s">
        <v>387</v>
      </c>
      <c r="B292" s="100">
        <v>6361.137</v>
      </c>
      <c r="C292" s="100">
        <v>6607.541</v>
      </c>
      <c r="D292" s="100">
        <v>7346.198</v>
      </c>
      <c r="E292" s="100">
        <v>8081.166</v>
      </c>
      <c r="F292" s="100">
        <v>8042.882</v>
      </c>
      <c r="G292" s="100">
        <v>8323.881</v>
      </c>
      <c r="H292" s="100">
        <v>8721.905</v>
      </c>
      <c r="I292" s="100">
        <v>9107.7</v>
      </c>
      <c r="J292" s="100">
        <v>10006.788</v>
      </c>
      <c r="K292" s="100">
        <v>10360.111</v>
      </c>
      <c r="L292" s="100">
        <v>11042.304</v>
      </c>
      <c r="M292" s="100">
        <v>11617.093</v>
      </c>
      <c r="N292" s="100">
        <v>12533.631</v>
      </c>
    </row>
    <row r="293" spans="1:14" ht="12">
      <c r="A293" t="s">
        <v>388</v>
      </c>
      <c r="B293" s="100">
        <v>19108</v>
      </c>
      <c r="C293" s="100">
        <v>20505</v>
      </c>
      <c r="D293" s="100">
        <v>21612</v>
      </c>
      <c r="E293" s="100">
        <v>22559</v>
      </c>
      <c r="F293" s="100">
        <v>22275</v>
      </c>
      <c r="G293" s="100">
        <v>22902</v>
      </c>
      <c r="H293" s="100">
        <v>24037</v>
      </c>
      <c r="I293" s="100">
        <v>25528</v>
      </c>
      <c r="J293" s="100">
        <v>25902</v>
      </c>
      <c r="K293" s="100">
        <v>26288</v>
      </c>
      <c r="L293" s="100">
        <v>26942</v>
      </c>
      <c r="M293" s="100">
        <v>27936</v>
      </c>
      <c r="N293" s="100">
        <v>27334</v>
      </c>
    </row>
    <row r="294" spans="1:14" ht="12">
      <c r="A294" t="s">
        <v>389</v>
      </c>
      <c r="B294" s="100">
        <v>102317</v>
      </c>
      <c r="C294" s="100">
        <v>97768</v>
      </c>
      <c r="D294" s="100">
        <v>105704</v>
      </c>
      <c r="E294" s="100">
        <v>111691</v>
      </c>
      <c r="F294" s="100">
        <v>111644</v>
      </c>
      <c r="G294" s="100">
        <v>113916</v>
      </c>
      <c r="H294" s="100">
        <v>123476</v>
      </c>
      <c r="I294" s="100">
        <v>124542</v>
      </c>
      <c r="J294" s="100">
        <v>128047</v>
      </c>
      <c r="K294" s="100">
        <v>132076</v>
      </c>
      <c r="L294" s="100">
        <v>139162</v>
      </c>
      <c r="M294" s="100">
        <v>145682</v>
      </c>
      <c r="N294" s="100">
        <v>152701</v>
      </c>
    </row>
    <row r="295" spans="1:14" ht="12">
      <c r="A295" t="s">
        <v>390</v>
      </c>
      <c r="B295" s="100">
        <v>105005</v>
      </c>
      <c r="C295" s="100">
        <v>110511</v>
      </c>
      <c r="D295" s="100">
        <v>115427</v>
      </c>
      <c r="E295" s="100">
        <v>121597</v>
      </c>
      <c r="F295" s="100">
        <v>119334</v>
      </c>
      <c r="G295" s="100">
        <v>122458</v>
      </c>
      <c r="H295" s="100">
        <v>126532</v>
      </c>
      <c r="I295" s="100">
        <v>129396</v>
      </c>
      <c r="J295" s="100">
        <v>132038</v>
      </c>
      <c r="K295" s="100">
        <v>135130</v>
      </c>
      <c r="L295" s="100">
        <v>142873</v>
      </c>
      <c r="M295" s="100">
        <v>151242</v>
      </c>
      <c r="N295" s="100">
        <v>160280</v>
      </c>
    </row>
    <row r="296" spans="1:14" ht="12">
      <c r="A296" t="s">
        <v>391</v>
      </c>
      <c r="B296" s="100">
        <v>32776.64148</v>
      </c>
      <c r="C296" s="100">
        <v>38414.46139</v>
      </c>
      <c r="D296" s="100">
        <v>39594.22688</v>
      </c>
      <c r="E296" s="100">
        <v>41643.7032</v>
      </c>
      <c r="F296" s="100">
        <v>45912.36376</v>
      </c>
      <c r="G296" s="100">
        <v>63598.56954</v>
      </c>
      <c r="H296" s="100">
        <v>66819.62327</v>
      </c>
      <c r="I296" s="100">
        <v>64882.42231</v>
      </c>
      <c r="J296" s="100">
        <v>69898.83126</v>
      </c>
      <c r="K296" s="100">
        <v>73432.47695</v>
      </c>
      <c r="L296" s="100">
        <v>79707.29518</v>
      </c>
      <c r="M296" s="100">
        <v>85369.99176</v>
      </c>
      <c r="N296" s="100">
        <v>89209</v>
      </c>
    </row>
    <row r="297" spans="1:14" ht="12">
      <c r="A297" t="s">
        <v>392</v>
      </c>
      <c r="B297" s="100">
        <v>173846</v>
      </c>
      <c r="C297" s="100">
        <v>189223</v>
      </c>
      <c r="D297" s="100">
        <v>205257</v>
      </c>
      <c r="E297" s="100">
        <v>224871</v>
      </c>
      <c r="F297" s="100">
        <v>233433</v>
      </c>
      <c r="G297" s="100">
        <v>243329</v>
      </c>
      <c r="H297" s="100">
        <v>259012</v>
      </c>
      <c r="I297" s="100">
        <v>277015</v>
      </c>
      <c r="J297" s="100">
        <v>292521</v>
      </c>
      <c r="K297" s="100">
        <v>313192</v>
      </c>
      <c r="L297" s="100">
        <v>325764</v>
      </c>
      <c r="M297" s="100">
        <v>330961</v>
      </c>
      <c r="N297" s="100">
        <v>342567</v>
      </c>
    </row>
    <row r="298" spans="1:14" ht="12">
      <c r="A298" t="s">
        <v>393</v>
      </c>
      <c r="B298" s="100">
        <v>32704.03141</v>
      </c>
      <c r="C298" s="100">
        <v>33758.34675</v>
      </c>
      <c r="D298" s="100">
        <v>35416.91783</v>
      </c>
      <c r="E298" s="100">
        <v>37090.89756</v>
      </c>
      <c r="F298" s="100">
        <v>38379.55973</v>
      </c>
      <c r="G298" s="100">
        <v>38767.74875</v>
      </c>
      <c r="H298" s="100">
        <v>41389.11161</v>
      </c>
      <c r="I298" s="100">
        <v>42415.77269</v>
      </c>
      <c r="J298" s="100">
        <v>43136.40645</v>
      </c>
      <c r="K298" s="100">
        <v>43650.05607</v>
      </c>
      <c r="L298" s="100">
        <v>44411.07425</v>
      </c>
      <c r="M298" s="100">
        <v>44885.87624</v>
      </c>
      <c r="N298" s="100" t="s">
        <v>163</v>
      </c>
    </row>
    <row r="299" spans="1:14" ht="12">
      <c r="A299" t="s">
        <v>394</v>
      </c>
      <c r="B299" s="100">
        <v>320906.3568</v>
      </c>
      <c r="C299" s="100">
        <v>340237.29794</v>
      </c>
      <c r="D299" s="100">
        <v>363474.55328</v>
      </c>
      <c r="E299" s="100">
        <v>375079.31877</v>
      </c>
      <c r="F299" s="100">
        <v>381105.08279</v>
      </c>
      <c r="G299" s="100">
        <v>402154.65482</v>
      </c>
      <c r="H299" s="100">
        <v>411882.55252</v>
      </c>
      <c r="I299" s="100">
        <v>419716.57178</v>
      </c>
      <c r="J299" s="100">
        <v>430822.5697</v>
      </c>
      <c r="K299" s="100">
        <v>440994.36004</v>
      </c>
      <c r="L299" s="100">
        <v>456335.34352</v>
      </c>
      <c r="M299" s="100">
        <v>458188.98967</v>
      </c>
      <c r="N299" s="100">
        <v>465388.98617</v>
      </c>
    </row>
    <row r="300" spans="1:14" ht="12">
      <c r="A300" t="s">
        <v>395</v>
      </c>
      <c r="B300" s="100">
        <v>235300.66551</v>
      </c>
      <c r="C300" s="100">
        <v>245235.81493</v>
      </c>
      <c r="D300" s="100">
        <v>260137.88974</v>
      </c>
      <c r="E300" s="100">
        <v>273793.77492</v>
      </c>
      <c r="F300" s="100">
        <v>285622.37923</v>
      </c>
      <c r="G300" s="100">
        <v>299922.99486</v>
      </c>
      <c r="H300" s="100">
        <v>310960.93539</v>
      </c>
      <c r="I300" s="100">
        <v>316957.22352</v>
      </c>
      <c r="J300" s="100">
        <v>325946.61596</v>
      </c>
      <c r="K300" s="100">
        <v>331944.11992</v>
      </c>
      <c r="L300" s="100">
        <v>337521.98123</v>
      </c>
      <c r="M300" s="100">
        <v>345025.70195</v>
      </c>
      <c r="N300" s="100">
        <v>351882.1022</v>
      </c>
    </row>
    <row r="301" spans="1:14" ht="12">
      <c r="A301" t="s">
        <v>396</v>
      </c>
      <c r="B301" s="100">
        <v>7345</v>
      </c>
      <c r="C301" s="100">
        <v>7626</v>
      </c>
      <c r="D301" s="100">
        <v>7866.8</v>
      </c>
      <c r="E301" s="100">
        <v>8419.5</v>
      </c>
      <c r="F301" s="100">
        <v>8856.2</v>
      </c>
      <c r="G301" s="100">
        <v>9346.8</v>
      </c>
      <c r="H301" s="100">
        <v>9939.4</v>
      </c>
      <c r="I301" s="100">
        <v>10166.6</v>
      </c>
      <c r="J301" s="100">
        <v>10790.3</v>
      </c>
      <c r="K301" s="100">
        <v>11121.6</v>
      </c>
      <c r="L301" s="100">
        <v>11216.1</v>
      </c>
      <c r="M301" s="100">
        <v>12332.9</v>
      </c>
      <c r="N301" s="100">
        <v>12869.1</v>
      </c>
    </row>
    <row r="302" spans="1:14" ht="12">
      <c r="A302" t="s">
        <v>397</v>
      </c>
      <c r="B302" s="100">
        <v>1380.471</v>
      </c>
      <c r="C302" s="100">
        <v>650.673</v>
      </c>
      <c r="D302" s="100">
        <v>1686.677</v>
      </c>
      <c r="E302" s="100">
        <v>1898.987</v>
      </c>
      <c r="F302" s="100">
        <v>2099.338</v>
      </c>
      <c r="G302" s="100">
        <v>2093.896</v>
      </c>
      <c r="H302" s="100">
        <v>2351.919</v>
      </c>
      <c r="I302" s="100">
        <v>2317.452</v>
      </c>
      <c r="J302" s="100">
        <v>2227.756</v>
      </c>
      <c r="K302" s="100">
        <v>2447.54</v>
      </c>
      <c r="L302" s="100">
        <v>2753.588</v>
      </c>
      <c r="M302" s="100">
        <v>2717.909</v>
      </c>
      <c r="N302" s="100">
        <v>2709.242</v>
      </c>
    </row>
    <row r="303" spans="1:14" ht="12">
      <c r="A303" t="s">
        <v>398</v>
      </c>
      <c r="B303" s="100">
        <v>107385</v>
      </c>
      <c r="C303" s="100">
        <v>113461</v>
      </c>
      <c r="D303" s="100">
        <v>126804</v>
      </c>
      <c r="E303" s="100">
        <v>135270</v>
      </c>
      <c r="F303" s="100">
        <v>139603</v>
      </c>
      <c r="G303" s="100">
        <v>138410</v>
      </c>
      <c r="H303" s="100">
        <v>146229</v>
      </c>
      <c r="I303" s="100">
        <v>148039</v>
      </c>
      <c r="J303" s="100">
        <v>149641</v>
      </c>
      <c r="K303" s="100">
        <v>152371</v>
      </c>
      <c r="L303" s="100">
        <v>155355</v>
      </c>
      <c r="M303" s="100">
        <v>157844</v>
      </c>
      <c r="N303" s="100">
        <v>163789</v>
      </c>
    </row>
    <row r="304" spans="1:14" ht="12">
      <c r="A304" t="s">
        <v>399</v>
      </c>
      <c r="B304" s="100">
        <v>56734</v>
      </c>
      <c r="C304" s="100">
        <v>59012</v>
      </c>
      <c r="D304" s="100">
        <v>59671</v>
      </c>
      <c r="E304" s="100">
        <v>63652</v>
      </c>
      <c r="F304" s="100">
        <v>66573</v>
      </c>
      <c r="G304" s="100">
        <v>70965</v>
      </c>
      <c r="H304" s="100">
        <v>71453</v>
      </c>
      <c r="I304" s="100">
        <v>73269</v>
      </c>
      <c r="J304" s="100">
        <v>75094</v>
      </c>
      <c r="K304" s="100">
        <v>75227</v>
      </c>
      <c r="L304" s="100">
        <v>75043</v>
      </c>
      <c r="M304" s="100">
        <v>76613</v>
      </c>
      <c r="N304" s="100">
        <v>76513</v>
      </c>
    </row>
    <row r="305" spans="1:14" ht="12">
      <c r="A305" t="s">
        <v>400</v>
      </c>
      <c r="B305" s="100">
        <v>62577</v>
      </c>
      <c r="C305" s="100">
        <v>65034</v>
      </c>
      <c r="D305" s="100">
        <v>69010</v>
      </c>
      <c r="E305" s="100">
        <v>72391</v>
      </c>
      <c r="F305" s="100">
        <v>77172</v>
      </c>
      <c r="G305" s="100">
        <v>84192</v>
      </c>
      <c r="H305" s="100">
        <v>91304</v>
      </c>
      <c r="I305" s="100">
        <v>92339</v>
      </c>
      <c r="J305" s="100">
        <v>95912</v>
      </c>
      <c r="K305" s="100">
        <v>99023</v>
      </c>
      <c r="L305" s="100">
        <v>100582</v>
      </c>
      <c r="M305" s="100">
        <v>104922</v>
      </c>
      <c r="N305" s="100">
        <v>108903</v>
      </c>
    </row>
    <row r="306" spans="1:14" ht="12">
      <c r="A306" t="s">
        <v>401</v>
      </c>
      <c r="B306" s="100">
        <v>315.2</v>
      </c>
      <c r="C306" s="100">
        <v>368</v>
      </c>
      <c r="D306" s="100">
        <v>396.2</v>
      </c>
      <c r="E306" s="100">
        <v>453.3</v>
      </c>
      <c r="F306" s="100">
        <v>439.1</v>
      </c>
      <c r="G306" s="100">
        <v>449.7</v>
      </c>
      <c r="H306" s="100">
        <v>486.8</v>
      </c>
      <c r="I306" s="100">
        <v>523.8</v>
      </c>
      <c r="J306" s="100">
        <v>565.2</v>
      </c>
      <c r="K306" s="100">
        <v>617.1</v>
      </c>
      <c r="L306" s="100">
        <v>624.2</v>
      </c>
      <c r="M306" s="100">
        <v>671</v>
      </c>
      <c r="N306" s="100">
        <v>719.3</v>
      </c>
    </row>
    <row r="307" spans="1:14" ht="12">
      <c r="A307" t="s">
        <v>402</v>
      </c>
      <c r="B307" s="100">
        <v>3424.34</v>
      </c>
      <c r="C307" s="100">
        <v>3872.31</v>
      </c>
      <c r="D307" s="100">
        <v>3969.82</v>
      </c>
      <c r="E307" s="100">
        <v>4222.08</v>
      </c>
      <c r="F307" s="100">
        <v>4576.41</v>
      </c>
      <c r="G307" s="100">
        <v>5284.28</v>
      </c>
      <c r="H307" s="100">
        <v>5162.65</v>
      </c>
      <c r="I307" s="100">
        <v>5057.13</v>
      </c>
      <c r="J307" s="100">
        <v>4867.71</v>
      </c>
      <c r="K307" s="100">
        <v>4834.93</v>
      </c>
      <c r="L307" s="100">
        <v>5359.83</v>
      </c>
      <c r="M307" s="100">
        <v>5443.26</v>
      </c>
      <c r="N307" s="100">
        <v>5504.21</v>
      </c>
    </row>
    <row r="308" spans="1:14" ht="12">
      <c r="A308" t="s">
        <v>403</v>
      </c>
      <c r="B308" s="100">
        <v>5324</v>
      </c>
      <c r="C308" s="100">
        <v>5643</v>
      </c>
      <c r="D308" s="100">
        <v>6617</v>
      </c>
      <c r="E308" s="100">
        <v>7254</v>
      </c>
      <c r="F308" s="100">
        <v>6804</v>
      </c>
      <c r="G308" s="100">
        <v>6882</v>
      </c>
      <c r="H308" s="100">
        <v>5943</v>
      </c>
      <c r="I308" s="100">
        <v>5396</v>
      </c>
      <c r="J308" s="100">
        <v>5125</v>
      </c>
      <c r="K308" s="100">
        <v>5002</v>
      </c>
      <c r="L308" s="100">
        <v>5193</v>
      </c>
      <c r="M308" s="100">
        <v>5482</v>
      </c>
      <c r="N308" s="100">
        <v>5471</v>
      </c>
    </row>
    <row r="309" spans="1:14" ht="12">
      <c r="A309" t="s">
        <v>404</v>
      </c>
      <c r="B309" s="100">
        <v>15843</v>
      </c>
      <c r="C309" s="100">
        <v>17871</v>
      </c>
      <c r="D309" s="100">
        <v>19706</v>
      </c>
      <c r="E309" s="100">
        <v>21366</v>
      </c>
      <c r="F309" s="100">
        <v>22672</v>
      </c>
      <c r="G309" s="100">
        <v>22852</v>
      </c>
      <c r="H309" s="100">
        <v>22460</v>
      </c>
      <c r="I309" s="100">
        <v>24135</v>
      </c>
      <c r="J309" s="100">
        <v>24037</v>
      </c>
      <c r="K309" s="100">
        <v>24253</v>
      </c>
      <c r="L309" s="100">
        <v>24213</v>
      </c>
      <c r="M309" s="100">
        <v>24529</v>
      </c>
      <c r="N309" s="100">
        <v>24405</v>
      </c>
    </row>
    <row r="310" spans="1:14" ht="12">
      <c r="A310" t="s">
        <v>405</v>
      </c>
      <c r="B310" s="100">
        <v>62676</v>
      </c>
      <c r="C310" s="100">
        <v>65192</v>
      </c>
      <c r="D310" s="100">
        <v>68541</v>
      </c>
      <c r="E310" s="100">
        <v>71262</v>
      </c>
      <c r="F310" s="100">
        <v>74020</v>
      </c>
      <c r="G310" s="100">
        <v>76498</v>
      </c>
      <c r="H310" s="100">
        <v>78305</v>
      </c>
      <c r="I310" s="100">
        <v>79750</v>
      </c>
      <c r="J310" s="100">
        <v>81656</v>
      </c>
      <c r="K310" s="100">
        <v>82772</v>
      </c>
      <c r="L310" s="100">
        <v>84270</v>
      </c>
      <c r="M310" s="100">
        <v>84551</v>
      </c>
      <c r="N310" s="100">
        <v>85449</v>
      </c>
    </row>
    <row r="311" spans="1:14" ht="12">
      <c r="A311" t="s">
        <v>406</v>
      </c>
      <c r="B311" s="100">
        <v>9802.49638</v>
      </c>
      <c r="C311" s="100">
        <v>10092.39425</v>
      </c>
      <c r="D311" s="100">
        <v>10246.21519</v>
      </c>
      <c r="E311" s="100">
        <v>12464.44363</v>
      </c>
      <c r="F311" s="100">
        <v>12176.43961</v>
      </c>
      <c r="G311" s="100">
        <v>11938.27433</v>
      </c>
      <c r="H311" s="100">
        <v>11662.63711</v>
      </c>
      <c r="I311" s="100">
        <v>12117.42922</v>
      </c>
      <c r="J311" s="100">
        <v>12459.04036</v>
      </c>
      <c r="K311" s="100">
        <v>12099.3364</v>
      </c>
      <c r="L311" s="100">
        <v>14067.38197</v>
      </c>
      <c r="M311" s="100">
        <v>14932.34997</v>
      </c>
      <c r="N311" s="100">
        <v>14521.44165</v>
      </c>
    </row>
    <row r="312" spans="1:14" ht="12">
      <c r="A312" t="s">
        <v>407</v>
      </c>
      <c r="B312" s="100">
        <v>28429</v>
      </c>
      <c r="C312" s="100">
        <v>28076</v>
      </c>
      <c r="D312" s="100">
        <v>29338</v>
      </c>
      <c r="E312" s="100">
        <v>30334</v>
      </c>
      <c r="F312" s="100">
        <v>31221</v>
      </c>
      <c r="G312" s="100">
        <v>32205</v>
      </c>
      <c r="H312" s="100">
        <v>33408</v>
      </c>
      <c r="I312" s="100">
        <v>34246</v>
      </c>
      <c r="J312" s="100">
        <v>36574</v>
      </c>
      <c r="K312" s="100">
        <v>37234</v>
      </c>
      <c r="L312" s="100">
        <v>38237</v>
      </c>
      <c r="M312" s="100">
        <v>37891</v>
      </c>
      <c r="N312" s="100">
        <v>38168</v>
      </c>
    </row>
    <row r="313" spans="1:14" ht="12">
      <c r="A313" t="s">
        <v>408</v>
      </c>
      <c r="B313" s="100">
        <v>446.6</v>
      </c>
      <c r="C313" s="100">
        <v>455.5</v>
      </c>
      <c r="D313" s="100">
        <v>561.7</v>
      </c>
      <c r="E313" s="100">
        <v>557.4</v>
      </c>
      <c r="F313" s="100">
        <v>477.9</v>
      </c>
      <c r="G313" s="100">
        <v>521.5</v>
      </c>
      <c r="H313" s="100">
        <v>505.4</v>
      </c>
      <c r="I313" s="100">
        <v>539.7</v>
      </c>
      <c r="J313" s="100">
        <v>507</v>
      </c>
      <c r="K313" s="100">
        <v>544.7</v>
      </c>
      <c r="L313" s="100">
        <v>577.5</v>
      </c>
      <c r="M313" s="100">
        <v>579.4</v>
      </c>
      <c r="N313" s="100">
        <v>632.4</v>
      </c>
    </row>
    <row r="314" spans="1:14" ht="12">
      <c r="A314" t="s">
        <v>409</v>
      </c>
      <c r="B314" s="100">
        <v>405.94</v>
      </c>
      <c r="C314" s="100">
        <v>539.02</v>
      </c>
      <c r="D314" s="100">
        <v>585.49</v>
      </c>
      <c r="E314" s="100">
        <v>657.37</v>
      </c>
      <c r="F314" s="100">
        <v>718.8</v>
      </c>
      <c r="G314" s="100">
        <v>689.32</v>
      </c>
      <c r="H314" s="100">
        <v>706.66</v>
      </c>
      <c r="I314" s="100">
        <v>755.63</v>
      </c>
      <c r="J314" s="100">
        <v>761.05</v>
      </c>
      <c r="K314" s="100">
        <v>799.24</v>
      </c>
      <c r="L314" s="100">
        <v>842.99</v>
      </c>
      <c r="M314" s="100">
        <v>851.22</v>
      </c>
      <c r="N314" s="100">
        <v>899.44</v>
      </c>
    </row>
    <row r="315" spans="1:14" ht="12">
      <c r="A315" t="s">
        <v>410</v>
      </c>
      <c r="B315" s="100">
        <v>363.52861</v>
      </c>
      <c r="C315" s="100">
        <v>317.61239</v>
      </c>
      <c r="D315" s="100">
        <v>421.69709</v>
      </c>
      <c r="E315" s="100">
        <v>581.36233</v>
      </c>
      <c r="F315" s="100">
        <v>570.48996</v>
      </c>
      <c r="G315" s="100">
        <v>608.17283</v>
      </c>
      <c r="H315" s="100">
        <v>556.08211</v>
      </c>
      <c r="I315" s="100">
        <v>617.71302</v>
      </c>
      <c r="J315" s="100">
        <v>709.47462</v>
      </c>
      <c r="K315" s="100">
        <v>760.29927</v>
      </c>
      <c r="L315" s="100">
        <v>768.62312</v>
      </c>
      <c r="M315" s="100">
        <v>800.28414</v>
      </c>
      <c r="N315" s="100">
        <v>817.88918</v>
      </c>
    </row>
    <row r="316" spans="1:14" ht="12">
      <c r="A316" t="s">
        <v>411</v>
      </c>
      <c r="B316" s="100">
        <v>873.60306</v>
      </c>
      <c r="C316" s="100">
        <v>924.64377</v>
      </c>
      <c r="D316" s="100">
        <v>976.53802</v>
      </c>
      <c r="E316" s="100">
        <v>1044.72705</v>
      </c>
      <c r="F316" s="100">
        <v>1127.17306</v>
      </c>
      <c r="G316" s="100">
        <v>1160.66625</v>
      </c>
      <c r="H316" s="100">
        <v>1163.02487</v>
      </c>
      <c r="I316" s="100">
        <v>1235.93049</v>
      </c>
      <c r="J316" s="100">
        <v>1319.64419</v>
      </c>
      <c r="K316" s="100">
        <v>1376.3735</v>
      </c>
      <c r="L316" s="100">
        <v>1479.02234</v>
      </c>
      <c r="M316" s="100">
        <v>1495.10077</v>
      </c>
      <c r="N316" s="100">
        <v>1538.3757</v>
      </c>
    </row>
    <row r="317" spans="1:14" ht="12">
      <c r="A317" t="s">
        <v>412</v>
      </c>
      <c r="B317" s="100">
        <v>658405</v>
      </c>
      <c r="C317" s="100">
        <v>762236</v>
      </c>
      <c r="D317" s="100">
        <v>801190</v>
      </c>
      <c r="E317" s="100">
        <v>841602</v>
      </c>
      <c r="F317" s="100">
        <v>848843</v>
      </c>
      <c r="G317" s="100">
        <v>861287</v>
      </c>
      <c r="H317" s="100">
        <v>848418</v>
      </c>
      <c r="I317" s="100">
        <v>896416</v>
      </c>
      <c r="J317" s="100">
        <v>1043645</v>
      </c>
      <c r="K317" s="100">
        <v>1078427.659</v>
      </c>
      <c r="L317" s="100">
        <v>1184195.568</v>
      </c>
      <c r="M317" s="100">
        <v>1167614.761</v>
      </c>
      <c r="N317" s="100">
        <v>1248071.3746</v>
      </c>
    </row>
    <row r="318" spans="1:14" ht="12">
      <c r="A318" t="s">
        <v>413</v>
      </c>
      <c r="B318" s="100">
        <v>120.90092</v>
      </c>
      <c r="C318" s="100">
        <v>124.56629</v>
      </c>
      <c r="D318" s="100">
        <v>139.31495</v>
      </c>
      <c r="E318" s="100">
        <v>191.16017</v>
      </c>
      <c r="F318" s="100">
        <v>164.1562</v>
      </c>
      <c r="G318" s="100">
        <v>154.29937</v>
      </c>
      <c r="H318" s="100">
        <v>162.25594</v>
      </c>
      <c r="I318" s="100">
        <v>156.51758</v>
      </c>
      <c r="J318" s="100">
        <v>180.82349</v>
      </c>
      <c r="K318" s="100">
        <v>183.33315</v>
      </c>
      <c r="L318" s="100">
        <v>252.46678</v>
      </c>
      <c r="M318" s="100">
        <v>398.94105</v>
      </c>
      <c r="N318" s="100">
        <v>605.06732</v>
      </c>
    </row>
    <row r="319" spans="1:14" ht="12">
      <c r="A319" t="s">
        <v>414</v>
      </c>
      <c r="B319" s="100">
        <v>19565</v>
      </c>
      <c r="C319" s="100">
        <v>20407</v>
      </c>
      <c r="D319" s="100">
        <v>21087</v>
      </c>
      <c r="E319" s="100">
        <v>21879</v>
      </c>
      <c r="F319" s="100">
        <v>22152</v>
      </c>
      <c r="G319" s="100">
        <v>22551</v>
      </c>
      <c r="H319" s="100">
        <v>22923</v>
      </c>
      <c r="I319" s="100">
        <v>22683</v>
      </c>
      <c r="J319" s="100">
        <v>22486</v>
      </c>
      <c r="K319" s="100">
        <v>22773</v>
      </c>
      <c r="L319" s="100">
        <v>23084</v>
      </c>
      <c r="M319" s="100">
        <v>23424</v>
      </c>
      <c r="N319" s="100">
        <v>23480</v>
      </c>
    </row>
    <row r="320" spans="1:14" ht="12">
      <c r="A320" t="s">
        <v>415</v>
      </c>
      <c r="B320" s="100">
        <v>10695.04</v>
      </c>
      <c r="C320" s="100">
        <v>11170.39</v>
      </c>
      <c r="D320" s="100">
        <v>11519.48</v>
      </c>
      <c r="E320" s="100">
        <v>12075.64</v>
      </c>
      <c r="F320" s="100">
        <v>12275.68</v>
      </c>
      <c r="G320" s="100">
        <v>12666.24</v>
      </c>
      <c r="H320" s="100">
        <v>13098.43</v>
      </c>
      <c r="I320" s="100">
        <v>13481.79</v>
      </c>
      <c r="J320" s="100">
        <v>13857.84</v>
      </c>
      <c r="K320" s="100">
        <v>14082.52</v>
      </c>
      <c r="L320" s="100">
        <v>14755.45</v>
      </c>
      <c r="M320" s="100">
        <v>15253.03</v>
      </c>
      <c r="N320" s="100">
        <v>15622.73</v>
      </c>
    </row>
    <row r="321" spans="1:14" ht="12">
      <c r="A321" t="s">
        <v>416</v>
      </c>
      <c r="B321" s="100">
        <v>32136</v>
      </c>
      <c r="C321" s="100">
        <v>32228</v>
      </c>
      <c r="D321" s="100">
        <v>33246</v>
      </c>
      <c r="E321" s="100">
        <v>36314</v>
      </c>
      <c r="F321" s="100">
        <v>36893</v>
      </c>
      <c r="G321" s="100">
        <v>38140</v>
      </c>
      <c r="H321" s="100">
        <v>38123</v>
      </c>
      <c r="I321" s="100">
        <v>40097</v>
      </c>
      <c r="J321" s="100">
        <v>39829</v>
      </c>
      <c r="K321" s="100">
        <v>43215.2</v>
      </c>
      <c r="L321" s="100">
        <v>43487.9</v>
      </c>
      <c r="M321" s="100">
        <v>44373</v>
      </c>
      <c r="N321" s="100">
        <v>46148</v>
      </c>
    </row>
    <row r="322" spans="1:14" ht="12">
      <c r="A322" t="s">
        <v>417</v>
      </c>
      <c r="B322" s="100">
        <v>5096.619</v>
      </c>
      <c r="C322" s="100">
        <v>5059.64</v>
      </c>
      <c r="D322" s="100">
        <v>5785.846</v>
      </c>
      <c r="E322" s="100">
        <v>6325.856</v>
      </c>
      <c r="F322" s="100">
        <v>6531.805</v>
      </c>
      <c r="G322" s="100">
        <v>6584.176</v>
      </c>
      <c r="H322" s="100">
        <v>6380.735</v>
      </c>
      <c r="I322" s="100">
        <v>6495.44</v>
      </c>
      <c r="J322" s="100">
        <v>6474.024</v>
      </c>
      <c r="K322" s="100">
        <v>6314.582</v>
      </c>
      <c r="L322" s="100">
        <v>6380.827</v>
      </c>
      <c r="M322" s="100">
        <v>6625.483</v>
      </c>
      <c r="N322" s="100">
        <v>6752.311</v>
      </c>
    </row>
    <row r="323" spans="1:14" ht="12">
      <c r="A323" t="s">
        <v>418</v>
      </c>
      <c r="B323" s="100">
        <v>5029.5</v>
      </c>
      <c r="C323" s="100">
        <v>6806.6</v>
      </c>
      <c r="D323" s="100">
        <v>12052.4</v>
      </c>
      <c r="E323" s="100">
        <v>15141.4</v>
      </c>
      <c r="F323" s="100">
        <v>13973</v>
      </c>
      <c r="G323" s="100">
        <v>13935.5</v>
      </c>
      <c r="H323" s="100">
        <v>15757.8</v>
      </c>
      <c r="I323" s="100">
        <v>13180.9</v>
      </c>
      <c r="J323" s="100">
        <v>16038.6</v>
      </c>
      <c r="K323" s="100">
        <v>13539.2</v>
      </c>
      <c r="L323" s="100">
        <v>16563.7</v>
      </c>
      <c r="M323" s="100">
        <v>15541</v>
      </c>
      <c r="N323" s="100">
        <v>17285.8</v>
      </c>
    </row>
    <row r="324" spans="1:14" ht="12">
      <c r="A324" t="s">
        <v>419</v>
      </c>
      <c r="B324" s="100">
        <v>949.94</v>
      </c>
      <c r="C324" s="100">
        <v>983.77</v>
      </c>
      <c r="D324" s="100">
        <v>1031.5</v>
      </c>
      <c r="E324" s="100">
        <v>1151.47</v>
      </c>
      <c r="F324" s="100">
        <v>1165.55</v>
      </c>
      <c r="G324" s="100">
        <v>1384.65</v>
      </c>
      <c r="H324" s="100">
        <v>1555.39</v>
      </c>
      <c r="I324" s="100">
        <v>1546.48</v>
      </c>
      <c r="J324" s="100">
        <v>1554.69</v>
      </c>
      <c r="K324" s="100">
        <v>1532.29</v>
      </c>
      <c r="L324" s="100">
        <v>1541.67</v>
      </c>
      <c r="M324" s="100">
        <v>1573.42</v>
      </c>
      <c r="N324" s="100">
        <v>1650.54</v>
      </c>
    </row>
    <row r="325" spans="1:14" ht="12">
      <c r="A325" t="s">
        <v>420</v>
      </c>
      <c r="B325" s="100">
        <v>1415.078</v>
      </c>
      <c r="C325" s="100">
        <v>1581.46</v>
      </c>
      <c r="D325" s="100">
        <v>1873.056</v>
      </c>
      <c r="E325" s="100">
        <v>1705.797</v>
      </c>
      <c r="F325" s="100">
        <v>2050.065</v>
      </c>
      <c r="G325" s="100">
        <v>2201.925</v>
      </c>
      <c r="H325" s="100">
        <v>2526.605</v>
      </c>
      <c r="I325" s="100">
        <v>2929.528</v>
      </c>
      <c r="J325" s="100">
        <v>3233.445</v>
      </c>
      <c r="K325" s="100">
        <v>3290.152</v>
      </c>
      <c r="L325" s="100">
        <v>3482.302</v>
      </c>
      <c r="M325" s="100">
        <v>3555.663</v>
      </c>
      <c r="N325" s="100">
        <v>3597.739</v>
      </c>
    </row>
    <row r="326" spans="1:14" ht="12">
      <c r="A326" t="s">
        <v>421</v>
      </c>
      <c r="B326" s="100">
        <v>9735</v>
      </c>
      <c r="C326" s="100">
        <v>10279</v>
      </c>
      <c r="D326" s="100">
        <v>10909</v>
      </c>
      <c r="E326" s="100">
        <v>11984</v>
      </c>
      <c r="F326" s="100">
        <v>12631</v>
      </c>
      <c r="G326" s="100">
        <v>13697</v>
      </c>
      <c r="H326" s="100">
        <v>14378</v>
      </c>
      <c r="I326" s="100">
        <v>14896</v>
      </c>
      <c r="J326" s="100">
        <v>15334</v>
      </c>
      <c r="K326" s="100">
        <v>15430</v>
      </c>
      <c r="L326" s="100">
        <v>14662</v>
      </c>
      <c r="M326" s="100">
        <v>14647</v>
      </c>
      <c r="N326" s="100">
        <v>14797</v>
      </c>
    </row>
    <row r="327" spans="1:14" ht="12">
      <c r="A327" t="s">
        <v>422</v>
      </c>
      <c r="B327" s="100">
        <v>125836</v>
      </c>
      <c r="C327" s="100">
        <v>129690</v>
      </c>
      <c r="D327" s="100">
        <v>137347</v>
      </c>
      <c r="E327" s="100">
        <v>145724</v>
      </c>
      <c r="F327" s="100">
        <v>146678</v>
      </c>
      <c r="G327" s="100">
        <v>152061</v>
      </c>
      <c r="H327" s="100">
        <v>154528</v>
      </c>
      <c r="I327" s="100">
        <v>156209</v>
      </c>
      <c r="J327" s="100">
        <v>158035</v>
      </c>
      <c r="K327" s="100">
        <v>161166</v>
      </c>
      <c r="L327" s="100">
        <v>163461</v>
      </c>
      <c r="M327" s="100">
        <v>167545</v>
      </c>
      <c r="N327" s="100">
        <v>170049</v>
      </c>
    </row>
    <row r="328" spans="1:14" ht="12">
      <c r="A328" t="s">
        <v>423</v>
      </c>
      <c r="B328" s="100">
        <v>31980</v>
      </c>
      <c r="C328" s="100">
        <v>37001</v>
      </c>
      <c r="D328" s="100">
        <v>39737</v>
      </c>
      <c r="E328" s="100">
        <v>41149</v>
      </c>
      <c r="F328" s="100">
        <v>44429</v>
      </c>
      <c r="G328" s="100">
        <v>45117</v>
      </c>
      <c r="H328" s="100">
        <v>42956</v>
      </c>
      <c r="I328" s="100">
        <v>41071</v>
      </c>
      <c r="J328" s="100">
        <v>43621</v>
      </c>
      <c r="K328" s="100">
        <v>45149</v>
      </c>
      <c r="L328" s="100">
        <v>46734</v>
      </c>
      <c r="M328" s="100">
        <v>48012</v>
      </c>
      <c r="N328" s="100">
        <v>50285</v>
      </c>
    </row>
    <row r="329" spans="1:14" ht="12">
      <c r="A329" t="s">
        <v>424</v>
      </c>
      <c r="B329" s="100">
        <v>35920.65532</v>
      </c>
      <c r="C329" s="100">
        <v>37605.03787</v>
      </c>
      <c r="D329" s="100">
        <v>41029.31764</v>
      </c>
      <c r="E329" s="100">
        <v>47491.26947</v>
      </c>
      <c r="F329" s="100">
        <v>46484.80488</v>
      </c>
      <c r="G329" s="100">
        <v>48930.28309</v>
      </c>
      <c r="H329" s="100">
        <v>49786.81967</v>
      </c>
      <c r="I329" s="100">
        <v>56583.80537</v>
      </c>
      <c r="J329" s="100">
        <v>57455.09079</v>
      </c>
      <c r="K329" s="100">
        <v>60840.16635</v>
      </c>
      <c r="L329" s="100">
        <v>66591.78163</v>
      </c>
      <c r="M329" s="100">
        <v>68546.58237</v>
      </c>
      <c r="N329" s="100">
        <v>72123.04039</v>
      </c>
    </row>
    <row r="330" spans="1:14" ht="12">
      <c r="A330" t="s">
        <v>425</v>
      </c>
      <c r="B330" s="100">
        <v>62549</v>
      </c>
      <c r="C330" s="100">
        <v>65388</v>
      </c>
      <c r="D330" s="100">
        <v>74618</v>
      </c>
      <c r="E330" s="100">
        <v>78645</v>
      </c>
      <c r="F330" s="100">
        <v>83004</v>
      </c>
      <c r="G330" s="100">
        <v>88988</v>
      </c>
      <c r="H330" s="100">
        <v>93100</v>
      </c>
      <c r="I330" s="100">
        <v>97882</v>
      </c>
      <c r="J330" s="100">
        <v>102881</v>
      </c>
      <c r="K330" s="100">
        <v>108311</v>
      </c>
      <c r="L330" s="100">
        <v>114980</v>
      </c>
      <c r="M330" s="100">
        <v>119572</v>
      </c>
      <c r="N330" s="100">
        <v>124410</v>
      </c>
    </row>
    <row r="331" spans="1:14" ht="12">
      <c r="A331" t="s">
        <v>426</v>
      </c>
      <c r="B331" s="100">
        <v>18711.93864</v>
      </c>
      <c r="C331" s="100">
        <v>19606.27327</v>
      </c>
      <c r="D331" s="100">
        <v>20476.7889</v>
      </c>
      <c r="E331" s="100">
        <v>22143.9806</v>
      </c>
      <c r="F331" s="100">
        <v>22861.00571</v>
      </c>
      <c r="G331" s="100">
        <v>23633.93769</v>
      </c>
      <c r="H331" s="100">
        <v>24006.86872</v>
      </c>
      <c r="I331" s="100">
        <v>25545.57061</v>
      </c>
      <c r="J331" s="100">
        <v>26640.91035</v>
      </c>
      <c r="K331" s="100">
        <v>27402.85677</v>
      </c>
      <c r="L331" s="100">
        <v>28387.11232</v>
      </c>
      <c r="M331" s="100">
        <v>29287.75483</v>
      </c>
      <c r="N331" s="100" t="s">
        <v>163</v>
      </c>
    </row>
    <row r="332" spans="1:14" ht="12">
      <c r="A332" t="s">
        <v>427</v>
      </c>
      <c r="B332" s="100">
        <v>97499.90767</v>
      </c>
      <c r="C332" s="100">
        <v>114622.38212</v>
      </c>
      <c r="D332" s="100">
        <v>131445.7446</v>
      </c>
      <c r="E332" s="100">
        <v>146861.18021</v>
      </c>
      <c r="F332" s="100">
        <v>129345.52448</v>
      </c>
      <c r="G332" s="100">
        <v>125472.39478</v>
      </c>
      <c r="H332" s="100">
        <v>138292.58079</v>
      </c>
      <c r="I332" s="100">
        <v>139929.87036</v>
      </c>
      <c r="J332" s="100">
        <v>158729.88363</v>
      </c>
      <c r="K332" s="100">
        <v>140538.22843</v>
      </c>
      <c r="L332" s="100">
        <v>130307.21578</v>
      </c>
      <c r="M332" s="100">
        <v>120332.32319</v>
      </c>
      <c r="N332" s="100">
        <v>118568.55297</v>
      </c>
    </row>
    <row r="333" spans="1:14" ht="12">
      <c r="A333" t="s">
        <v>428</v>
      </c>
      <c r="B333" s="100">
        <v>69882.82968</v>
      </c>
      <c r="C333" s="100">
        <v>84542.84731</v>
      </c>
      <c r="D333" s="100">
        <v>95249.67181</v>
      </c>
      <c r="E333" s="100">
        <v>107325.01922</v>
      </c>
      <c r="F333" s="100">
        <v>99322.87915</v>
      </c>
      <c r="G333" s="100">
        <v>95783.24065</v>
      </c>
      <c r="H333" s="100">
        <v>105671.96619</v>
      </c>
      <c r="I333" s="100">
        <v>103056.3394</v>
      </c>
      <c r="J333" s="100">
        <v>103906.08725</v>
      </c>
      <c r="K333" s="100">
        <v>100115.86266</v>
      </c>
      <c r="L333" s="100">
        <v>88112.47984</v>
      </c>
      <c r="M333" s="100">
        <v>80517.01516</v>
      </c>
      <c r="N333" s="100">
        <v>78199.80591</v>
      </c>
    </row>
    <row r="334" spans="1:14" ht="12">
      <c r="A334" t="s">
        <v>429</v>
      </c>
      <c r="B334" s="100">
        <v>2528.5</v>
      </c>
      <c r="C334" s="100">
        <v>2802</v>
      </c>
      <c r="D334" s="100">
        <v>3107.8</v>
      </c>
      <c r="E334" s="100">
        <v>3672.9</v>
      </c>
      <c r="F334" s="100">
        <v>3150.4</v>
      </c>
      <c r="G334" s="100">
        <v>3743.4</v>
      </c>
      <c r="H334" s="100">
        <v>4667.2</v>
      </c>
      <c r="I334" s="100">
        <v>4710.4</v>
      </c>
      <c r="J334" s="100">
        <v>5065.1</v>
      </c>
      <c r="K334" s="100">
        <v>4032.6</v>
      </c>
      <c r="L334" s="100">
        <v>3607.6</v>
      </c>
      <c r="M334" s="100">
        <v>3790.5</v>
      </c>
      <c r="N334" s="100">
        <v>3852.4</v>
      </c>
    </row>
    <row r="335" spans="1:14" ht="12">
      <c r="A335" t="s">
        <v>430</v>
      </c>
      <c r="B335" s="100">
        <v>667.018</v>
      </c>
      <c r="C335" s="100">
        <v>678.094</v>
      </c>
      <c r="D335" s="100">
        <v>810.32</v>
      </c>
      <c r="E335" s="100">
        <v>1234.906</v>
      </c>
      <c r="F335" s="100">
        <v>859.158</v>
      </c>
      <c r="G335" s="100">
        <v>854.491</v>
      </c>
      <c r="H335" s="100">
        <v>700.963</v>
      </c>
      <c r="I335" s="100">
        <v>908.151</v>
      </c>
      <c r="J335" s="100">
        <v>834.537</v>
      </c>
      <c r="K335" s="100">
        <v>705.824</v>
      </c>
      <c r="L335" s="100">
        <v>718.287</v>
      </c>
      <c r="M335" s="100">
        <v>797.912</v>
      </c>
      <c r="N335" s="100">
        <v>784.858</v>
      </c>
    </row>
    <row r="336" spans="1:14" ht="12">
      <c r="A336" t="s">
        <v>431</v>
      </c>
      <c r="B336" s="100">
        <v>23510</v>
      </c>
      <c r="C336" s="100">
        <v>28885</v>
      </c>
      <c r="D336" s="100">
        <v>31135</v>
      </c>
      <c r="E336" s="100">
        <v>36340</v>
      </c>
      <c r="F336" s="100">
        <v>37796</v>
      </c>
      <c r="G336" s="100">
        <v>37597</v>
      </c>
      <c r="H336" s="100">
        <v>34985</v>
      </c>
      <c r="I336" s="100">
        <v>35273</v>
      </c>
      <c r="J336" s="100">
        <v>37753</v>
      </c>
      <c r="K336" s="100">
        <v>37426</v>
      </c>
      <c r="L336" s="100">
        <v>37256</v>
      </c>
      <c r="M336" s="100">
        <v>37587</v>
      </c>
      <c r="N336" s="100">
        <v>30775</v>
      </c>
    </row>
    <row r="337" spans="1:14" ht="12">
      <c r="A337" t="s">
        <v>432</v>
      </c>
      <c r="B337" s="100">
        <v>33712</v>
      </c>
      <c r="C337" s="100">
        <v>39751</v>
      </c>
      <c r="D337" s="100">
        <v>41215</v>
      </c>
      <c r="E337" s="100">
        <v>50299</v>
      </c>
      <c r="F337" s="100">
        <v>41378</v>
      </c>
      <c r="G337" s="100">
        <v>42574</v>
      </c>
      <c r="H337" s="100">
        <v>47943</v>
      </c>
      <c r="I337" s="100">
        <v>43830</v>
      </c>
      <c r="J337" s="100">
        <v>37993</v>
      </c>
      <c r="K337" s="100">
        <v>30003</v>
      </c>
      <c r="L337" s="100">
        <v>20107</v>
      </c>
      <c r="M337" s="100">
        <v>19350</v>
      </c>
      <c r="N337" s="100">
        <v>21993</v>
      </c>
    </row>
    <row r="338" spans="1:14" ht="12">
      <c r="A338" t="s">
        <v>433</v>
      </c>
      <c r="B338" s="100">
        <v>14059</v>
      </c>
      <c r="C338" s="100">
        <v>17586</v>
      </c>
      <c r="D338" s="100">
        <v>18687</v>
      </c>
      <c r="E338" s="100">
        <v>19877</v>
      </c>
      <c r="F338" s="100">
        <v>20887</v>
      </c>
      <c r="G338" s="100">
        <v>19382</v>
      </c>
      <c r="H338" s="100">
        <v>25730</v>
      </c>
      <c r="I338" s="100">
        <v>23520</v>
      </c>
      <c r="J338" s="100">
        <v>21165</v>
      </c>
      <c r="K338" s="100">
        <v>25215</v>
      </c>
      <c r="L338" s="100">
        <v>21338</v>
      </c>
      <c r="M338" s="100">
        <v>18056</v>
      </c>
      <c r="N338" s="100">
        <v>16925</v>
      </c>
    </row>
    <row r="339" spans="1:14" ht="12">
      <c r="A339" t="s">
        <v>434</v>
      </c>
      <c r="B339" s="100">
        <v>123.1</v>
      </c>
      <c r="C339" s="100">
        <v>172.4</v>
      </c>
      <c r="D339" s="100">
        <v>242.7</v>
      </c>
      <c r="E339" s="100">
        <v>244.4</v>
      </c>
      <c r="F339" s="100">
        <v>324.5</v>
      </c>
      <c r="G339" s="100">
        <v>225.4</v>
      </c>
      <c r="H339" s="100">
        <v>195.6</v>
      </c>
      <c r="I339" s="100">
        <v>243.5</v>
      </c>
      <c r="J339" s="100">
        <v>206.4</v>
      </c>
      <c r="K339" s="100">
        <v>254.2</v>
      </c>
      <c r="L339" s="100">
        <v>233.9</v>
      </c>
      <c r="M339" s="100">
        <v>175.2</v>
      </c>
      <c r="N339" s="100">
        <v>229</v>
      </c>
    </row>
    <row r="340" spans="1:14" ht="12">
      <c r="A340" t="s">
        <v>435</v>
      </c>
      <c r="B340" s="100">
        <v>939.96</v>
      </c>
      <c r="C340" s="100">
        <v>1255.27</v>
      </c>
      <c r="D340" s="100">
        <v>1610.38</v>
      </c>
      <c r="E340" s="100">
        <v>2166.97</v>
      </c>
      <c r="F340" s="100">
        <v>2001.61</v>
      </c>
      <c r="G340" s="100">
        <v>2128.92</v>
      </c>
      <c r="H340" s="100">
        <v>2471.14</v>
      </c>
      <c r="I340" s="100">
        <v>3064.6</v>
      </c>
      <c r="J340" s="100">
        <v>3271.98</v>
      </c>
      <c r="K340" s="100">
        <v>3069.15</v>
      </c>
      <c r="L340" s="100">
        <v>2711.31</v>
      </c>
      <c r="M340" s="100">
        <v>1822.11</v>
      </c>
      <c r="N340" s="100">
        <v>1770.28</v>
      </c>
    </row>
    <row r="341" spans="1:14" ht="12">
      <c r="A341" t="s">
        <v>436</v>
      </c>
      <c r="B341" s="100">
        <v>1372</v>
      </c>
      <c r="C341" s="100">
        <v>1412</v>
      </c>
      <c r="D341" s="100">
        <v>1955</v>
      </c>
      <c r="E341" s="100">
        <v>1843</v>
      </c>
      <c r="F341" s="100">
        <v>1628</v>
      </c>
      <c r="G341" s="100">
        <v>1514</v>
      </c>
      <c r="H341" s="100">
        <v>1489</v>
      </c>
      <c r="I341" s="100">
        <v>1578</v>
      </c>
      <c r="J341" s="100">
        <v>1119</v>
      </c>
      <c r="K341" s="100">
        <v>822</v>
      </c>
      <c r="L341" s="100">
        <v>751</v>
      </c>
      <c r="M341" s="100">
        <v>1018</v>
      </c>
      <c r="N341" s="100">
        <v>847</v>
      </c>
    </row>
    <row r="342" spans="1:14" ht="12">
      <c r="A342" t="s">
        <v>437</v>
      </c>
      <c r="B342" s="100">
        <v>5959</v>
      </c>
      <c r="C342" s="100">
        <v>7832</v>
      </c>
      <c r="D342" s="100">
        <v>10421</v>
      </c>
      <c r="E342" s="100">
        <v>11420</v>
      </c>
      <c r="F342" s="100">
        <v>10397</v>
      </c>
      <c r="G342" s="100">
        <v>9482</v>
      </c>
      <c r="H342" s="100">
        <v>10140</v>
      </c>
      <c r="I342" s="100">
        <v>10659</v>
      </c>
      <c r="J342" s="100">
        <v>11587</v>
      </c>
      <c r="K342" s="100">
        <v>10360</v>
      </c>
      <c r="L342" s="100">
        <v>8851</v>
      </c>
      <c r="M342" s="100">
        <v>8301</v>
      </c>
      <c r="N342" s="100">
        <v>7242</v>
      </c>
    </row>
    <row r="343" spans="1:14" ht="12">
      <c r="A343" t="s">
        <v>438</v>
      </c>
      <c r="B343" s="100">
        <v>13070</v>
      </c>
      <c r="C343" s="100">
        <v>15292</v>
      </c>
      <c r="D343" s="100">
        <v>18208</v>
      </c>
      <c r="E343" s="100">
        <v>20309</v>
      </c>
      <c r="F343" s="100">
        <v>19117</v>
      </c>
      <c r="G343" s="100">
        <v>18972</v>
      </c>
      <c r="H343" s="100">
        <v>19402</v>
      </c>
      <c r="I343" s="100">
        <v>16277</v>
      </c>
      <c r="J343" s="100">
        <v>15320</v>
      </c>
      <c r="K343" s="100">
        <v>15294</v>
      </c>
      <c r="L343" s="100">
        <v>15385</v>
      </c>
      <c r="M343" s="100">
        <v>15026</v>
      </c>
      <c r="N343" s="100">
        <v>15270</v>
      </c>
    </row>
    <row r="344" spans="1:14" ht="12">
      <c r="A344" t="s">
        <v>439</v>
      </c>
      <c r="B344" s="100">
        <v>3486.94442</v>
      </c>
      <c r="C344" s="100">
        <v>3691.62467</v>
      </c>
      <c r="D344" s="100">
        <v>3892.70825</v>
      </c>
      <c r="E344" s="100">
        <v>3938.38398</v>
      </c>
      <c r="F344" s="100">
        <v>4214.35584</v>
      </c>
      <c r="G344" s="100">
        <v>2867.87453</v>
      </c>
      <c r="H344" s="100">
        <v>2709.98274</v>
      </c>
      <c r="I344" s="100">
        <v>2702.7557</v>
      </c>
      <c r="J344" s="100">
        <v>3010.31881</v>
      </c>
      <c r="K344" s="100">
        <v>4680.47098</v>
      </c>
      <c r="L344" s="100">
        <v>4251.47538</v>
      </c>
      <c r="M344" s="100">
        <v>4354.66973</v>
      </c>
      <c r="N344" s="100">
        <v>4458.86356</v>
      </c>
    </row>
    <row r="345" spans="1:14" ht="12">
      <c r="A345" t="s">
        <v>440</v>
      </c>
      <c r="B345" s="100">
        <v>8160</v>
      </c>
      <c r="C345" s="100">
        <v>9765</v>
      </c>
      <c r="D345" s="100">
        <v>9992</v>
      </c>
      <c r="E345" s="100">
        <v>9896</v>
      </c>
      <c r="F345" s="100">
        <v>8231</v>
      </c>
      <c r="G345" s="100">
        <v>9526</v>
      </c>
      <c r="H345" s="100">
        <v>10649</v>
      </c>
      <c r="I345" s="100">
        <v>9013</v>
      </c>
      <c r="J345" s="100">
        <v>10760</v>
      </c>
      <c r="K345" s="100">
        <v>11866</v>
      </c>
      <c r="L345" s="100">
        <v>11135</v>
      </c>
      <c r="M345" s="100">
        <v>11293</v>
      </c>
      <c r="N345" s="100">
        <v>11734</v>
      </c>
    </row>
    <row r="346" spans="1:14" ht="12">
      <c r="A346" t="s">
        <v>441</v>
      </c>
      <c r="B346" s="100">
        <v>134.4</v>
      </c>
      <c r="C346" s="100">
        <v>167.2</v>
      </c>
      <c r="D346" s="100">
        <v>113.3</v>
      </c>
      <c r="E346" s="100">
        <v>136.1</v>
      </c>
      <c r="F346" s="100">
        <v>167</v>
      </c>
      <c r="G346" s="100">
        <v>265.1</v>
      </c>
      <c r="H346" s="100">
        <v>159.3</v>
      </c>
      <c r="I346" s="100">
        <v>136.7</v>
      </c>
      <c r="J346" s="100">
        <v>119</v>
      </c>
      <c r="K346" s="100">
        <v>278</v>
      </c>
      <c r="L346" s="100">
        <v>238.7</v>
      </c>
      <c r="M346" s="100">
        <v>191.9</v>
      </c>
      <c r="N346" s="100">
        <v>145.8</v>
      </c>
    </row>
    <row r="347" spans="1:14" ht="12">
      <c r="A347" t="s">
        <v>442</v>
      </c>
      <c r="B347" s="100">
        <v>80.75</v>
      </c>
      <c r="C347" s="100">
        <v>92.23</v>
      </c>
      <c r="D347" s="100">
        <v>126.33</v>
      </c>
      <c r="E347" s="100">
        <v>212.92</v>
      </c>
      <c r="F347" s="100">
        <v>300.64</v>
      </c>
      <c r="G347" s="100">
        <v>229.65</v>
      </c>
      <c r="H347" s="100">
        <v>260.07</v>
      </c>
      <c r="I347" s="100">
        <v>252.09</v>
      </c>
      <c r="J347" s="100">
        <v>232.22</v>
      </c>
      <c r="K347" s="100">
        <v>192.82</v>
      </c>
      <c r="L347" s="100">
        <v>216.26</v>
      </c>
      <c r="M347" s="100">
        <v>229.4</v>
      </c>
      <c r="N347" s="100">
        <v>224.89</v>
      </c>
    </row>
    <row r="348" spans="1:14" ht="12">
      <c r="A348" t="s">
        <v>443</v>
      </c>
      <c r="B348" s="100">
        <v>161.31603</v>
      </c>
      <c r="C348" s="100">
        <v>144.06682</v>
      </c>
      <c r="D348" s="100">
        <v>172.16582</v>
      </c>
      <c r="E348" s="100">
        <v>198.48713</v>
      </c>
      <c r="F348" s="100">
        <v>167.55214</v>
      </c>
      <c r="G348" s="100">
        <v>192.29688</v>
      </c>
      <c r="H348" s="100">
        <v>172.40636</v>
      </c>
      <c r="I348" s="100">
        <v>203.12356</v>
      </c>
      <c r="J348" s="100">
        <v>128.08345</v>
      </c>
      <c r="K348" s="100">
        <v>137.41342</v>
      </c>
      <c r="L348" s="100">
        <v>148.58431</v>
      </c>
      <c r="M348" s="100">
        <v>188.26389</v>
      </c>
      <c r="N348" s="100">
        <v>149.011</v>
      </c>
    </row>
    <row r="349" spans="1:14" ht="12">
      <c r="A349" t="s">
        <v>444</v>
      </c>
      <c r="B349" s="100">
        <v>378.86406</v>
      </c>
      <c r="C349" s="100">
        <v>538.67517</v>
      </c>
      <c r="D349" s="100">
        <v>648.37839</v>
      </c>
      <c r="E349" s="100">
        <v>787.36941</v>
      </c>
      <c r="F349" s="100">
        <v>549.58981</v>
      </c>
      <c r="G349" s="100">
        <v>599.96224</v>
      </c>
      <c r="H349" s="100">
        <v>675.87854</v>
      </c>
      <c r="I349" s="100">
        <v>704.85914</v>
      </c>
      <c r="J349" s="100">
        <v>686.07076</v>
      </c>
      <c r="K349" s="100">
        <v>713.06195</v>
      </c>
      <c r="L349" s="100">
        <v>696.43998</v>
      </c>
      <c r="M349" s="100">
        <v>696.23442</v>
      </c>
      <c r="N349" s="100">
        <v>739.05756</v>
      </c>
    </row>
    <row r="350" spans="1:14" ht="12">
      <c r="A350" t="s">
        <v>445</v>
      </c>
      <c r="B350" s="100">
        <v>188556</v>
      </c>
      <c r="C350" s="100">
        <v>247144</v>
      </c>
      <c r="D350" s="100">
        <v>233194</v>
      </c>
      <c r="E350" s="100">
        <v>292715</v>
      </c>
      <c r="F350" s="100">
        <v>324928</v>
      </c>
      <c r="G350" s="100">
        <v>295743</v>
      </c>
      <c r="H350" s="100">
        <v>306564</v>
      </c>
      <c r="I350" s="100">
        <v>304814</v>
      </c>
      <c r="J350" s="100">
        <v>227488</v>
      </c>
      <c r="K350" s="100">
        <v>225049.106</v>
      </c>
      <c r="L350" s="100">
        <v>164275.355</v>
      </c>
      <c r="M350" s="100">
        <v>166458.97239</v>
      </c>
      <c r="N350" s="100">
        <v>141236.63151</v>
      </c>
    </row>
    <row r="351" spans="1:14" ht="12">
      <c r="A351" t="s">
        <v>446</v>
      </c>
      <c r="B351" s="100">
        <v>76.62059</v>
      </c>
      <c r="C351" s="100">
        <v>73.9664</v>
      </c>
      <c r="D351" s="100">
        <v>83.68993</v>
      </c>
      <c r="E351" s="100">
        <v>76.92376</v>
      </c>
      <c r="F351" s="100">
        <v>75.99104</v>
      </c>
      <c r="G351" s="100">
        <v>92.72204</v>
      </c>
      <c r="H351" s="100">
        <v>87.24249</v>
      </c>
      <c r="I351" s="100">
        <v>93.95487</v>
      </c>
      <c r="J351" s="100">
        <v>101.45039</v>
      </c>
      <c r="K351" s="100">
        <v>95.34229</v>
      </c>
      <c r="L351" s="100">
        <v>101.95555</v>
      </c>
      <c r="M351" s="100">
        <v>90.11885</v>
      </c>
      <c r="N351" s="100">
        <v>85.22534</v>
      </c>
    </row>
    <row r="352" spans="1:14" ht="12">
      <c r="A352" t="s">
        <v>447</v>
      </c>
      <c r="B352" s="100">
        <v>11891</v>
      </c>
      <c r="C352" s="100">
        <v>15077</v>
      </c>
      <c r="D352" s="100">
        <v>15327</v>
      </c>
      <c r="E352" s="100">
        <v>21054</v>
      </c>
      <c r="F352" s="100">
        <v>18369</v>
      </c>
      <c r="G352" s="100">
        <v>16558</v>
      </c>
      <c r="H352" s="100">
        <v>15868</v>
      </c>
      <c r="I352" s="100">
        <v>18914</v>
      </c>
      <c r="J352" s="100">
        <v>20635</v>
      </c>
      <c r="K352" s="100">
        <v>15280</v>
      </c>
      <c r="L352" s="100">
        <v>10465</v>
      </c>
      <c r="M352" s="100">
        <v>7757</v>
      </c>
      <c r="N352" s="100">
        <v>7236</v>
      </c>
    </row>
    <row r="353" spans="1:14" ht="12">
      <c r="A353" t="s">
        <v>448</v>
      </c>
      <c r="B353" s="100">
        <v>3527.71</v>
      </c>
      <c r="C353" s="100">
        <v>3524.61</v>
      </c>
      <c r="D353" s="100">
        <v>4104.16</v>
      </c>
      <c r="E353" s="100">
        <v>3460.94</v>
      </c>
      <c r="F353" s="100">
        <v>4256.95</v>
      </c>
      <c r="G353" s="100">
        <v>3971.5</v>
      </c>
      <c r="H353" s="100">
        <v>3987.41</v>
      </c>
      <c r="I353" s="100">
        <v>3770.29</v>
      </c>
      <c r="J353" s="100">
        <v>3638.96</v>
      </c>
      <c r="K353" s="100">
        <v>3500.32</v>
      </c>
      <c r="L353" s="100">
        <v>3333.61</v>
      </c>
      <c r="M353" s="100">
        <v>3227.84</v>
      </c>
      <c r="N353" s="100">
        <v>3099.29</v>
      </c>
    </row>
    <row r="354" spans="1:14" ht="12">
      <c r="A354" t="s">
        <v>449</v>
      </c>
      <c r="B354" s="100">
        <v>11083.1</v>
      </c>
      <c r="C354" s="100">
        <v>12337</v>
      </c>
      <c r="D354" s="100">
        <v>16030</v>
      </c>
      <c r="E354" s="100">
        <v>15501</v>
      </c>
      <c r="F354" s="100">
        <v>15865</v>
      </c>
      <c r="G354" s="100">
        <v>13737</v>
      </c>
      <c r="H354" s="100">
        <v>14768</v>
      </c>
      <c r="I354" s="100">
        <v>18972</v>
      </c>
      <c r="J354" s="100">
        <v>16687</v>
      </c>
      <c r="K354" s="100">
        <v>12846.37</v>
      </c>
      <c r="L354" s="100">
        <v>14272.7</v>
      </c>
      <c r="M354" s="100">
        <v>10715</v>
      </c>
      <c r="N354" s="100">
        <v>11349</v>
      </c>
    </row>
    <row r="355" spans="1:14" ht="12">
      <c r="A355" t="s">
        <v>450</v>
      </c>
      <c r="B355" s="100">
        <v>882.207</v>
      </c>
      <c r="C355" s="100">
        <v>1462.997</v>
      </c>
      <c r="D355" s="100">
        <v>1541.183</v>
      </c>
      <c r="E355" s="100">
        <v>1800.703</v>
      </c>
      <c r="F355" s="100">
        <v>1650</v>
      </c>
      <c r="G355" s="100">
        <v>1454.768</v>
      </c>
      <c r="H355" s="100">
        <v>1836.186</v>
      </c>
      <c r="I355" s="100">
        <v>1920.553</v>
      </c>
      <c r="J355" s="100">
        <v>2131.926</v>
      </c>
      <c r="K355" s="100">
        <v>1723.619</v>
      </c>
      <c r="L355" s="100">
        <v>1323.475</v>
      </c>
      <c r="M355" s="100">
        <v>1209.415</v>
      </c>
      <c r="N355" s="100">
        <v>1201.263</v>
      </c>
    </row>
    <row r="356" spans="1:14" ht="12">
      <c r="A356" t="s">
        <v>451</v>
      </c>
      <c r="B356" s="100">
        <v>2156.3</v>
      </c>
      <c r="C356" s="100">
        <v>3308.2</v>
      </c>
      <c r="D356" s="100">
        <v>3774.7</v>
      </c>
      <c r="E356" s="100">
        <v>4230.4</v>
      </c>
      <c r="F356" s="100">
        <v>4245.3</v>
      </c>
      <c r="G356" s="100">
        <v>4034.5</v>
      </c>
      <c r="H356" s="100">
        <v>4653.5</v>
      </c>
      <c r="I356" s="100">
        <v>6027.8</v>
      </c>
      <c r="J356" s="100">
        <v>6397.7</v>
      </c>
      <c r="K356" s="100">
        <v>6518.5</v>
      </c>
      <c r="L356" s="100">
        <v>7358.3</v>
      </c>
      <c r="M356" s="100">
        <v>7401.3</v>
      </c>
      <c r="N356" s="100">
        <v>7913.2</v>
      </c>
    </row>
    <row r="357" spans="1:14" ht="12">
      <c r="A357" t="s">
        <v>452</v>
      </c>
      <c r="B357" s="100">
        <v>224.84</v>
      </c>
      <c r="C357" s="100">
        <v>193.29</v>
      </c>
      <c r="D357" s="100">
        <v>247</v>
      </c>
      <c r="E357" s="100">
        <v>346.85</v>
      </c>
      <c r="F357" s="100">
        <v>257.28</v>
      </c>
      <c r="G357" s="100">
        <v>337.23</v>
      </c>
      <c r="H357" s="100">
        <v>281.8</v>
      </c>
      <c r="I357" s="100">
        <v>412.94</v>
      </c>
      <c r="J357" s="100">
        <v>502.34</v>
      </c>
      <c r="K357" s="100">
        <v>412.11</v>
      </c>
      <c r="L357" s="100">
        <v>476.33</v>
      </c>
      <c r="M357" s="100">
        <v>478.67</v>
      </c>
      <c r="N357" s="100">
        <v>547.12</v>
      </c>
    </row>
    <row r="358" spans="1:14" ht="12">
      <c r="A358" t="s">
        <v>453</v>
      </c>
      <c r="B358" s="100">
        <v>960.77</v>
      </c>
      <c r="C358" s="100">
        <v>866.982</v>
      </c>
      <c r="D358" s="100">
        <v>959.215</v>
      </c>
      <c r="E358" s="100">
        <v>851.361</v>
      </c>
      <c r="F358" s="100">
        <v>860.6</v>
      </c>
      <c r="G358" s="100">
        <v>641.202</v>
      </c>
      <c r="H358" s="100">
        <v>663.02</v>
      </c>
      <c r="I358" s="100">
        <v>826.339</v>
      </c>
      <c r="J358" s="100">
        <v>669.125</v>
      </c>
      <c r="K358" s="100">
        <v>552.226</v>
      </c>
      <c r="L358" s="100">
        <v>633.315</v>
      </c>
      <c r="M358" s="100">
        <v>617.363</v>
      </c>
      <c r="N358" s="100">
        <v>656.469</v>
      </c>
    </row>
    <row r="359" spans="1:14" ht="12">
      <c r="A359" t="s">
        <v>454</v>
      </c>
      <c r="B359" s="100">
        <v>5561</v>
      </c>
      <c r="C359" s="100">
        <v>6447</v>
      </c>
      <c r="D359" s="100">
        <v>7806</v>
      </c>
      <c r="E359" s="100">
        <v>9001</v>
      </c>
      <c r="F359" s="100">
        <v>6933</v>
      </c>
      <c r="G359" s="100">
        <v>6469</v>
      </c>
      <c r="H359" s="100">
        <v>6938</v>
      </c>
      <c r="I359" s="100">
        <v>6754</v>
      </c>
      <c r="J359" s="100">
        <v>6567</v>
      </c>
      <c r="K359" s="100">
        <v>6318</v>
      </c>
      <c r="L359" s="100">
        <v>6466</v>
      </c>
      <c r="M359" s="100">
        <v>6349</v>
      </c>
      <c r="N359" s="100">
        <v>6246</v>
      </c>
    </row>
    <row r="360" spans="1:14" ht="12">
      <c r="A360" t="s">
        <v>455</v>
      </c>
      <c r="B360" s="100">
        <v>62470</v>
      </c>
      <c r="C360" s="100">
        <v>64525</v>
      </c>
      <c r="D360" s="100">
        <v>77670</v>
      </c>
      <c r="E360" s="100">
        <v>84179</v>
      </c>
      <c r="F360" s="100">
        <v>70665</v>
      </c>
      <c r="G360" s="100">
        <v>69365</v>
      </c>
      <c r="H360" s="100">
        <v>78446</v>
      </c>
      <c r="I360" s="100">
        <v>74980</v>
      </c>
      <c r="J360" s="100">
        <v>76382</v>
      </c>
      <c r="K360" s="100">
        <v>66401</v>
      </c>
      <c r="L360" s="100">
        <v>65910</v>
      </c>
      <c r="M360" s="100">
        <v>69646</v>
      </c>
      <c r="N360" s="100">
        <v>68611</v>
      </c>
    </row>
    <row r="361" spans="1:14" ht="12">
      <c r="A361" t="s">
        <v>456</v>
      </c>
      <c r="B361" s="100">
        <v>7283</v>
      </c>
      <c r="C361" s="100">
        <v>7409</v>
      </c>
      <c r="D361" s="100">
        <v>9516</v>
      </c>
      <c r="E361" s="100">
        <v>11686</v>
      </c>
      <c r="F361" s="100">
        <v>8501</v>
      </c>
      <c r="G361" s="100">
        <v>7645</v>
      </c>
      <c r="H361" s="100">
        <v>8309</v>
      </c>
      <c r="I361" s="100">
        <v>10708</v>
      </c>
      <c r="J361" s="100">
        <v>27545</v>
      </c>
      <c r="K361" s="100">
        <v>17332</v>
      </c>
      <c r="L361" s="100">
        <v>17830</v>
      </c>
      <c r="M361" s="100">
        <v>18722</v>
      </c>
      <c r="N361" s="100">
        <v>20399</v>
      </c>
    </row>
    <row r="362" spans="1:14" ht="12">
      <c r="A362" t="s">
        <v>457</v>
      </c>
      <c r="B362" s="100">
        <v>26170.66617</v>
      </c>
      <c r="C362" s="100">
        <v>33411.84018</v>
      </c>
      <c r="D362" s="100">
        <v>46094.17668</v>
      </c>
      <c r="E362" s="100">
        <v>57047.07436</v>
      </c>
      <c r="F362" s="100">
        <v>53364.19033</v>
      </c>
      <c r="G362" s="100">
        <v>39990.32572</v>
      </c>
      <c r="H362" s="100">
        <v>34557.05848</v>
      </c>
      <c r="I362" s="100">
        <v>47305.34045</v>
      </c>
      <c r="J362" s="100">
        <v>51116.44703</v>
      </c>
      <c r="K362" s="100">
        <v>61745.06981</v>
      </c>
      <c r="L362" s="100">
        <v>41655.66248</v>
      </c>
      <c r="M362" s="100">
        <v>71503.55178</v>
      </c>
      <c r="N362" s="100">
        <v>64102.3785</v>
      </c>
    </row>
    <row r="363" spans="1:14" ht="12">
      <c r="A363" t="s">
        <v>458</v>
      </c>
      <c r="B363" s="100">
        <v>212728</v>
      </c>
      <c r="C363" s="100">
        <v>279958</v>
      </c>
      <c r="D363" s="100">
        <v>304208</v>
      </c>
      <c r="E363" s="100">
        <v>369889</v>
      </c>
      <c r="F363" s="100">
        <v>277683</v>
      </c>
      <c r="G363" s="100">
        <v>265784</v>
      </c>
      <c r="H363" s="100">
        <v>321460</v>
      </c>
      <c r="I363" s="100">
        <v>345748</v>
      </c>
      <c r="J363" s="100">
        <v>344882</v>
      </c>
      <c r="K363" s="100">
        <v>376202</v>
      </c>
      <c r="L363" s="100">
        <v>386008</v>
      </c>
      <c r="M363" s="100">
        <v>371050</v>
      </c>
      <c r="N363" s="100">
        <v>397660</v>
      </c>
    </row>
    <row r="364" spans="1:14" ht="12">
      <c r="A364" t="s">
        <v>459</v>
      </c>
      <c r="B364" s="100">
        <v>7866.54629</v>
      </c>
      <c r="C364" s="100">
        <v>8323.67938</v>
      </c>
      <c r="D364" s="100">
        <v>8278.18168</v>
      </c>
      <c r="E364" s="100">
        <v>9112.95966</v>
      </c>
      <c r="F364" s="100">
        <v>8618.82411</v>
      </c>
      <c r="G364" s="100">
        <v>8453.87074</v>
      </c>
      <c r="H364" s="100">
        <v>8867.23578</v>
      </c>
      <c r="I364" s="100">
        <v>7074.8497</v>
      </c>
      <c r="J364" s="100">
        <v>7309.67134</v>
      </c>
      <c r="K364" s="100">
        <v>6280.74741</v>
      </c>
      <c r="L364" s="100">
        <v>8083.20065</v>
      </c>
      <c r="M364" s="100">
        <v>7199.58121</v>
      </c>
      <c r="N364" s="100" t="s">
        <v>163</v>
      </c>
    </row>
    <row r="365" spans="1:14" ht="12">
      <c r="A365" t="s">
        <v>460</v>
      </c>
      <c r="B365" s="100">
        <v>5026640.99126</v>
      </c>
      <c r="C365" s="100">
        <v>5350491.36458</v>
      </c>
      <c r="D365" s="100">
        <v>5687811.62443</v>
      </c>
      <c r="E365" s="100">
        <v>5716495.41944</v>
      </c>
      <c r="F365" s="100">
        <v>5350665.18494</v>
      </c>
      <c r="G365" s="100">
        <v>5579720.98301</v>
      </c>
      <c r="H365" s="100">
        <v>5811677.43195</v>
      </c>
      <c r="I365" s="100">
        <v>6015071.34787</v>
      </c>
      <c r="J365" s="100">
        <v>6156496.07791</v>
      </c>
      <c r="K365" s="100">
        <v>6327296.16199</v>
      </c>
      <c r="L365" s="100">
        <v>6610210.10769</v>
      </c>
      <c r="M365" s="100">
        <v>6662510.01887</v>
      </c>
      <c r="N365" s="100">
        <v>6875369.45214</v>
      </c>
    </row>
    <row r="366" spans="1:14" ht="12">
      <c r="A366" t="s">
        <v>461</v>
      </c>
      <c r="B366" s="100">
        <v>3731591.67212</v>
      </c>
      <c r="C366" s="100">
        <v>3971830.58336</v>
      </c>
      <c r="D366" s="100">
        <v>4204229.17369</v>
      </c>
      <c r="E366" s="100">
        <v>4283015.04513</v>
      </c>
      <c r="F366" s="100">
        <v>4132319.34975</v>
      </c>
      <c r="G366" s="100">
        <v>4236815.26842</v>
      </c>
      <c r="H366" s="100">
        <v>4409092.69653</v>
      </c>
      <c r="I366" s="100">
        <v>4535585.3419</v>
      </c>
      <c r="J366" s="100">
        <v>4647607.31331</v>
      </c>
      <c r="K366" s="100">
        <v>4746787.44628</v>
      </c>
      <c r="L366" s="100">
        <v>4865757.41219</v>
      </c>
      <c r="M366" s="100">
        <v>4976430.17565</v>
      </c>
      <c r="N366" s="100">
        <v>5158178.80191</v>
      </c>
    </row>
    <row r="367" spans="1:14" ht="12">
      <c r="A367" t="s">
        <v>462</v>
      </c>
      <c r="B367" s="100">
        <v>152210.2</v>
      </c>
      <c r="C367" s="100">
        <v>158987.4</v>
      </c>
      <c r="D367" s="100">
        <v>166546</v>
      </c>
      <c r="E367" s="100">
        <v>174120.7</v>
      </c>
      <c r="F367" s="100">
        <v>170090.4</v>
      </c>
      <c r="G367" s="100">
        <v>180140.9</v>
      </c>
      <c r="H367" s="100">
        <v>190781.4</v>
      </c>
      <c r="I367" s="100">
        <v>200069.6</v>
      </c>
      <c r="J367" s="100">
        <v>206752.2</v>
      </c>
      <c r="K367" s="100">
        <v>208747.7</v>
      </c>
      <c r="L367" s="100">
        <v>210743.2</v>
      </c>
      <c r="M367" s="100">
        <v>214755.7</v>
      </c>
      <c r="N367" s="100">
        <v>224453.5</v>
      </c>
    </row>
    <row r="368" spans="1:14" ht="12">
      <c r="A368" t="s">
        <v>463</v>
      </c>
      <c r="B368" s="100">
        <v>17751.389</v>
      </c>
      <c r="C368" s="100">
        <v>19014.622</v>
      </c>
      <c r="D368" s="100">
        <v>24632.488</v>
      </c>
      <c r="E368" s="100">
        <v>28162.872</v>
      </c>
      <c r="F368" s="100">
        <v>25780.479</v>
      </c>
      <c r="G368" s="100">
        <v>24716.642</v>
      </c>
      <c r="H368" s="100">
        <v>25728.95</v>
      </c>
      <c r="I368" s="100">
        <v>28003.7</v>
      </c>
      <c r="J368" s="100">
        <v>30561.473</v>
      </c>
      <c r="K368" s="100">
        <v>30616.344</v>
      </c>
      <c r="L368" s="100">
        <v>34617.555</v>
      </c>
      <c r="M368" s="100">
        <v>33115.495</v>
      </c>
      <c r="N368" s="100">
        <v>35648.641</v>
      </c>
    </row>
    <row r="369" spans="1:14" ht="12">
      <c r="A369" t="s">
        <v>464</v>
      </c>
      <c r="B369" s="100">
        <v>1282523</v>
      </c>
      <c r="C369" s="100">
        <v>1376491</v>
      </c>
      <c r="D369" s="100">
        <v>1525325</v>
      </c>
      <c r="E369" s="100">
        <v>1555614</v>
      </c>
      <c r="F369" s="100">
        <v>1523022</v>
      </c>
      <c r="G369" s="100">
        <v>1558224</v>
      </c>
      <c r="H369" s="100">
        <v>1626020</v>
      </c>
      <c r="I369" s="100">
        <v>1646284</v>
      </c>
      <c r="J369" s="100">
        <v>1694779</v>
      </c>
      <c r="K369" s="100">
        <v>1739953</v>
      </c>
      <c r="L369" s="100">
        <v>1888461</v>
      </c>
      <c r="M369" s="100">
        <v>1917167</v>
      </c>
      <c r="N369" s="100">
        <v>2042466</v>
      </c>
    </row>
    <row r="370" spans="1:14" ht="12">
      <c r="A370" t="s">
        <v>465</v>
      </c>
      <c r="B370" s="100">
        <v>891268</v>
      </c>
      <c r="C370" s="100">
        <v>922162</v>
      </c>
      <c r="D370" s="100">
        <v>949616</v>
      </c>
      <c r="E370" s="100">
        <v>965312</v>
      </c>
      <c r="F370" s="100">
        <v>925448</v>
      </c>
      <c r="G370" s="100">
        <v>977230</v>
      </c>
      <c r="H370" s="100">
        <v>1004200</v>
      </c>
      <c r="I370" s="100">
        <v>1032103</v>
      </c>
      <c r="J370" s="100">
        <v>1053309</v>
      </c>
      <c r="K370" s="100">
        <v>1116627</v>
      </c>
      <c r="L370" s="100">
        <v>1080583</v>
      </c>
      <c r="M370" s="100">
        <v>1098822</v>
      </c>
      <c r="N370" s="100">
        <v>1134317</v>
      </c>
    </row>
    <row r="371" spans="1:14" ht="12">
      <c r="A371" t="s">
        <v>466</v>
      </c>
      <c r="B371" s="100">
        <v>984380</v>
      </c>
      <c r="C371" s="100">
        <v>1028495</v>
      </c>
      <c r="D371" s="100">
        <v>1080805</v>
      </c>
      <c r="E371" s="100">
        <v>1111692</v>
      </c>
      <c r="F371" s="100">
        <v>1090918</v>
      </c>
      <c r="G371" s="100">
        <v>1110315</v>
      </c>
      <c r="H371" s="100">
        <v>1182702</v>
      </c>
      <c r="I371" s="100">
        <v>1220853</v>
      </c>
      <c r="J371" s="100">
        <v>1259033</v>
      </c>
      <c r="K371" s="100">
        <v>1308336</v>
      </c>
      <c r="L371" s="100">
        <v>1354271</v>
      </c>
      <c r="M371" s="100">
        <v>1414231</v>
      </c>
      <c r="N371" s="100">
        <v>1474566</v>
      </c>
    </row>
    <row r="372" spans="1:14" ht="12">
      <c r="A372" t="s">
        <v>467</v>
      </c>
      <c r="B372" s="100">
        <v>3953.4</v>
      </c>
      <c r="C372" s="100">
        <v>4931.6</v>
      </c>
      <c r="D372" s="100">
        <v>5979.7</v>
      </c>
      <c r="E372" s="100">
        <v>6125</v>
      </c>
      <c r="F372" s="100">
        <v>6205.6</v>
      </c>
      <c r="G372" s="100">
        <v>5989.7</v>
      </c>
      <c r="H372" s="100">
        <v>6431.1</v>
      </c>
      <c r="I372" s="100">
        <v>7002.7</v>
      </c>
      <c r="J372" s="100">
        <v>7247.7</v>
      </c>
      <c r="K372" s="100">
        <v>7731.1</v>
      </c>
      <c r="L372" s="100">
        <v>8199.5</v>
      </c>
      <c r="M372" s="100">
        <v>8509.7</v>
      </c>
      <c r="N372" s="100">
        <v>9181.6</v>
      </c>
    </row>
    <row r="373" spans="1:14" ht="12">
      <c r="A373" t="s">
        <v>468</v>
      </c>
      <c r="B373" s="100">
        <v>59497.22</v>
      </c>
      <c r="C373" s="100">
        <v>67834.71</v>
      </c>
      <c r="D373" s="100">
        <v>71439.86</v>
      </c>
      <c r="E373" s="100">
        <v>65445.18</v>
      </c>
      <c r="F373" s="100">
        <v>56489.57</v>
      </c>
      <c r="G373" s="100">
        <v>55376.34</v>
      </c>
      <c r="H373" s="100">
        <v>57745.8</v>
      </c>
      <c r="I373" s="100">
        <v>59497.79</v>
      </c>
      <c r="J373" s="100">
        <v>61514.61</v>
      </c>
      <c r="K373" s="100">
        <v>66017.86</v>
      </c>
      <c r="L373" s="100">
        <v>70862.32</v>
      </c>
      <c r="M373" s="100">
        <v>73374.85</v>
      </c>
      <c r="N373" s="100">
        <v>76193.43</v>
      </c>
    </row>
    <row r="374" spans="1:14" ht="12">
      <c r="A374" t="s">
        <v>469</v>
      </c>
      <c r="B374" s="100">
        <v>78449</v>
      </c>
      <c r="C374" s="100">
        <v>85338</v>
      </c>
      <c r="D374" s="100">
        <v>93921</v>
      </c>
      <c r="E374" s="100">
        <v>98416</v>
      </c>
      <c r="F374" s="100">
        <v>92488</v>
      </c>
      <c r="G374" s="100">
        <v>93307</v>
      </c>
      <c r="H374" s="100">
        <v>90693</v>
      </c>
      <c r="I374" s="100">
        <v>89608</v>
      </c>
      <c r="J374" s="100">
        <v>88776</v>
      </c>
      <c r="K374" s="100">
        <v>83313</v>
      </c>
      <c r="L374" s="100">
        <v>84902</v>
      </c>
      <c r="M374" s="100">
        <v>87365</v>
      </c>
      <c r="N374" s="100">
        <v>86776</v>
      </c>
    </row>
    <row r="375" spans="1:14" ht="12">
      <c r="A375" t="s">
        <v>470</v>
      </c>
      <c r="B375" s="100">
        <v>367803</v>
      </c>
      <c r="C375" s="100">
        <v>408070</v>
      </c>
      <c r="D375" s="100">
        <v>442605</v>
      </c>
      <c r="E375" s="100">
        <v>410046</v>
      </c>
      <c r="F375" s="100">
        <v>375808</v>
      </c>
      <c r="G375" s="100">
        <v>391798</v>
      </c>
      <c r="H375" s="100">
        <v>387378</v>
      </c>
      <c r="I375" s="100">
        <v>391330</v>
      </c>
      <c r="J375" s="100">
        <v>395639</v>
      </c>
      <c r="K375" s="100">
        <v>403482</v>
      </c>
      <c r="L375" s="100">
        <v>415736</v>
      </c>
      <c r="M375" s="100">
        <v>421632</v>
      </c>
      <c r="N375" s="100">
        <v>441099</v>
      </c>
    </row>
    <row r="376" spans="1:14" ht="12">
      <c r="A376" t="s">
        <v>471</v>
      </c>
      <c r="B376" s="100">
        <v>881866</v>
      </c>
      <c r="C376" s="100">
        <v>932060</v>
      </c>
      <c r="D376" s="100">
        <v>969306</v>
      </c>
      <c r="E376" s="100">
        <v>996839</v>
      </c>
      <c r="F376" s="100">
        <v>967767</v>
      </c>
      <c r="G376" s="100">
        <v>997546</v>
      </c>
      <c r="H376" s="100">
        <v>1052566</v>
      </c>
      <c r="I376" s="100">
        <v>1088816</v>
      </c>
      <c r="J376" s="100">
        <v>1125153</v>
      </c>
      <c r="K376" s="100">
        <v>1146017</v>
      </c>
      <c r="L376" s="100">
        <v>1168959</v>
      </c>
      <c r="M376" s="100">
        <v>1184844</v>
      </c>
      <c r="N376" s="100">
        <v>1232607</v>
      </c>
    </row>
    <row r="377" spans="1:14" ht="12">
      <c r="A377" t="s">
        <v>472</v>
      </c>
      <c r="B377" s="100">
        <v>115882.07846</v>
      </c>
      <c r="C377" s="100">
        <v>126690.66902</v>
      </c>
      <c r="D377" s="100">
        <v>138713.68632</v>
      </c>
      <c r="E377" s="100">
        <v>148341.30275</v>
      </c>
      <c r="F377" s="100">
        <v>140166.34282</v>
      </c>
      <c r="G377" s="100">
        <v>134129.36943</v>
      </c>
      <c r="H377" s="100">
        <v>134656.0654</v>
      </c>
      <c r="I377" s="100">
        <v>139166.93573</v>
      </c>
      <c r="J377" s="100">
        <v>140577.87748</v>
      </c>
      <c r="K377" s="100">
        <v>142385.62236</v>
      </c>
      <c r="L377" s="100">
        <v>152301.94849</v>
      </c>
      <c r="M377" s="100">
        <v>161645.35154</v>
      </c>
      <c r="N377" s="100">
        <v>167202.01178</v>
      </c>
    </row>
    <row r="378" spans="1:14" ht="12">
      <c r="A378" t="s">
        <v>473</v>
      </c>
      <c r="B378" s="100">
        <v>641159</v>
      </c>
      <c r="C378" s="100">
        <v>682977</v>
      </c>
      <c r="D378" s="100">
        <v>729550</v>
      </c>
      <c r="E378" s="100">
        <v>737722</v>
      </c>
      <c r="F378" s="100">
        <v>722113</v>
      </c>
      <c r="G378" s="100">
        <v>732921</v>
      </c>
      <c r="H378" s="100">
        <v>748331</v>
      </c>
      <c r="I378" s="100">
        <v>772259</v>
      </c>
      <c r="J378" s="100">
        <v>772488</v>
      </c>
      <c r="K378" s="100">
        <v>777120</v>
      </c>
      <c r="L378" s="100">
        <v>788607</v>
      </c>
      <c r="M378" s="100">
        <v>787813</v>
      </c>
      <c r="N378" s="100">
        <v>799908</v>
      </c>
    </row>
    <row r="379" spans="1:14" ht="12">
      <c r="A379" t="s">
        <v>474</v>
      </c>
      <c r="B379" s="100">
        <v>5498.9</v>
      </c>
      <c r="C379" s="100">
        <v>6027.4</v>
      </c>
      <c r="D379" s="100">
        <v>7148.1</v>
      </c>
      <c r="E379" s="100">
        <v>7464.7</v>
      </c>
      <c r="F379" s="100">
        <v>6847.7</v>
      </c>
      <c r="G379" s="100">
        <v>7202.9</v>
      </c>
      <c r="H379" s="100">
        <v>7233.2</v>
      </c>
      <c r="I379" s="100">
        <v>7085.1</v>
      </c>
      <c r="J379" s="100">
        <v>6663.8</v>
      </c>
      <c r="K379" s="100">
        <v>7014.2</v>
      </c>
      <c r="L379" s="100">
        <v>6976.3</v>
      </c>
      <c r="M379" s="100">
        <v>7087.1</v>
      </c>
      <c r="N379" s="100">
        <v>7679.5</v>
      </c>
    </row>
    <row r="380" spans="1:14" ht="12">
      <c r="A380" t="s">
        <v>475</v>
      </c>
      <c r="B380" s="100">
        <v>4597.6</v>
      </c>
      <c r="C380" s="100">
        <v>6079.55</v>
      </c>
      <c r="D380" s="100">
        <v>7563.12</v>
      </c>
      <c r="E380" s="100">
        <v>8143.53</v>
      </c>
      <c r="F380" s="100">
        <v>6598.05</v>
      </c>
      <c r="G380" s="100">
        <v>6604.26</v>
      </c>
      <c r="H380" s="100">
        <v>7342.35</v>
      </c>
      <c r="I380" s="100">
        <v>8045.4</v>
      </c>
      <c r="J380" s="100">
        <v>8332.37</v>
      </c>
      <c r="K380" s="100">
        <v>8648.95</v>
      </c>
      <c r="L380" s="100">
        <v>8964.74</v>
      </c>
      <c r="M380" s="100">
        <v>9272.12</v>
      </c>
      <c r="N380" s="100">
        <v>10082.99</v>
      </c>
    </row>
    <row r="381" spans="1:14" ht="12">
      <c r="A381" t="s">
        <v>476</v>
      </c>
      <c r="B381" s="100">
        <v>7085.33424</v>
      </c>
      <c r="C381" s="100">
        <v>8196.17158</v>
      </c>
      <c r="D381" s="100">
        <v>10001.73702</v>
      </c>
      <c r="E381" s="100">
        <v>11446.27866</v>
      </c>
      <c r="F381" s="100">
        <v>9638.00385</v>
      </c>
      <c r="G381" s="100">
        <v>9921.2766</v>
      </c>
      <c r="H381" s="100">
        <v>10487.59188</v>
      </c>
      <c r="I381" s="100">
        <v>10990.59433</v>
      </c>
      <c r="J381" s="100">
        <v>11495.78524</v>
      </c>
      <c r="K381" s="100">
        <v>12440.97623</v>
      </c>
      <c r="L381" s="100">
        <v>12966.08532</v>
      </c>
      <c r="M381" s="100">
        <v>13329.58028</v>
      </c>
      <c r="N381" s="100">
        <v>14145.93348</v>
      </c>
    </row>
    <row r="382" spans="1:14" ht="12">
      <c r="A382" t="s">
        <v>477</v>
      </c>
      <c r="B382" s="100">
        <v>13110.44897</v>
      </c>
      <c r="C382" s="100">
        <v>14062.98028</v>
      </c>
      <c r="D382" s="100">
        <v>15599.09769</v>
      </c>
      <c r="E382" s="100">
        <v>16401.2201</v>
      </c>
      <c r="F382" s="100">
        <v>16442.99034</v>
      </c>
      <c r="G382" s="100">
        <v>17464.3238</v>
      </c>
      <c r="H382" s="100">
        <v>18508.51985</v>
      </c>
      <c r="I382" s="100">
        <v>19592.30787</v>
      </c>
      <c r="J382" s="100">
        <v>20598.08566</v>
      </c>
      <c r="K382" s="100">
        <v>21566.72509</v>
      </c>
      <c r="L382" s="100">
        <v>22350.54814</v>
      </c>
      <c r="M382" s="100">
        <v>23186.40458</v>
      </c>
      <c r="N382" s="100">
        <v>24571.44193</v>
      </c>
    </row>
    <row r="383" spans="1:14" ht="12">
      <c r="A383" t="s">
        <v>478</v>
      </c>
      <c r="B383" s="100">
        <v>9379482</v>
      </c>
      <c r="C383" s="100">
        <v>10225362</v>
      </c>
      <c r="D383" s="100">
        <v>11505984</v>
      </c>
      <c r="E383" s="100">
        <v>12209538</v>
      </c>
      <c r="F383" s="100">
        <v>12108703</v>
      </c>
      <c r="G383" s="100">
        <v>12186673</v>
      </c>
      <c r="H383" s="100">
        <v>12463739</v>
      </c>
      <c r="I383" s="100">
        <v>13259604</v>
      </c>
      <c r="J383" s="100">
        <v>14119017</v>
      </c>
      <c r="K383" s="100">
        <v>15244974.266</v>
      </c>
      <c r="L383" s="100">
        <v>16544625.12</v>
      </c>
      <c r="M383" s="100">
        <v>15892819.02644</v>
      </c>
      <c r="N383" s="100">
        <v>17008370.07188</v>
      </c>
    </row>
    <row r="384" spans="1:14" ht="12">
      <c r="A384" t="s">
        <v>479</v>
      </c>
      <c r="B384" s="100">
        <v>2039.9634</v>
      </c>
      <c r="C384" s="100">
        <v>2143.8372</v>
      </c>
      <c r="D384" s="100">
        <v>2245.3982</v>
      </c>
      <c r="E384" s="100">
        <v>2356.6792</v>
      </c>
      <c r="F384" s="100">
        <v>2372.1072</v>
      </c>
      <c r="G384" s="100">
        <v>2552.0012</v>
      </c>
      <c r="H384" s="100">
        <v>2654.554</v>
      </c>
      <c r="I384" s="100">
        <v>2811.7417</v>
      </c>
      <c r="J384" s="100">
        <v>3021.489</v>
      </c>
      <c r="K384" s="100">
        <v>3345.814</v>
      </c>
      <c r="L384" s="100">
        <v>3714.6567</v>
      </c>
      <c r="M384" s="100">
        <v>3881.9878</v>
      </c>
      <c r="N384" s="100">
        <v>4494.5625</v>
      </c>
    </row>
    <row r="385" spans="1:14" ht="12">
      <c r="A385" t="s">
        <v>480</v>
      </c>
      <c r="B385" s="100">
        <v>229470</v>
      </c>
      <c r="C385" s="100">
        <v>250495</v>
      </c>
      <c r="D385" s="100">
        <v>261648</v>
      </c>
      <c r="E385" s="100">
        <v>279849</v>
      </c>
      <c r="F385" s="100">
        <v>263942</v>
      </c>
      <c r="G385" s="100">
        <v>272585</v>
      </c>
      <c r="H385" s="100">
        <v>274438</v>
      </c>
      <c r="I385" s="100">
        <v>278801</v>
      </c>
      <c r="J385" s="100">
        <v>286539</v>
      </c>
      <c r="K385" s="100">
        <v>291176</v>
      </c>
      <c r="L385" s="100">
        <v>292740</v>
      </c>
      <c r="M385" s="100">
        <v>307822</v>
      </c>
      <c r="N385" s="100">
        <v>320029</v>
      </c>
    </row>
    <row r="386" spans="1:14" ht="12">
      <c r="A386" t="s">
        <v>481</v>
      </c>
      <c r="B386" s="100">
        <v>123600.31</v>
      </c>
      <c r="C386" s="100">
        <v>128139.25</v>
      </c>
      <c r="D386" s="100">
        <v>135995.63</v>
      </c>
      <c r="E386" s="100">
        <v>142118.25</v>
      </c>
      <c r="F386" s="100">
        <v>140608.95</v>
      </c>
      <c r="G386" s="100">
        <v>143209.56</v>
      </c>
      <c r="H386" s="100">
        <v>149926.58</v>
      </c>
      <c r="I386" s="100">
        <v>156216.37</v>
      </c>
      <c r="J386" s="100">
        <v>160975.56</v>
      </c>
      <c r="K386" s="100">
        <v>165226.27</v>
      </c>
      <c r="L386" s="100">
        <v>172068.93</v>
      </c>
      <c r="M386" s="100">
        <v>173269.62</v>
      </c>
      <c r="N386" s="100">
        <v>178600.71</v>
      </c>
    </row>
    <row r="387" spans="1:14" ht="12">
      <c r="A387" t="s">
        <v>482</v>
      </c>
      <c r="B387" s="100">
        <v>400477.7</v>
      </c>
      <c r="C387" s="100">
        <v>439757</v>
      </c>
      <c r="D387" s="100">
        <v>491139</v>
      </c>
      <c r="E387" s="100">
        <v>523366</v>
      </c>
      <c r="F387" s="100">
        <v>518553</v>
      </c>
      <c r="G387" s="100">
        <v>555939</v>
      </c>
      <c r="H387" s="100">
        <v>611884</v>
      </c>
      <c r="I387" s="100">
        <v>637882</v>
      </c>
      <c r="J387" s="100">
        <v>637604</v>
      </c>
      <c r="K387" s="100">
        <v>664458.47</v>
      </c>
      <c r="L387" s="100">
        <v>700317</v>
      </c>
      <c r="M387" s="100">
        <v>720787</v>
      </c>
      <c r="N387" s="100">
        <v>784023</v>
      </c>
    </row>
    <row r="388" spans="1:14" ht="12">
      <c r="A388" t="s">
        <v>483</v>
      </c>
      <c r="B388" s="100">
        <v>64227.385</v>
      </c>
      <c r="C388" s="100">
        <v>68019.055</v>
      </c>
      <c r="D388" s="100">
        <v>72780.212</v>
      </c>
      <c r="E388" s="100">
        <v>74357.045</v>
      </c>
      <c r="F388" s="100">
        <v>70912.555</v>
      </c>
      <c r="G388" s="100">
        <v>73136.897</v>
      </c>
      <c r="H388" s="100">
        <v>75106.15</v>
      </c>
      <c r="I388" s="100">
        <v>72189.507</v>
      </c>
      <c r="J388" s="100">
        <v>76787.146</v>
      </c>
      <c r="K388" s="100">
        <v>77195.596</v>
      </c>
      <c r="L388" s="100">
        <v>78751.128</v>
      </c>
      <c r="M388" s="100">
        <v>79705.572</v>
      </c>
      <c r="N388" s="100">
        <v>82840.533</v>
      </c>
    </row>
    <row r="389" spans="1:14" ht="12">
      <c r="A389" t="s">
        <v>484</v>
      </c>
      <c r="B389" s="100">
        <v>93724.9</v>
      </c>
      <c r="C389" s="100">
        <v>114790.5</v>
      </c>
      <c r="D389" s="100">
        <v>147865.5</v>
      </c>
      <c r="E389" s="100">
        <v>174259.1</v>
      </c>
      <c r="F389" s="100">
        <v>160747.5</v>
      </c>
      <c r="G389" s="100">
        <v>174532.8</v>
      </c>
      <c r="H389" s="100">
        <v>190549.4</v>
      </c>
      <c r="I389" s="100">
        <v>199851.4</v>
      </c>
      <c r="J389" s="100">
        <v>211889.3</v>
      </c>
      <c r="K389" s="100">
        <v>224616.1</v>
      </c>
      <c r="L389" s="100">
        <v>249217.7</v>
      </c>
      <c r="M389" s="100">
        <v>241264.1</v>
      </c>
      <c r="N389" s="100">
        <v>261450</v>
      </c>
    </row>
    <row r="390" spans="1:14" ht="12">
      <c r="A390" t="s">
        <v>485</v>
      </c>
      <c r="B390" s="100">
        <v>12737.37</v>
      </c>
      <c r="C390" s="100">
        <v>13572.96</v>
      </c>
      <c r="D390" s="100">
        <v>14801.92</v>
      </c>
      <c r="E390" s="100">
        <v>16112.67</v>
      </c>
      <c r="F390" s="100">
        <v>15325.84</v>
      </c>
      <c r="G390" s="100">
        <v>15814.71</v>
      </c>
      <c r="H390" s="100">
        <v>15986.66</v>
      </c>
      <c r="I390" s="100">
        <v>16044.13</v>
      </c>
      <c r="J390" s="100">
        <v>16248.94</v>
      </c>
      <c r="K390" s="100">
        <v>16678.88</v>
      </c>
      <c r="L390" s="100">
        <v>17435.06</v>
      </c>
      <c r="M390" s="100">
        <v>17518.59</v>
      </c>
      <c r="N390" s="100">
        <v>18658.48</v>
      </c>
    </row>
    <row r="391" spans="1:14" ht="12">
      <c r="A391" t="s">
        <v>486</v>
      </c>
      <c r="B391" s="100">
        <v>18599.241</v>
      </c>
      <c r="C391" s="100">
        <v>19791.296</v>
      </c>
      <c r="D391" s="100">
        <v>21684.518</v>
      </c>
      <c r="E391" s="100">
        <v>23636.485</v>
      </c>
      <c r="F391" s="100">
        <v>23227.662</v>
      </c>
      <c r="G391" s="100">
        <v>23422.342</v>
      </c>
      <c r="H391" s="100">
        <v>25807.131</v>
      </c>
      <c r="I391" s="100">
        <v>26380.596</v>
      </c>
      <c r="J391" s="100">
        <v>28719.139</v>
      </c>
      <c r="K391" s="100">
        <v>29927.375</v>
      </c>
      <c r="L391" s="100">
        <v>33532.944</v>
      </c>
      <c r="M391" s="100">
        <v>31893.951</v>
      </c>
      <c r="N391" s="100">
        <v>33466.121</v>
      </c>
    </row>
    <row r="392" spans="1:14" ht="12">
      <c r="A392" t="s">
        <v>487</v>
      </c>
      <c r="B392" s="100">
        <v>85265</v>
      </c>
      <c r="C392" s="100">
        <v>90228</v>
      </c>
      <c r="D392" s="100">
        <v>96890</v>
      </c>
      <c r="E392" s="100">
        <v>101581</v>
      </c>
      <c r="F392" s="100">
        <v>94551</v>
      </c>
      <c r="G392" s="100">
        <v>97563</v>
      </c>
      <c r="H392" s="100">
        <v>105010</v>
      </c>
      <c r="I392" s="100">
        <v>107929</v>
      </c>
      <c r="J392" s="100">
        <v>111607</v>
      </c>
      <c r="K392" s="100">
        <v>112802</v>
      </c>
      <c r="L392" s="100">
        <v>113977</v>
      </c>
      <c r="M392" s="100">
        <v>116938</v>
      </c>
      <c r="N392" s="100">
        <v>118825</v>
      </c>
    </row>
    <row r="393" spans="1:14" ht="12">
      <c r="A393" t="s">
        <v>488</v>
      </c>
      <c r="B393" s="100">
        <v>1575822</v>
      </c>
      <c r="C393" s="100">
        <v>1649982</v>
      </c>
      <c r="D393" s="100">
        <v>1737235</v>
      </c>
      <c r="E393" s="100">
        <v>1760461</v>
      </c>
      <c r="F393" s="100">
        <v>1710987</v>
      </c>
      <c r="G393" s="100">
        <v>1787457</v>
      </c>
      <c r="H393" s="100">
        <v>1832188</v>
      </c>
      <c r="I393" s="100">
        <v>1856224</v>
      </c>
      <c r="J393" s="100">
        <v>1909120</v>
      </c>
      <c r="K393" s="100">
        <v>1951362</v>
      </c>
      <c r="L393" s="100">
        <v>2092130</v>
      </c>
      <c r="M393" s="100">
        <v>2229811</v>
      </c>
      <c r="N393" s="100">
        <v>2317731</v>
      </c>
    </row>
    <row r="394" spans="1:14" ht="12">
      <c r="A394" t="s">
        <v>489</v>
      </c>
      <c r="B394" s="100">
        <v>529695</v>
      </c>
      <c r="C394" s="100">
        <v>556991</v>
      </c>
      <c r="D394" s="100">
        <v>589882</v>
      </c>
      <c r="E394" s="100">
        <v>620099</v>
      </c>
      <c r="F394" s="100">
        <v>572085</v>
      </c>
      <c r="G394" s="100">
        <v>606286</v>
      </c>
      <c r="H394" s="100">
        <v>633083</v>
      </c>
      <c r="I394" s="100">
        <v>637507</v>
      </c>
      <c r="J394" s="100">
        <v>679549</v>
      </c>
      <c r="K394" s="100">
        <v>693288</v>
      </c>
      <c r="L394" s="100">
        <v>720153</v>
      </c>
      <c r="M394" s="100">
        <v>756988</v>
      </c>
      <c r="N394" s="100">
        <v>797357</v>
      </c>
    </row>
    <row r="395" spans="1:14" ht="12">
      <c r="A395" t="s">
        <v>490</v>
      </c>
      <c r="B395" s="100">
        <v>484428.06719</v>
      </c>
      <c r="C395" s="100">
        <v>562151.13336</v>
      </c>
      <c r="D395" s="100">
        <v>626456.94465</v>
      </c>
      <c r="E395" s="100">
        <v>655803.49416</v>
      </c>
      <c r="F395" s="100">
        <v>617098.08785</v>
      </c>
      <c r="G395" s="100">
        <v>641141.18144</v>
      </c>
      <c r="H395" s="100">
        <v>682304.13246</v>
      </c>
      <c r="I395" s="100">
        <v>740768.19005</v>
      </c>
      <c r="J395" s="100">
        <v>795732.04249</v>
      </c>
      <c r="K395" s="100">
        <v>906988.0624</v>
      </c>
      <c r="L395" s="100">
        <v>930965.94768</v>
      </c>
      <c r="M395" s="100">
        <v>1418288.76234</v>
      </c>
      <c r="N395" s="100">
        <v>1109605.64341</v>
      </c>
    </row>
    <row r="396" spans="1:14" ht="12">
      <c r="A396" t="s">
        <v>491</v>
      </c>
      <c r="B396" s="100">
        <v>1131373</v>
      </c>
      <c r="C396" s="100">
        <v>1303230</v>
      </c>
      <c r="D396" s="100">
        <v>1376223</v>
      </c>
      <c r="E396" s="100">
        <v>1535671</v>
      </c>
      <c r="F396" s="100">
        <v>1371001</v>
      </c>
      <c r="G396" s="100">
        <v>1450867</v>
      </c>
      <c r="H396" s="100">
        <v>1598758</v>
      </c>
      <c r="I396" s="100">
        <v>1683598</v>
      </c>
      <c r="J396" s="100">
        <v>1683554</v>
      </c>
      <c r="K396" s="100">
        <v>1716078</v>
      </c>
      <c r="L396" s="100">
        <v>1710558</v>
      </c>
      <c r="M396" s="100">
        <v>1708719</v>
      </c>
      <c r="N396" s="100">
        <v>1796392</v>
      </c>
    </row>
    <row r="397" spans="1:14" ht="12">
      <c r="A397" t="s">
        <v>492</v>
      </c>
      <c r="B397" s="100">
        <v>168524.0161</v>
      </c>
      <c r="C397" s="100">
        <v>177217.8871</v>
      </c>
      <c r="D397" s="100">
        <v>186252.96983</v>
      </c>
      <c r="E397" s="100">
        <v>199411.50578</v>
      </c>
      <c r="F397" s="100">
        <v>198611.01398</v>
      </c>
      <c r="G397" s="100">
        <v>202973.839</v>
      </c>
      <c r="H397" s="100">
        <v>208950.11546</v>
      </c>
      <c r="I397" s="100">
        <v>210528.70238</v>
      </c>
      <c r="J397" s="100">
        <v>215694.64627</v>
      </c>
      <c r="K397" s="100">
        <v>218047.40992</v>
      </c>
      <c r="L397" s="100">
        <v>226731.56709</v>
      </c>
      <c r="M397" s="100">
        <v>228398.269</v>
      </c>
      <c r="N397" s="100" t="s">
        <v>163</v>
      </c>
    </row>
    <row r="398" spans="1:14" ht="12">
      <c r="A398" t="s">
        <v>147</v>
      </c>
      <c r="B398" s="100">
        <v>43.34669</v>
      </c>
      <c r="C398" s="100">
        <v>43.62797</v>
      </c>
      <c r="D398" s="100">
        <v>43.77518</v>
      </c>
      <c r="E398" s="100">
        <v>43.74305</v>
      </c>
      <c r="F398" s="100">
        <v>43.45466</v>
      </c>
      <c r="G398" s="100">
        <v>43.50738</v>
      </c>
      <c r="H398" s="100">
        <v>44.02766</v>
      </c>
      <c r="I398" s="100">
        <v>44.67095</v>
      </c>
      <c r="J398" s="100">
        <v>45.33861</v>
      </c>
      <c r="K398" s="100">
        <v>45.04444</v>
      </c>
      <c r="L398" s="100">
        <v>44.65651</v>
      </c>
      <c r="M398" s="100">
        <v>44.68849</v>
      </c>
      <c r="N398" s="100">
        <v>44.85798</v>
      </c>
    </row>
    <row r="399" spans="1:14" ht="12">
      <c r="A399" t="s">
        <v>148</v>
      </c>
      <c r="B399" s="100">
        <v>44.13224</v>
      </c>
      <c r="C399" s="100">
        <v>44.6239</v>
      </c>
      <c r="D399" s="100">
        <v>44.73177</v>
      </c>
      <c r="E399" s="100">
        <v>44.46374</v>
      </c>
      <c r="F399" s="100">
        <v>44.48657</v>
      </c>
      <c r="G399" s="100">
        <v>44.39063</v>
      </c>
      <c r="H399" s="100">
        <v>44.99546</v>
      </c>
      <c r="I399" s="100">
        <v>46.0966</v>
      </c>
      <c r="J399" s="100">
        <v>46.77218</v>
      </c>
      <c r="K399" s="100">
        <v>46.72175</v>
      </c>
      <c r="L399" s="100">
        <v>46.25228</v>
      </c>
      <c r="M399" s="100">
        <v>46.12167</v>
      </c>
      <c r="N399" s="100">
        <v>46.18566</v>
      </c>
    </row>
    <row r="400" spans="1:14" ht="12">
      <c r="A400" t="s">
        <v>493</v>
      </c>
      <c r="B400" s="100">
        <v>48.86664</v>
      </c>
      <c r="C400" s="100">
        <v>48.67029</v>
      </c>
      <c r="D400" s="100">
        <v>48.31446</v>
      </c>
      <c r="E400" s="100">
        <v>49.17748</v>
      </c>
      <c r="F400" s="100">
        <v>48.76709</v>
      </c>
      <c r="G400" s="100">
        <v>49.34009</v>
      </c>
      <c r="H400" s="100">
        <v>50.32399</v>
      </c>
      <c r="I400" s="100">
        <v>51.63085</v>
      </c>
      <c r="J400" s="100">
        <v>52.69723</v>
      </c>
      <c r="K400" s="100">
        <v>52.14935</v>
      </c>
      <c r="L400" s="100">
        <v>51.34628</v>
      </c>
      <c r="M400" s="100">
        <v>50.76386</v>
      </c>
      <c r="N400" s="100">
        <v>51.18846</v>
      </c>
    </row>
    <row r="401" spans="1:14" ht="12">
      <c r="A401" t="s">
        <v>494</v>
      </c>
      <c r="B401" s="100">
        <v>38.05145</v>
      </c>
      <c r="C401" s="100">
        <v>35.72894</v>
      </c>
      <c r="D401" s="100">
        <v>38.81334</v>
      </c>
      <c r="E401" s="100">
        <v>38.70873</v>
      </c>
      <c r="F401" s="100">
        <v>35.32256</v>
      </c>
      <c r="G401" s="100">
        <v>33.05634</v>
      </c>
      <c r="H401" s="100">
        <v>31.85894</v>
      </c>
      <c r="I401" s="100">
        <v>34.13403</v>
      </c>
      <c r="J401" s="100">
        <v>37.19475</v>
      </c>
      <c r="K401" s="100">
        <v>36.60739</v>
      </c>
      <c r="L401" s="100">
        <v>39.08438</v>
      </c>
      <c r="M401" s="100">
        <v>35.18063</v>
      </c>
      <c r="N401" s="100">
        <v>36.14339</v>
      </c>
    </row>
    <row r="402" spans="1:14" ht="12">
      <c r="A402" t="s">
        <v>495</v>
      </c>
      <c r="B402" s="100">
        <v>39.28178</v>
      </c>
      <c r="C402" s="100">
        <v>39.18503</v>
      </c>
      <c r="D402" s="100">
        <v>39.72079</v>
      </c>
      <c r="E402" s="100">
        <v>38.65728</v>
      </c>
      <c r="F402" s="100">
        <v>38.74971</v>
      </c>
      <c r="G402" s="100">
        <v>39.32462</v>
      </c>
      <c r="H402" s="100">
        <v>40.31033</v>
      </c>
      <c r="I402" s="100">
        <v>40.54975</v>
      </c>
      <c r="J402" s="100">
        <v>41.35496</v>
      </c>
      <c r="K402" s="100">
        <v>40.33468</v>
      </c>
      <c r="L402" s="100">
        <v>41.09117</v>
      </c>
      <c r="M402" s="100">
        <v>40.1649</v>
      </c>
      <c r="N402" s="100">
        <v>40.40463</v>
      </c>
    </row>
    <row r="403" spans="1:14" ht="12">
      <c r="A403" t="s">
        <v>496</v>
      </c>
      <c r="B403" s="100">
        <v>56.19653</v>
      </c>
      <c r="C403" s="100">
        <v>54.81685</v>
      </c>
      <c r="D403" s="100">
        <v>54.61188</v>
      </c>
      <c r="E403" s="100">
        <v>53.58468</v>
      </c>
      <c r="F403" s="100">
        <v>53.73816</v>
      </c>
      <c r="G403" s="100">
        <v>53.963</v>
      </c>
      <c r="H403" s="100">
        <v>54.37355</v>
      </c>
      <c r="I403" s="100">
        <v>54.46448</v>
      </c>
      <c r="J403" s="100">
        <v>54.58473</v>
      </c>
      <c r="K403" s="100">
        <v>56.36214</v>
      </c>
      <c r="L403" s="100">
        <v>53.30663</v>
      </c>
      <c r="M403" s="100">
        <v>53.18694</v>
      </c>
      <c r="N403" s="100">
        <v>52.87957</v>
      </c>
    </row>
    <row r="404" spans="1:14" ht="12">
      <c r="A404" t="s">
        <v>497</v>
      </c>
      <c r="B404" s="100">
        <v>42.78313</v>
      </c>
      <c r="C404" s="100">
        <v>42.97483</v>
      </c>
      <c r="D404" s="100">
        <v>43.00462</v>
      </c>
      <c r="E404" s="100">
        <v>43.39597</v>
      </c>
      <c r="F404" s="100">
        <v>44.34121</v>
      </c>
      <c r="G404" s="100">
        <v>43.03446</v>
      </c>
      <c r="H404" s="100">
        <v>43.75322</v>
      </c>
      <c r="I404" s="100">
        <v>44.26171</v>
      </c>
      <c r="J404" s="100">
        <v>44.54799</v>
      </c>
      <c r="K404" s="100">
        <v>44.61549</v>
      </c>
      <c r="L404" s="100">
        <v>44.49496</v>
      </c>
      <c r="M404" s="100">
        <v>44.98119</v>
      </c>
      <c r="N404" s="100">
        <v>45.18565</v>
      </c>
    </row>
    <row r="405" spans="1:14" ht="12">
      <c r="A405" t="s">
        <v>498</v>
      </c>
      <c r="B405" s="100">
        <v>35.10297</v>
      </c>
      <c r="C405" s="100">
        <v>36.47173</v>
      </c>
      <c r="D405" s="100">
        <v>36.80631</v>
      </c>
      <c r="E405" s="100">
        <v>37.0824</v>
      </c>
      <c r="F405" s="100">
        <v>43.86865</v>
      </c>
      <c r="G405" s="100">
        <v>40.70048</v>
      </c>
      <c r="H405" s="100">
        <v>38.58436</v>
      </c>
      <c r="I405" s="100">
        <v>39.04512</v>
      </c>
      <c r="J405" s="100">
        <v>38.28219</v>
      </c>
      <c r="K405" s="100">
        <v>39.11253</v>
      </c>
      <c r="L405" s="100">
        <v>40.29694</v>
      </c>
      <c r="M405" s="100">
        <v>40.33358</v>
      </c>
      <c r="N405" s="100">
        <v>39.91601</v>
      </c>
    </row>
    <row r="406" spans="1:14" ht="12">
      <c r="A406" t="s">
        <v>499</v>
      </c>
      <c r="B406" s="100">
        <v>34.95963</v>
      </c>
      <c r="C406" s="100">
        <v>36.66833</v>
      </c>
      <c r="D406" s="100">
        <v>36.22679</v>
      </c>
      <c r="E406" s="100">
        <v>34.85647</v>
      </c>
      <c r="F406" s="100">
        <v>33.21023</v>
      </c>
      <c r="G406" s="100">
        <v>33.04408</v>
      </c>
      <c r="H406" s="100">
        <v>33.585</v>
      </c>
      <c r="I406" s="100">
        <v>33.89007</v>
      </c>
      <c r="J406" s="100">
        <v>34.11825</v>
      </c>
      <c r="K406" s="100">
        <v>33.93589</v>
      </c>
      <c r="L406" s="100">
        <v>27.04287</v>
      </c>
      <c r="M406" s="100">
        <v>26.62686</v>
      </c>
      <c r="N406" s="100">
        <v>25.72781</v>
      </c>
    </row>
    <row r="407" spans="1:14" ht="12">
      <c r="A407" t="s">
        <v>500</v>
      </c>
      <c r="B407" s="100">
        <v>39.37366</v>
      </c>
      <c r="C407" s="100">
        <v>39.17075</v>
      </c>
      <c r="D407" s="100">
        <v>40.36235</v>
      </c>
      <c r="E407" s="100">
        <v>40.66938</v>
      </c>
      <c r="F407" s="100">
        <v>38.93671</v>
      </c>
      <c r="G407" s="100">
        <v>41.28054</v>
      </c>
      <c r="H407" s="100">
        <v>43.80691</v>
      </c>
      <c r="I407" s="100">
        <v>46.86513</v>
      </c>
      <c r="J407" s="100">
        <v>49.14145</v>
      </c>
      <c r="K407" s="100">
        <v>46.63319</v>
      </c>
      <c r="L407" s="100">
        <v>48.15441</v>
      </c>
      <c r="M407" s="100">
        <v>50.15241</v>
      </c>
      <c r="N407" s="100">
        <v>48.82325</v>
      </c>
    </row>
    <row r="408" spans="1:14" ht="12">
      <c r="A408" t="s">
        <v>501</v>
      </c>
      <c r="B408" s="100">
        <v>39.52465</v>
      </c>
      <c r="C408" s="100">
        <v>40.48418</v>
      </c>
      <c r="D408" s="100">
        <v>40.95134</v>
      </c>
      <c r="E408" s="100">
        <v>36.73507</v>
      </c>
      <c r="F408" s="100">
        <v>34.82761</v>
      </c>
      <c r="G408" s="100">
        <v>36.24621</v>
      </c>
      <c r="H408" s="100">
        <v>36.18837</v>
      </c>
      <c r="I408" s="100">
        <v>37.63458</v>
      </c>
      <c r="J408" s="100">
        <v>38.57285</v>
      </c>
      <c r="K408" s="100">
        <v>38.87784</v>
      </c>
      <c r="L408" s="100">
        <v>38.49415</v>
      </c>
      <c r="M408" s="100">
        <v>37.69546</v>
      </c>
      <c r="N408" s="100">
        <v>37.90611</v>
      </c>
    </row>
    <row r="409" spans="1:14" ht="12">
      <c r="A409" t="s">
        <v>502</v>
      </c>
      <c r="B409" s="100">
        <v>49.93848</v>
      </c>
      <c r="C409" s="100">
        <v>50.43203</v>
      </c>
      <c r="D409" s="100">
        <v>49.92922</v>
      </c>
      <c r="E409" s="100">
        <v>50.03257</v>
      </c>
      <c r="F409" s="100">
        <v>49.97706</v>
      </c>
      <c r="G409" s="100">
        <v>49.99506</v>
      </c>
      <c r="H409" s="100">
        <v>51.13593</v>
      </c>
      <c r="I409" s="100">
        <v>52.12628</v>
      </c>
      <c r="J409" s="100">
        <v>53.14371</v>
      </c>
      <c r="K409" s="100">
        <v>53.30894</v>
      </c>
      <c r="L409" s="100">
        <v>53.1724</v>
      </c>
      <c r="M409" s="100">
        <v>53.16616</v>
      </c>
      <c r="N409" s="100">
        <v>53.88677</v>
      </c>
    </row>
    <row r="410" spans="1:14" ht="12">
      <c r="A410" t="s">
        <v>503</v>
      </c>
      <c r="B410" s="100">
        <v>42.88893</v>
      </c>
      <c r="C410" s="100">
        <v>43.02811</v>
      </c>
      <c r="D410" s="100">
        <v>43.0374</v>
      </c>
      <c r="E410" s="100">
        <v>42.66543</v>
      </c>
      <c r="F410" s="100">
        <v>42.35071</v>
      </c>
      <c r="G410" s="100">
        <v>40.77589</v>
      </c>
      <c r="H410" s="100">
        <v>40.39772</v>
      </c>
      <c r="I410" s="100">
        <v>42.0539</v>
      </c>
      <c r="J410" s="100">
        <v>42.42267</v>
      </c>
      <c r="K410" s="100">
        <v>42.98221</v>
      </c>
      <c r="L410" s="100">
        <v>44.93014</v>
      </c>
      <c r="M410" s="100">
        <v>46.26232</v>
      </c>
      <c r="N410" s="100">
        <v>46.0219</v>
      </c>
    </row>
    <row r="411" spans="1:14" ht="12">
      <c r="A411" t="s">
        <v>504</v>
      </c>
      <c r="B411" s="100">
        <v>43.03874</v>
      </c>
      <c r="C411" s="100">
        <v>44.10647</v>
      </c>
      <c r="D411" s="100">
        <v>45.32631</v>
      </c>
      <c r="E411" s="100">
        <v>45.19938</v>
      </c>
      <c r="F411" s="100">
        <v>45.91029</v>
      </c>
      <c r="G411" s="100">
        <v>45.67868</v>
      </c>
      <c r="H411" s="100">
        <v>45.70064</v>
      </c>
      <c r="I411" s="100">
        <v>47.86932</v>
      </c>
      <c r="J411" s="100">
        <v>48.14212</v>
      </c>
      <c r="K411" s="100">
        <v>47.91633</v>
      </c>
      <c r="L411" s="100">
        <v>47.71852</v>
      </c>
      <c r="M411" s="100">
        <v>46.86718</v>
      </c>
      <c r="N411" s="100">
        <v>46.58931</v>
      </c>
    </row>
    <row r="412" spans="1:14" ht="12">
      <c r="A412" t="s">
        <v>505</v>
      </c>
      <c r="B412" s="100">
        <v>37.09883</v>
      </c>
      <c r="C412" s="100">
        <v>37.67125</v>
      </c>
      <c r="D412" s="100">
        <v>40.81923</v>
      </c>
      <c r="E412" s="100">
        <v>39.27508</v>
      </c>
      <c r="F412" s="100">
        <v>36.67068</v>
      </c>
      <c r="G412" s="100">
        <v>37.32169</v>
      </c>
      <c r="H412" s="100">
        <v>36.65906</v>
      </c>
      <c r="I412" s="100">
        <v>36.35305</v>
      </c>
      <c r="J412" s="100">
        <v>36.73438</v>
      </c>
      <c r="K412" s="100">
        <v>39.84005</v>
      </c>
      <c r="L412" s="100">
        <v>39.32082</v>
      </c>
      <c r="M412" s="100">
        <v>38.89929</v>
      </c>
      <c r="N412" s="100">
        <v>39.96867</v>
      </c>
    </row>
    <row r="413" spans="1:14" ht="12">
      <c r="A413" t="s">
        <v>506</v>
      </c>
      <c r="B413" s="100">
        <v>33.81276</v>
      </c>
      <c r="C413" s="100">
        <v>35.54907</v>
      </c>
      <c r="D413" s="100">
        <v>33.47696</v>
      </c>
      <c r="E413" s="100">
        <v>33.44196</v>
      </c>
      <c r="F413" s="100">
        <v>35.04644</v>
      </c>
      <c r="G413" s="100">
        <v>36.81739</v>
      </c>
      <c r="H413" s="100">
        <v>36.16429</v>
      </c>
      <c r="I413" s="100">
        <v>36.76114</v>
      </c>
      <c r="J413" s="100">
        <v>36.56699</v>
      </c>
      <c r="K413" s="100">
        <v>36.61991</v>
      </c>
      <c r="L413" s="100">
        <v>36.8611</v>
      </c>
      <c r="M413" s="100">
        <v>37.19916</v>
      </c>
      <c r="N413" s="100">
        <v>37.54381</v>
      </c>
    </row>
    <row r="414" spans="1:14" ht="12">
      <c r="A414" t="s">
        <v>507</v>
      </c>
      <c r="B414" s="100">
        <v>33.73583</v>
      </c>
      <c r="C414" s="100">
        <v>34.03839</v>
      </c>
      <c r="D414" s="100">
        <v>34.44041</v>
      </c>
      <c r="E414" s="100">
        <v>35.00787</v>
      </c>
      <c r="F414" s="100">
        <v>35.78272</v>
      </c>
      <c r="G414" s="100">
        <v>35.39811</v>
      </c>
      <c r="H414" s="100">
        <v>33.53315</v>
      </c>
      <c r="I414" s="100">
        <v>32.95679</v>
      </c>
      <c r="J414" s="100">
        <v>32.88301</v>
      </c>
      <c r="K414" s="100">
        <v>34.0212</v>
      </c>
      <c r="L414" s="100">
        <v>34.64404</v>
      </c>
      <c r="M414" s="100">
        <v>34.4716</v>
      </c>
      <c r="N414" s="100">
        <v>33.79586</v>
      </c>
    </row>
    <row r="415" spans="1:14" ht="12">
      <c r="A415" t="s">
        <v>508</v>
      </c>
      <c r="B415" s="100">
        <v>43.65638</v>
      </c>
      <c r="C415" s="100">
        <v>41.59611</v>
      </c>
      <c r="D415" s="100">
        <v>41.95686</v>
      </c>
      <c r="E415" s="100">
        <v>43.01553</v>
      </c>
      <c r="F415" s="100">
        <v>44.46876</v>
      </c>
      <c r="G415" s="100">
        <v>43.4676</v>
      </c>
      <c r="H415" s="100">
        <v>42.87893</v>
      </c>
      <c r="I415" s="100">
        <v>44.41482</v>
      </c>
      <c r="J415" s="100">
        <v>44.29738</v>
      </c>
      <c r="K415" s="100">
        <v>43.13953</v>
      </c>
      <c r="L415" s="100">
        <v>42.89775</v>
      </c>
      <c r="M415" s="100">
        <v>43.74399</v>
      </c>
      <c r="N415" s="100">
        <v>44.37076</v>
      </c>
    </row>
    <row r="416" spans="1:14" ht="12">
      <c r="A416" t="s">
        <v>509</v>
      </c>
      <c r="B416" s="100">
        <v>41.57594</v>
      </c>
      <c r="C416" s="100">
        <v>42.15435</v>
      </c>
      <c r="D416" s="100">
        <v>44.80486</v>
      </c>
      <c r="E416" s="100">
        <v>44.89852</v>
      </c>
      <c r="F416" s="100">
        <v>45.82359</v>
      </c>
      <c r="G416" s="100">
        <v>44.76346</v>
      </c>
      <c r="H416" s="100">
        <v>44.0338</v>
      </c>
      <c r="I416" s="100">
        <v>46.07058</v>
      </c>
      <c r="J416" s="100">
        <v>46.67895</v>
      </c>
      <c r="K416" s="100">
        <v>46.77562</v>
      </c>
      <c r="L416" s="100">
        <v>48.20118</v>
      </c>
      <c r="M416" s="100">
        <v>44.86921</v>
      </c>
      <c r="N416" s="100">
        <v>44.54401</v>
      </c>
    </row>
    <row r="417" spans="1:14" ht="12">
      <c r="A417" t="s">
        <v>510</v>
      </c>
      <c r="B417" s="100">
        <v>39.61611</v>
      </c>
      <c r="C417" s="100">
        <v>39.80282</v>
      </c>
      <c r="D417" s="100">
        <v>38.99964</v>
      </c>
      <c r="E417" s="100">
        <v>38.45331</v>
      </c>
      <c r="F417" s="100">
        <v>38.64233</v>
      </c>
      <c r="G417" s="100">
        <v>38.66957</v>
      </c>
      <c r="H417" s="100">
        <v>38.81861</v>
      </c>
      <c r="I417" s="100">
        <v>39.24367</v>
      </c>
      <c r="J417" s="100">
        <v>39.53542</v>
      </c>
      <c r="K417" s="100">
        <v>39.57637</v>
      </c>
      <c r="L417" s="100">
        <v>39.03121</v>
      </c>
      <c r="M417" s="100">
        <v>38.08964</v>
      </c>
      <c r="N417" s="100">
        <v>40.46023</v>
      </c>
    </row>
    <row r="418" spans="1:14" ht="12">
      <c r="A418" t="s">
        <v>511</v>
      </c>
      <c r="B418" s="100">
        <v>42.05759</v>
      </c>
      <c r="C418" s="100">
        <v>43.24755</v>
      </c>
      <c r="D418" s="100">
        <v>42.66371</v>
      </c>
      <c r="E418" s="100">
        <v>43.78367</v>
      </c>
      <c r="F418" s="100">
        <v>42.74088</v>
      </c>
      <c r="G418" s="100">
        <v>43.16387</v>
      </c>
      <c r="H418" s="100">
        <v>42.68558</v>
      </c>
      <c r="I418" s="100">
        <v>43.21397</v>
      </c>
      <c r="J418" s="100">
        <v>43.89734</v>
      </c>
      <c r="K418" s="100">
        <v>43.91742</v>
      </c>
      <c r="L418" s="100">
        <v>42.83225</v>
      </c>
      <c r="M418" s="100">
        <v>43.80929</v>
      </c>
      <c r="N418" s="100">
        <v>43.65016</v>
      </c>
    </row>
    <row r="419" spans="1:14" ht="12">
      <c r="A419" t="s">
        <v>512</v>
      </c>
      <c r="B419" s="100">
        <v>48.64717</v>
      </c>
      <c r="C419" s="100">
        <v>47.84449</v>
      </c>
      <c r="D419" s="100">
        <v>47.8895</v>
      </c>
      <c r="E419" s="100">
        <v>48.37872</v>
      </c>
      <c r="F419" s="100">
        <v>48.81509</v>
      </c>
      <c r="G419" s="100">
        <v>48.39851</v>
      </c>
      <c r="H419" s="100">
        <v>48.34335</v>
      </c>
      <c r="I419" s="100">
        <v>49.02397</v>
      </c>
      <c r="J419" s="100">
        <v>49.69759</v>
      </c>
      <c r="K419" s="100">
        <v>49.60817</v>
      </c>
      <c r="L419" s="100">
        <v>49.94843</v>
      </c>
      <c r="M419" s="100">
        <v>49.04363</v>
      </c>
      <c r="N419" s="100">
        <v>48.37271</v>
      </c>
    </row>
    <row r="420" spans="1:14" ht="12">
      <c r="A420" t="s">
        <v>513</v>
      </c>
      <c r="B420" s="100">
        <v>40.43318</v>
      </c>
      <c r="C420" s="100">
        <v>41.10555</v>
      </c>
      <c r="D420" s="100">
        <v>41.35542</v>
      </c>
      <c r="E420" s="100">
        <v>40.69502</v>
      </c>
      <c r="F420" s="100">
        <v>37.78968</v>
      </c>
      <c r="G420" s="100">
        <v>38.46535</v>
      </c>
      <c r="H420" s="100">
        <v>39.0525</v>
      </c>
      <c r="I420" s="100">
        <v>39.14767</v>
      </c>
      <c r="J420" s="100">
        <v>38.48186</v>
      </c>
      <c r="K420" s="100">
        <v>38.6365</v>
      </c>
      <c r="L420" s="100">
        <v>38.91965</v>
      </c>
      <c r="M420" s="100">
        <v>38.78393</v>
      </c>
      <c r="N420" s="100">
        <v>39.55557</v>
      </c>
    </row>
    <row r="421" spans="1:14" ht="12">
      <c r="A421" t="s">
        <v>514</v>
      </c>
      <c r="B421" s="100">
        <v>40.48304</v>
      </c>
      <c r="C421" s="100">
        <v>40.91403</v>
      </c>
      <c r="D421" s="100">
        <v>41.47784</v>
      </c>
      <c r="E421" s="100">
        <v>41.56984</v>
      </c>
      <c r="F421" s="100">
        <v>40.41795</v>
      </c>
      <c r="G421" s="100">
        <v>40.64746</v>
      </c>
      <c r="H421" s="100">
        <v>42.6336</v>
      </c>
      <c r="I421" s="100">
        <v>42.8684</v>
      </c>
      <c r="J421" s="100">
        <v>45.09746</v>
      </c>
      <c r="K421" s="100">
        <v>44.60135</v>
      </c>
      <c r="L421" s="100">
        <v>43.79709</v>
      </c>
      <c r="M421" s="100">
        <v>42.96936</v>
      </c>
      <c r="N421" s="100">
        <v>42.91174</v>
      </c>
    </row>
    <row r="422" spans="1:14" ht="12">
      <c r="A422" t="s">
        <v>515</v>
      </c>
      <c r="B422" s="100">
        <v>32.26455</v>
      </c>
      <c r="C422" s="100">
        <v>33.08043</v>
      </c>
      <c r="D422" s="100">
        <v>34.46917</v>
      </c>
      <c r="E422" s="100">
        <v>32.38717</v>
      </c>
      <c r="F422" s="100">
        <v>30.54031</v>
      </c>
      <c r="G422" s="100">
        <v>32.95413</v>
      </c>
      <c r="H422" s="100">
        <v>33.90182</v>
      </c>
      <c r="I422" s="100">
        <v>33.56775</v>
      </c>
      <c r="J422" s="100">
        <v>33.23983</v>
      </c>
      <c r="K422" s="100">
        <v>33.61794</v>
      </c>
      <c r="L422" s="100">
        <v>34.97014</v>
      </c>
      <c r="M422" s="100">
        <v>31.64776</v>
      </c>
      <c r="N422" s="100">
        <v>30.46021</v>
      </c>
    </row>
    <row r="423" spans="1:14" ht="12">
      <c r="A423" t="s">
        <v>516</v>
      </c>
      <c r="B423" s="100">
        <v>43.58143</v>
      </c>
      <c r="C423" s="100">
        <v>43.01314</v>
      </c>
      <c r="D423" s="100">
        <v>42.10762</v>
      </c>
      <c r="E423" s="100">
        <v>42.4563</v>
      </c>
      <c r="F423" s="100">
        <v>42.37614</v>
      </c>
      <c r="G423" s="100">
        <v>43.62386</v>
      </c>
      <c r="H423" s="100">
        <v>43.32863</v>
      </c>
      <c r="I423" s="100">
        <v>44.47303</v>
      </c>
      <c r="J423" s="100">
        <v>44.83802</v>
      </c>
      <c r="K423" s="100">
        <v>44.34118</v>
      </c>
      <c r="L423" s="100">
        <v>44.89334</v>
      </c>
      <c r="M423" s="100">
        <v>43.34338</v>
      </c>
      <c r="N423" s="100">
        <v>43.11302</v>
      </c>
    </row>
    <row r="424" spans="1:14" ht="12">
      <c r="A424" t="s">
        <v>517</v>
      </c>
      <c r="B424" s="100">
        <v>36.89221</v>
      </c>
      <c r="C424" s="100">
        <v>35.17036</v>
      </c>
      <c r="D424" s="100">
        <v>34.39046</v>
      </c>
      <c r="E424" s="100">
        <v>34.51004</v>
      </c>
      <c r="F424" s="100">
        <v>36.28015</v>
      </c>
      <c r="G424" s="100">
        <v>34.66008</v>
      </c>
      <c r="H424" s="100">
        <v>36.53993</v>
      </c>
      <c r="I424" s="100">
        <v>36.28517</v>
      </c>
      <c r="J424" s="100">
        <v>38.72076</v>
      </c>
      <c r="K424" s="100">
        <v>39.33269</v>
      </c>
      <c r="L424" s="100">
        <v>42.50248</v>
      </c>
      <c r="M424" s="100">
        <v>39.30055</v>
      </c>
      <c r="N424" s="100">
        <v>39.37877</v>
      </c>
    </row>
    <row r="425" spans="1:14" ht="12">
      <c r="A425" t="s">
        <v>518</v>
      </c>
      <c r="B425" s="100">
        <v>51.86846</v>
      </c>
      <c r="C425" s="100">
        <v>52.27154</v>
      </c>
      <c r="D425" s="100">
        <v>51.92835</v>
      </c>
      <c r="E425" s="100">
        <v>52.43946</v>
      </c>
      <c r="F425" s="100">
        <v>52.22975</v>
      </c>
      <c r="G425" s="100">
        <v>52.14484</v>
      </c>
      <c r="H425" s="100">
        <v>53.34004</v>
      </c>
      <c r="I425" s="100">
        <v>54.02041</v>
      </c>
      <c r="J425" s="100">
        <v>54.88743</v>
      </c>
      <c r="K425" s="100">
        <v>54.89843</v>
      </c>
      <c r="L425" s="100">
        <v>54.3773</v>
      </c>
      <c r="M425" s="100">
        <v>54.19492</v>
      </c>
      <c r="N425" s="100">
        <v>53.16032</v>
      </c>
    </row>
    <row r="426" spans="1:14" ht="12">
      <c r="A426" t="s">
        <v>519</v>
      </c>
      <c r="B426" s="100">
        <v>54.20128</v>
      </c>
      <c r="C426" s="100">
        <v>53.24101</v>
      </c>
      <c r="D426" s="100">
        <v>52.69054</v>
      </c>
      <c r="E426" s="100">
        <v>51.96781</v>
      </c>
      <c r="F426" s="100">
        <v>52.02926</v>
      </c>
      <c r="G426" s="100">
        <v>50.78011</v>
      </c>
      <c r="H426" s="100">
        <v>50.10664</v>
      </c>
      <c r="I426" s="100">
        <v>50.37516</v>
      </c>
      <c r="J426" s="100">
        <v>50.64101</v>
      </c>
      <c r="K426" s="100">
        <v>49.56671</v>
      </c>
      <c r="L426" s="100">
        <v>49.81428</v>
      </c>
      <c r="M426" s="100">
        <v>50.62228</v>
      </c>
      <c r="N426" s="100">
        <v>50.33944</v>
      </c>
    </row>
    <row r="427" spans="1:14" ht="12">
      <c r="A427" t="s">
        <v>520</v>
      </c>
      <c r="B427" s="100">
        <v>38.20689</v>
      </c>
      <c r="C427" s="100">
        <v>38.06052</v>
      </c>
      <c r="D427" s="100">
        <v>38.38965</v>
      </c>
      <c r="E427" s="100">
        <v>39.43479</v>
      </c>
      <c r="F427" s="100">
        <v>37.40252</v>
      </c>
      <c r="G427" s="100">
        <v>38.37552</v>
      </c>
      <c r="H427" s="100">
        <v>38.7192</v>
      </c>
      <c r="I427" s="100">
        <v>37.82919</v>
      </c>
      <c r="J427" s="100">
        <v>38.77478</v>
      </c>
      <c r="K427" s="100">
        <v>37.73895</v>
      </c>
      <c r="L427" s="100">
        <v>38.12881</v>
      </c>
      <c r="M427" s="100">
        <v>38.5567</v>
      </c>
      <c r="N427" s="100">
        <v>39.13144</v>
      </c>
    </row>
    <row r="428" spans="1:14" ht="12">
      <c r="A428" t="s">
        <v>521</v>
      </c>
      <c r="B428" s="100">
        <v>46.08078</v>
      </c>
      <c r="C428" s="100">
        <v>46.98398</v>
      </c>
      <c r="D428" s="100">
        <v>45.87247</v>
      </c>
      <c r="E428" s="100">
        <v>42.22763</v>
      </c>
      <c r="F428" s="100">
        <v>38.55924</v>
      </c>
      <c r="G428" s="100">
        <v>39.40373</v>
      </c>
      <c r="H428" s="100">
        <v>39.94019</v>
      </c>
      <c r="I428" s="100">
        <v>41.43731</v>
      </c>
      <c r="J428" s="100">
        <v>41.88768</v>
      </c>
      <c r="K428" s="100">
        <v>44.88826</v>
      </c>
      <c r="L428" s="100">
        <v>41.65397</v>
      </c>
      <c r="M428" s="100">
        <v>57.81926</v>
      </c>
      <c r="N428" s="100">
        <v>43.43619</v>
      </c>
    </row>
    <row r="429" spans="1:14" ht="12">
      <c r="A429" t="s">
        <v>522</v>
      </c>
      <c r="B429" s="100">
        <v>56.88316</v>
      </c>
      <c r="C429" s="100">
        <v>58.82828</v>
      </c>
      <c r="D429" s="100">
        <v>58.53712</v>
      </c>
      <c r="E429" s="100">
        <v>58.86488</v>
      </c>
      <c r="F429" s="100">
        <v>56.39199</v>
      </c>
      <c r="G429" s="100">
        <v>55.93728</v>
      </c>
      <c r="H429" s="100">
        <v>57.1852</v>
      </c>
      <c r="I429" s="100">
        <v>56.72007</v>
      </c>
      <c r="J429" s="100">
        <v>54.73949</v>
      </c>
      <c r="K429" s="100">
        <v>54.53641</v>
      </c>
      <c r="L429" s="100">
        <v>54.8587</v>
      </c>
      <c r="M429" s="100">
        <v>54.81878</v>
      </c>
      <c r="N429" s="100">
        <v>54.77869</v>
      </c>
    </row>
    <row r="430" spans="1:14" ht="12">
      <c r="A430" t="s">
        <v>523</v>
      </c>
      <c r="B430" s="100">
        <v>33.11535</v>
      </c>
      <c r="C430" s="100">
        <v>32.80057</v>
      </c>
      <c r="D430" s="100">
        <v>32.33067</v>
      </c>
      <c r="E430" s="100">
        <v>33.21139</v>
      </c>
      <c r="F430" s="100">
        <v>33.70783</v>
      </c>
      <c r="G430" s="100">
        <v>33.33831</v>
      </c>
      <c r="H430" s="100">
        <v>33.63349</v>
      </c>
      <c r="I430" s="100">
        <v>33.60855</v>
      </c>
      <c r="J430" s="100">
        <v>33.79856</v>
      </c>
      <c r="K430" s="100">
        <v>33.5603</v>
      </c>
      <c r="L430" s="100">
        <v>34.68248</v>
      </c>
      <c r="M430" s="100">
        <v>34.65948</v>
      </c>
      <c r="N430" s="100" t="s">
        <v>163</v>
      </c>
    </row>
    <row r="431" spans="1:14" ht="12">
      <c r="A431" t="s">
        <v>524</v>
      </c>
      <c r="B431" s="100">
        <v>12.5118</v>
      </c>
      <c r="C431" s="100">
        <v>12.93692</v>
      </c>
      <c r="D431" s="100">
        <v>13.20436</v>
      </c>
      <c r="E431" s="100">
        <v>12.90542</v>
      </c>
      <c r="F431" s="100">
        <v>12.13808</v>
      </c>
      <c r="G431" s="100">
        <v>12.10731</v>
      </c>
      <c r="H431" s="100">
        <v>12.29488</v>
      </c>
      <c r="I431" s="100">
        <v>12.64706</v>
      </c>
      <c r="J431" s="100">
        <v>12.89335</v>
      </c>
      <c r="K431" s="100">
        <v>12.87704</v>
      </c>
      <c r="L431" s="100">
        <v>12.91169</v>
      </c>
      <c r="M431" s="100">
        <v>12.99144</v>
      </c>
      <c r="N431" s="100">
        <v>13.17113</v>
      </c>
    </row>
    <row r="432" spans="1:14" ht="12">
      <c r="A432" t="s">
        <v>525</v>
      </c>
      <c r="B432" s="100">
        <v>11.47144</v>
      </c>
      <c r="C432" s="100">
        <v>12.03253</v>
      </c>
      <c r="D432" s="100">
        <v>12.39984</v>
      </c>
      <c r="E432" s="100">
        <v>12.27087</v>
      </c>
      <c r="F432" s="100">
        <v>11.4473</v>
      </c>
      <c r="G432" s="100">
        <v>11.40866</v>
      </c>
      <c r="H432" s="100">
        <v>11.67926</v>
      </c>
      <c r="I432" s="100">
        <v>12.249</v>
      </c>
      <c r="J432" s="100">
        <v>12.57858</v>
      </c>
      <c r="K432" s="100">
        <v>12.5322</v>
      </c>
      <c r="L432" s="100">
        <v>12.56878</v>
      </c>
      <c r="M432" s="100">
        <v>12.61253</v>
      </c>
      <c r="N432" s="100">
        <v>12.85439</v>
      </c>
    </row>
    <row r="433" spans="1:14" ht="12">
      <c r="A433" t="s">
        <v>526</v>
      </c>
      <c r="B433" s="100">
        <v>16.26941</v>
      </c>
      <c r="C433" s="100">
        <v>16.12177</v>
      </c>
      <c r="D433" s="100">
        <v>15.86856</v>
      </c>
      <c r="E433" s="100">
        <v>16.13211</v>
      </c>
      <c r="F433" s="100">
        <v>14.94677</v>
      </c>
      <c r="G433" s="100">
        <v>15.25109</v>
      </c>
      <c r="H433" s="100">
        <v>15.75545</v>
      </c>
      <c r="I433" s="100">
        <v>16.13246</v>
      </c>
      <c r="J433" s="100">
        <v>16.74115</v>
      </c>
      <c r="K433" s="100">
        <v>16.76497</v>
      </c>
      <c r="L433" s="100">
        <v>16.57721</v>
      </c>
      <c r="M433" s="100">
        <v>16.2519</v>
      </c>
      <c r="N433" s="100">
        <v>16.82538</v>
      </c>
    </row>
    <row r="434" spans="1:14" ht="12">
      <c r="A434" t="s">
        <v>527</v>
      </c>
      <c r="B434" s="100">
        <v>4.53733</v>
      </c>
      <c r="C434" s="100">
        <v>4.64695</v>
      </c>
      <c r="D434" s="100">
        <v>7.2352</v>
      </c>
      <c r="E434" s="100">
        <v>5.83576</v>
      </c>
      <c r="F434" s="100">
        <v>5.25114</v>
      </c>
      <c r="G434" s="100">
        <v>4.84261</v>
      </c>
      <c r="H434" s="100">
        <v>4.59805</v>
      </c>
      <c r="I434" s="100">
        <v>4.684</v>
      </c>
      <c r="J434" s="100">
        <v>5.09744</v>
      </c>
      <c r="K434" s="100">
        <v>5.41258</v>
      </c>
      <c r="L434" s="100">
        <v>5.41742</v>
      </c>
      <c r="M434" s="100">
        <v>5.61101</v>
      </c>
      <c r="N434" s="100">
        <v>5.89272</v>
      </c>
    </row>
    <row r="435" spans="1:14" ht="12">
      <c r="A435" t="s">
        <v>528</v>
      </c>
      <c r="B435" s="100">
        <v>8.55148</v>
      </c>
      <c r="C435" s="100">
        <v>8.556</v>
      </c>
      <c r="D435" s="100">
        <v>8.76666</v>
      </c>
      <c r="E435" s="100">
        <v>7.78081</v>
      </c>
      <c r="F435" s="100">
        <v>7.08092</v>
      </c>
      <c r="G435" s="100">
        <v>6.79201</v>
      </c>
      <c r="H435" s="100">
        <v>6.99264</v>
      </c>
      <c r="I435" s="100">
        <v>6.94835</v>
      </c>
      <c r="J435" s="100">
        <v>7.1622</v>
      </c>
      <c r="K435" s="100">
        <v>7.30873</v>
      </c>
      <c r="L435" s="100">
        <v>7.22538</v>
      </c>
      <c r="M435" s="100">
        <v>7.57205</v>
      </c>
      <c r="N435" s="100">
        <v>7.71268</v>
      </c>
    </row>
    <row r="436" spans="1:14" ht="12">
      <c r="A436" t="s">
        <v>529</v>
      </c>
      <c r="B436" s="100">
        <v>30.26991</v>
      </c>
      <c r="C436" s="100">
        <v>28.82212</v>
      </c>
      <c r="D436" s="100">
        <v>28.62239</v>
      </c>
      <c r="E436" s="100">
        <v>27.90749</v>
      </c>
      <c r="F436" s="100">
        <v>28.34916</v>
      </c>
      <c r="G436" s="100">
        <v>28.52977</v>
      </c>
      <c r="H436" s="100">
        <v>28.41708</v>
      </c>
      <c r="I436" s="100">
        <v>29.16118</v>
      </c>
      <c r="J436" s="100">
        <v>30.19754</v>
      </c>
      <c r="K436" s="100">
        <v>33.15292</v>
      </c>
      <c r="L436" s="100">
        <v>30.63571</v>
      </c>
      <c r="M436" s="100">
        <v>30.01919</v>
      </c>
      <c r="N436" s="100">
        <v>30.06221</v>
      </c>
    </row>
    <row r="437" spans="1:14" ht="12">
      <c r="A437" t="s">
        <v>530</v>
      </c>
      <c r="B437" s="100">
        <v>10.52876</v>
      </c>
      <c r="C437" s="100">
        <v>11.29911</v>
      </c>
      <c r="D437" s="100">
        <v>11.68321</v>
      </c>
      <c r="E437" s="100">
        <v>12.00906</v>
      </c>
      <c r="F437" s="100">
        <v>11.1645</v>
      </c>
      <c r="G437" s="100">
        <v>10.6263</v>
      </c>
      <c r="H437" s="100">
        <v>11.07594</v>
      </c>
      <c r="I437" s="100">
        <v>11.59666</v>
      </c>
      <c r="J437" s="100">
        <v>12.04922</v>
      </c>
      <c r="K437" s="100">
        <v>12.06358</v>
      </c>
      <c r="L437" s="100">
        <v>12.23081</v>
      </c>
      <c r="M437" s="100">
        <v>12.63412</v>
      </c>
      <c r="N437" s="100">
        <v>12.94899</v>
      </c>
    </row>
    <row r="438" spans="1:14" ht="12">
      <c r="A438" t="s">
        <v>531</v>
      </c>
      <c r="B438" s="100">
        <v>6.94175</v>
      </c>
      <c r="C438" s="100">
        <v>6.9969</v>
      </c>
      <c r="D438" s="100">
        <v>7.36594</v>
      </c>
      <c r="E438" s="100">
        <v>7.73191</v>
      </c>
      <c r="F438" s="100">
        <v>7.38661</v>
      </c>
      <c r="G438" s="100">
        <v>6.59259</v>
      </c>
      <c r="H438" s="100">
        <v>6.28104</v>
      </c>
      <c r="I438" s="100">
        <v>6.59998</v>
      </c>
      <c r="J438" s="100">
        <v>7.1687</v>
      </c>
      <c r="K438" s="100">
        <v>7.48041</v>
      </c>
      <c r="L438" s="100">
        <v>7.89672</v>
      </c>
      <c r="M438" s="100">
        <v>7.71579</v>
      </c>
      <c r="N438" s="100">
        <v>7.43404</v>
      </c>
    </row>
    <row r="439" spans="1:14" ht="12">
      <c r="A439" t="s">
        <v>532</v>
      </c>
      <c r="B439" s="100">
        <v>12.80085</v>
      </c>
      <c r="C439" s="100">
        <v>13.64964</v>
      </c>
      <c r="D439" s="100">
        <v>13.22869</v>
      </c>
      <c r="E439" s="100">
        <v>12.23098</v>
      </c>
      <c r="F439" s="100">
        <v>11.81413</v>
      </c>
      <c r="G439" s="100">
        <v>11.67714</v>
      </c>
      <c r="H439" s="100">
        <v>12.11834</v>
      </c>
      <c r="I439" s="100">
        <v>12.69772</v>
      </c>
      <c r="J439" s="100">
        <v>12.71706</v>
      </c>
      <c r="K439" s="100">
        <v>12.79382</v>
      </c>
      <c r="L439" s="100">
        <v>10.63309</v>
      </c>
      <c r="M439" s="100">
        <v>10.54603</v>
      </c>
      <c r="N439" s="100">
        <v>10.40043</v>
      </c>
    </row>
    <row r="440" spans="1:14" ht="12">
      <c r="A440" t="s">
        <v>533</v>
      </c>
      <c r="B440" s="100">
        <v>8.97299</v>
      </c>
      <c r="C440" s="100">
        <v>8.26626</v>
      </c>
      <c r="D440" s="100">
        <v>8.25073</v>
      </c>
      <c r="E440" s="100">
        <v>8.11602</v>
      </c>
      <c r="F440" s="100">
        <v>8.54277</v>
      </c>
      <c r="G440" s="100">
        <v>8.26522</v>
      </c>
      <c r="H440" s="100">
        <v>9.22673</v>
      </c>
      <c r="I440" s="100">
        <v>10.81567</v>
      </c>
      <c r="J440" s="100">
        <v>10.48081</v>
      </c>
      <c r="K440" s="100">
        <v>9.71756</v>
      </c>
      <c r="L440" s="100">
        <v>9.69588</v>
      </c>
      <c r="M440" s="100">
        <v>10.40764</v>
      </c>
      <c r="N440" s="100">
        <v>10.17807</v>
      </c>
    </row>
    <row r="441" spans="1:14" ht="12">
      <c r="A441" t="s">
        <v>534</v>
      </c>
      <c r="B441" s="100">
        <v>10.84415</v>
      </c>
      <c r="C441" s="100">
        <v>11.6007</v>
      </c>
      <c r="D441" s="100">
        <v>12.75945</v>
      </c>
      <c r="E441" s="100">
        <v>10.45667</v>
      </c>
      <c r="F441" s="100">
        <v>9.42837</v>
      </c>
      <c r="G441" s="100">
        <v>9.31934</v>
      </c>
      <c r="H441" s="100">
        <v>9.52899</v>
      </c>
      <c r="I441" s="100">
        <v>10.23095</v>
      </c>
      <c r="J441" s="100">
        <v>10.25395</v>
      </c>
      <c r="K441" s="100">
        <v>10.17575</v>
      </c>
      <c r="L441" s="100">
        <v>10.10817</v>
      </c>
      <c r="M441" s="100">
        <v>9.90325</v>
      </c>
      <c r="N441" s="100">
        <v>10.21035</v>
      </c>
    </row>
    <row r="442" spans="1:14" ht="12">
      <c r="A442" t="s">
        <v>535</v>
      </c>
      <c r="B442" s="100">
        <v>11.29851</v>
      </c>
      <c r="C442" s="100">
        <v>11.80066</v>
      </c>
      <c r="D442" s="100">
        <v>11.69206</v>
      </c>
      <c r="E442" s="100">
        <v>11.88072</v>
      </c>
      <c r="F442" s="100">
        <v>10.65801</v>
      </c>
      <c r="G442" s="100">
        <v>11.18054</v>
      </c>
      <c r="H442" s="100">
        <v>11.69713</v>
      </c>
      <c r="I442" s="100">
        <v>12.4239</v>
      </c>
      <c r="J442" s="100">
        <v>12.85903</v>
      </c>
      <c r="K442" s="100">
        <v>12.748</v>
      </c>
      <c r="L442" s="100">
        <v>12.66348</v>
      </c>
      <c r="M442" s="100">
        <v>12.56426</v>
      </c>
      <c r="N442" s="100">
        <v>12.87329</v>
      </c>
    </row>
    <row r="443" spans="1:14" ht="12">
      <c r="A443" t="s">
        <v>536</v>
      </c>
      <c r="B443" s="100">
        <v>6.13564</v>
      </c>
      <c r="C443" s="100">
        <v>6.79473</v>
      </c>
      <c r="D443" s="100">
        <v>7.31279</v>
      </c>
      <c r="E443" s="100">
        <v>7.08977</v>
      </c>
      <c r="F443" s="100">
        <v>7.13044</v>
      </c>
      <c r="G443" s="100">
        <v>6.5986</v>
      </c>
      <c r="H443" s="100">
        <v>6.3951</v>
      </c>
      <c r="I443" s="100">
        <v>6.32514</v>
      </c>
      <c r="J443" s="100">
        <v>6.51451</v>
      </c>
      <c r="K443" s="100">
        <v>6.29132</v>
      </c>
      <c r="L443" s="100">
        <v>6.12313</v>
      </c>
      <c r="M443" s="100">
        <v>6.5572</v>
      </c>
      <c r="N443" s="100">
        <v>6.31819</v>
      </c>
    </row>
    <row r="444" spans="1:14" ht="12">
      <c r="A444" t="s">
        <v>537</v>
      </c>
      <c r="B444" s="100">
        <v>12.81182</v>
      </c>
      <c r="C444" s="100">
        <v>13.77718</v>
      </c>
      <c r="D444" s="100">
        <v>14.49796</v>
      </c>
      <c r="E444" s="100">
        <v>14.68847</v>
      </c>
      <c r="F444" s="100">
        <v>14.13835</v>
      </c>
      <c r="G444" s="100">
        <v>14.11897</v>
      </c>
      <c r="H444" s="100">
        <v>13.85228</v>
      </c>
      <c r="I444" s="100">
        <v>14.86179</v>
      </c>
      <c r="J444" s="100">
        <v>15.01434</v>
      </c>
      <c r="K444" s="100">
        <v>14.6761</v>
      </c>
      <c r="L444" s="100">
        <v>14.71933</v>
      </c>
      <c r="M444" s="100">
        <v>14.76928</v>
      </c>
      <c r="N444" s="100">
        <v>14.58862</v>
      </c>
    </row>
    <row r="445" spans="1:14" ht="12">
      <c r="A445" t="s">
        <v>538</v>
      </c>
      <c r="B445" s="100">
        <v>7.75993</v>
      </c>
      <c r="C445" s="100">
        <v>9.19</v>
      </c>
      <c r="D445" s="100">
        <v>11.86414</v>
      </c>
      <c r="E445" s="100">
        <v>11.07007</v>
      </c>
      <c r="F445" s="100">
        <v>9.59113</v>
      </c>
      <c r="G445" s="100">
        <v>9.42771</v>
      </c>
      <c r="H445" s="100">
        <v>10.12772</v>
      </c>
      <c r="I445" s="100">
        <v>9.87342</v>
      </c>
      <c r="J445" s="100">
        <v>10.33048</v>
      </c>
      <c r="K445" s="100">
        <v>10.29257</v>
      </c>
      <c r="L445" s="100">
        <v>9.9256</v>
      </c>
      <c r="M445" s="100">
        <v>9.63385</v>
      </c>
      <c r="N445" s="100">
        <v>9.55199</v>
      </c>
    </row>
    <row r="446" spans="1:14" ht="12">
      <c r="A446" t="s">
        <v>539</v>
      </c>
      <c r="B446" s="100">
        <v>7.4863</v>
      </c>
      <c r="C446" s="100">
        <v>7.89669</v>
      </c>
      <c r="D446" s="100">
        <v>8.28921</v>
      </c>
      <c r="E446" s="100">
        <v>9.05428</v>
      </c>
      <c r="F446" s="100">
        <v>7.01954</v>
      </c>
      <c r="G446" s="100">
        <v>7.3953</v>
      </c>
      <c r="H446" s="100">
        <v>7.29856</v>
      </c>
      <c r="I446" s="100">
        <v>7.66517</v>
      </c>
      <c r="J446" s="100">
        <v>7.72586</v>
      </c>
      <c r="K446" s="100">
        <v>7.76678</v>
      </c>
      <c r="L446" s="100">
        <v>7.86198</v>
      </c>
      <c r="M446" s="100">
        <v>8.42037</v>
      </c>
      <c r="N446" s="100">
        <v>8.56791</v>
      </c>
    </row>
    <row r="447" spans="1:14" ht="12">
      <c r="A447" t="s">
        <v>540</v>
      </c>
      <c r="B447" s="100">
        <v>8.94414</v>
      </c>
      <c r="C447" s="100">
        <v>9.5496</v>
      </c>
      <c r="D447" s="100">
        <v>9.06897</v>
      </c>
      <c r="E447" s="100">
        <v>9.22611</v>
      </c>
      <c r="F447" s="100">
        <v>5.93399</v>
      </c>
      <c r="G447" s="100">
        <v>4.61704</v>
      </c>
      <c r="H447" s="100">
        <v>4.34552</v>
      </c>
      <c r="I447" s="100">
        <v>4.82046</v>
      </c>
      <c r="J447" s="100">
        <v>4.96626</v>
      </c>
      <c r="K447" s="100">
        <v>5.02273</v>
      </c>
      <c r="L447" s="100">
        <v>5.4298</v>
      </c>
      <c r="M447" s="100">
        <v>5.67415</v>
      </c>
      <c r="N447" s="100">
        <v>5.40569</v>
      </c>
    </row>
    <row r="448" spans="1:14" ht="12">
      <c r="A448" t="s">
        <v>541</v>
      </c>
      <c r="B448" s="100">
        <v>13.68343</v>
      </c>
      <c r="C448" s="100">
        <v>13.04156</v>
      </c>
      <c r="D448" s="100">
        <v>13.13069</v>
      </c>
      <c r="E448" s="100">
        <v>13.80292</v>
      </c>
      <c r="F448" s="100">
        <v>14.23681</v>
      </c>
      <c r="G448" s="100">
        <v>14.26398</v>
      </c>
      <c r="H448" s="100">
        <v>13.91002</v>
      </c>
      <c r="I448" s="100">
        <v>14.22924</v>
      </c>
      <c r="J448" s="100">
        <v>14.19981</v>
      </c>
      <c r="K448" s="100">
        <v>13.59764</v>
      </c>
      <c r="L448" s="100">
        <v>14.31072</v>
      </c>
      <c r="M448" s="100">
        <v>15.11567</v>
      </c>
      <c r="N448" s="100">
        <v>15.42541</v>
      </c>
    </row>
    <row r="449" spans="1:14" ht="12">
      <c r="A449" t="s">
        <v>542</v>
      </c>
      <c r="B449" s="100">
        <v>8.74719</v>
      </c>
      <c r="C449" s="100">
        <v>9.1144</v>
      </c>
      <c r="D449" s="100">
        <v>10.03725</v>
      </c>
      <c r="E449" s="100">
        <v>10.27075</v>
      </c>
      <c r="F449" s="100">
        <v>9.60853</v>
      </c>
      <c r="G449" s="100">
        <v>7.81611</v>
      </c>
      <c r="H449" s="100">
        <v>6.25004</v>
      </c>
      <c r="I449" s="100">
        <v>6.76473</v>
      </c>
      <c r="J449" s="100">
        <v>6.58167</v>
      </c>
      <c r="K449" s="100">
        <v>6.76288</v>
      </c>
      <c r="L449" s="100">
        <v>6.9577</v>
      </c>
      <c r="M449" s="100">
        <v>7.42484</v>
      </c>
      <c r="N449" s="100">
        <v>7.42036</v>
      </c>
    </row>
    <row r="450" spans="1:14" ht="12">
      <c r="A450" t="s">
        <v>543</v>
      </c>
      <c r="B450" s="100">
        <v>10.86459</v>
      </c>
      <c r="C450" s="100">
        <v>11.3208</v>
      </c>
      <c r="D450" s="100">
        <v>12.60889</v>
      </c>
      <c r="E450" s="100">
        <v>12.1195</v>
      </c>
      <c r="F450" s="100">
        <v>12.95769</v>
      </c>
      <c r="G450" s="100">
        <v>12.23987</v>
      </c>
      <c r="H450" s="100">
        <v>12.42093</v>
      </c>
      <c r="I450" s="100">
        <v>13.04848</v>
      </c>
      <c r="J450" s="100">
        <v>13.65094</v>
      </c>
      <c r="K450" s="100">
        <v>13.66714</v>
      </c>
      <c r="L450" s="100">
        <v>13.00309</v>
      </c>
      <c r="M450" s="100">
        <v>13.57878</v>
      </c>
      <c r="N450" s="100">
        <v>14.13179</v>
      </c>
    </row>
    <row r="451" spans="1:14" ht="12">
      <c r="A451" t="s">
        <v>544</v>
      </c>
      <c r="B451" s="100">
        <v>10.71243</v>
      </c>
      <c r="C451" s="100">
        <v>10.76618</v>
      </c>
      <c r="D451" s="100">
        <v>11.07814</v>
      </c>
      <c r="E451" s="100">
        <v>10.84152</v>
      </c>
      <c r="F451" s="100">
        <v>10.96172</v>
      </c>
      <c r="G451" s="100">
        <v>11.10573</v>
      </c>
      <c r="H451" s="100">
        <v>10.67443</v>
      </c>
      <c r="I451" s="100">
        <v>10.17307</v>
      </c>
      <c r="J451" s="100">
        <v>10.10283</v>
      </c>
      <c r="K451" s="100">
        <v>10.71661</v>
      </c>
      <c r="L451" s="100">
        <v>11.45719</v>
      </c>
      <c r="M451" s="100">
        <v>11.66997</v>
      </c>
      <c r="N451" s="100">
        <v>12.83635</v>
      </c>
    </row>
    <row r="452" spans="1:14" ht="12">
      <c r="A452" t="s">
        <v>545</v>
      </c>
      <c r="B452" s="100">
        <v>12.85558</v>
      </c>
      <c r="C452" s="100">
        <v>12.78796</v>
      </c>
      <c r="D452" s="100">
        <v>13.23787</v>
      </c>
      <c r="E452" s="100">
        <v>13.82251</v>
      </c>
      <c r="F452" s="100">
        <v>12.58239</v>
      </c>
      <c r="G452" s="100">
        <v>12.68037</v>
      </c>
      <c r="H452" s="100">
        <v>12.75965</v>
      </c>
      <c r="I452" s="100">
        <v>13.08405</v>
      </c>
      <c r="J452" s="100">
        <v>13.44213</v>
      </c>
      <c r="K452" s="100">
        <v>13.74353</v>
      </c>
      <c r="L452" s="100">
        <v>14.19588</v>
      </c>
      <c r="M452" s="100">
        <v>12.99993</v>
      </c>
      <c r="N452" s="100">
        <v>13.02811</v>
      </c>
    </row>
    <row r="453" spans="1:14" ht="12">
      <c r="A453" t="s">
        <v>546</v>
      </c>
      <c r="B453" s="100">
        <v>6.84929</v>
      </c>
      <c r="C453" s="100">
        <v>7.34691</v>
      </c>
      <c r="D453" s="100">
        <v>8.25047</v>
      </c>
      <c r="E453" s="100">
        <v>8.35787</v>
      </c>
      <c r="F453" s="100">
        <v>7.15205</v>
      </c>
      <c r="G453" s="100">
        <v>6.68021</v>
      </c>
      <c r="H453" s="100">
        <v>6.72513</v>
      </c>
      <c r="I453" s="100">
        <v>6.9592</v>
      </c>
      <c r="J453" s="100">
        <v>6.7099</v>
      </c>
      <c r="K453" s="100">
        <v>6.78191</v>
      </c>
      <c r="L453" s="100">
        <v>6.92643</v>
      </c>
      <c r="M453" s="100">
        <v>7.12802</v>
      </c>
      <c r="N453" s="100">
        <v>7.36171</v>
      </c>
    </row>
    <row r="454" spans="1:14" ht="12">
      <c r="A454" t="s">
        <v>547</v>
      </c>
      <c r="B454" s="100">
        <v>7.98162</v>
      </c>
      <c r="C454" s="100">
        <v>8.33255</v>
      </c>
      <c r="D454" s="100">
        <v>9.16713</v>
      </c>
      <c r="E454" s="100">
        <v>9.30347</v>
      </c>
      <c r="F454" s="100">
        <v>8.62947</v>
      </c>
      <c r="G454" s="100">
        <v>8.45403</v>
      </c>
      <c r="H454" s="100">
        <v>9.48139</v>
      </c>
      <c r="I454" s="100">
        <v>8.99113</v>
      </c>
      <c r="J454" s="100">
        <v>11.40023</v>
      </c>
      <c r="K454" s="100">
        <v>10.97964</v>
      </c>
      <c r="L454" s="100">
        <v>10.86106</v>
      </c>
      <c r="M454" s="100">
        <v>10.28666</v>
      </c>
      <c r="N454" s="100">
        <v>10.21224</v>
      </c>
    </row>
    <row r="455" spans="1:14" ht="12">
      <c r="A455" t="s">
        <v>548</v>
      </c>
      <c r="B455" s="100">
        <v>5.29332</v>
      </c>
      <c r="C455" s="100">
        <v>5.97183</v>
      </c>
      <c r="D455" s="100">
        <v>6.50083</v>
      </c>
      <c r="E455" s="100">
        <v>6.42571</v>
      </c>
      <c r="F455" s="100">
        <v>5.9909</v>
      </c>
      <c r="G455" s="100">
        <v>5.78135</v>
      </c>
      <c r="H455" s="100">
        <v>6.05169</v>
      </c>
      <c r="I455" s="100">
        <v>5.79137</v>
      </c>
      <c r="J455" s="100">
        <v>5.90099</v>
      </c>
      <c r="K455" s="100">
        <v>6.19948</v>
      </c>
      <c r="L455" s="100">
        <v>6.60125</v>
      </c>
      <c r="M455" s="100">
        <v>6.45444</v>
      </c>
      <c r="N455" s="100">
        <v>6.05672</v>
      </c>
    </row>
    <row r="456" spans="1:14" ht="12">
      <c r="A456" t="s">
        <v>549</v>
      </c>
      <c r="B456" s="100">
        <v>8.53671</v>
      </c>
      <c r="C456" s="100">
        <v>8.95926</v>
      </c>
      <c r="D456" s="100">
        <v>9.01103</v>
      </c>
      <c r="E456" s="100">
        <v>8.74679</v>
      </c>
      <c r="F456" s="100">
        <v>8.10359</v>
      </c>
      <c r="G456" s="100">
        <v>8.02713</v>
      </c>
      <c r="H456" s="100">
        <v>7.82138</v>
      </c>
      <c r="I456" s="100">
        <v>7.53768</v>
      </c>
      <c r="J456" s="100">
        <v>7.00838</v>
      </c>
      <c r="K456" s="100">
        <v>7.15991</v>
      </c>
      <c r="L456" s="100">
        <v>7.21206</v>
      </c>
      <c r="M456" s="100">
        <v>7.47449</v>
      </c>
      <c r="N456" s="100">
        <v>7.43462</v>
      </c>
    </row>
    <row r="457" spans="1:14" ht="12">
      <c r="A457" t="s">
        <v>550</v>
      </c>
      <c r="B457" s="100">
        <v>6.25805</v>
      </c>
      <c r="C457" s="100">
        <v>6.36505</v>
      </c>
      <c r="D457" s="100">
        <v>6.41075</v>
      </c>
      <c r="E457" s="100">
        <v>6.71783</v>
      </c>
      <c r="F457" s="100">
        <v>5.83958</v>
      </c>
      <c r="G457" s="100">
        <v>5.64102</v>
      </c>
      <c r="H457" s="100">
        <v>5.73919</v>
      </c>
      <c r="I457" s="100">
        <v>5.81517</v>
      </c>
      <c r="J457" s="100">
        <v>6.35638</v>
      </c>
      <c r="K457" s="100">
        <v>6.84304</v>
      </c>
      <c r="L457" s="100">
        <v>7.34621</v>
      </c>
      <c r="M457" s="100">
        <v>7.34018</v>
      </c>
      <c r="N457" s="100">
        <v>7.12151</v>
      </c>
    </row>
    <row r="458" spans="1:14" ht="12">
      <c r="A458" t="s">
        <v>551</v>
      </c>
      <c r="B458" s="100">
        <v>16.92652</v>
      </c>
      <c r="C458" s="100">
        <v>16.78079</v>
      </c>
      <c r="D458" s="100">
        <v>17.03201</v>
      </c>
      <c r="E458" s="100">
        <v>16.81371</v>
      </c>
      <c r="F458" s="100">
        <v>15.50967</v>
      </c>
      <c r="G458" s="100">
        <v>15.44735</v>
      </c>
      <c r="H458" s="100">
        <v>15.85267</v>
      </c>
      <c r="I458" s="100">
        <v>15.60565</v>
      </c>
      <c r="J458" s="100">
        <v>16.19815</v>
      </c>
      <c r="K458" s="100">
        <v>16.4449</v>
      </c>
      <c r="L458" s="100">
        <v>16.61228</v>
      </c>
      <c r="M458" s="100">
        <v>16.50021</v>
      </c>
      <c r="N458" s="100">
        <v>16.64758</v>
      </c>
    </row>
    <row r="459" spans="1:14" ht="12">
      <c r="A459" t="s">
        <v>552</v>
      </c>
      <c r="B459" s="100">
        <v>20.92616</v>
      </c>
      <c r="C459" s="100">
        <v>21.09632</v>
      </c>
      <c r="D459" s="100">
        <v>20.14572</v>
      </c>
      <c r="E459" s="100">
        <v>18.74602</v>
      </c>
      <c r="F459" s="100">
        <v>18.49905</v>
      </c>
      <c r="G459" s="100">
        <v>18.16966</v>
      </c>
      <c r="H459" s="100">
        <v>17.64051</v>
      </c>
      <c r="I459" s="100">
        <v>17.42917</v>
      </c>
      <c r="J459" s="100">
        <v>17.78817</v>
      </c>
      <c r="K459" s="100">
        <v>17.81345</v>
      </c>
      <c r="L459" s="100">
        <v>18.36621</v>
      </c>
      <c r="M459" s="100">
        <v>18.73884</v>
      </c>
      <c r="N459" s="100">
        <v>18.64131</v>
      </c>
    </row>
    <row r="460" spans="1:14" ht="12">
      <c r="A460" t="s">
        <v>553</v>
      </c>
      <c r="B460" s="100">
        <v>15.25138</v>
      </c>
      <c r="C460" s="100">
        <v>15.41592</v>
      </c>
      <c r="D460" s="100">
        <v>15.56303</v>
      </c>
      <c r="E460" s="100">
        <v>15.28356</v>
      </c>
      <c r="F460" s="100">
        <v>14.76788</v>
      </c>
      <c r="G460" s="100">
        <v>14.81122</v>
      </c>
      <c r="H460" s="100">
        <v>14.88592</v>
      </c>
      <c r="I460" s="100">
        <v>14.05955</v>
      </c>
      <c r="J460" s="100">
        <v>13.91946</v>
      </c>
      <c r="K460" s="100">
        <v>13.58397</v>
      </c>
      <c r="L460" s="100">
        <v>13.75168</v>
      </c>
      <c r="M460" s="100">
        <v>14.05187</v>
      </c>
      <c r="N460" s="100">
        <v>14.26951</v>
      </c>
    </row>
    <row r="461" spans="1:14" ht="12">
      <c r="A461" t="s">
        <v>554</v>
      </c>
      <c r="B461" s="100">
        <v>17.85326</v>
      </c>
      <c r="C461" s="100">
        <v>18.29048</v>
      </c>
      <c r="D461" s="100">
        <v>18.08394</v>
      </c>
      <c r="E461" s="100">
        <v>17.35161</v>
      </c>
      <c r="F461" s="100">
        <v>15.64587</v>
      </c>
      <c r="G461" s="100">
        <v>15.65418</v>
      </c>
      <c r="H461" s="100">
        <v>16.65921</v>
      </c>
      <c r="I461" s="100">
        <v>17.04636</v>
      </c>
      <c r="J461" s="100">
        <v>17.72144</v>
      </c>
      <c r="K461" s="100">
        <v>18.99726</v>
      </c>
      <c r="L461" s="100">
        <v>17.63377</v>
      </c>
      <c r="M461" s="100">
        <v>18.04206</v>
      </c>
      <c r="N461" s="100">
        <v>19.16824</v>
      </c>
    </row>
    <row r="462" spans="1:14" ht="12">
      <c r="A462" t="s">
        <v>555</v>
      </c>
      <c r="B462" s="100">
        <v>21.77887</v>
      </c>
      <c r="C462" s="100">
        <v>22.22567</v>
      </c>
      <c r="D462" s="100">
        <v>21.04413</v>
      </c>
      <c r="E462" s="100">
        <v>21.69398</v>
      </c>
      <c r="F462" s="100">
        <v>19.72937</v>
      </c>
      <c r="G462" s="100">
        <v>20.57343</v>
      </c>
      <c r="H462" s="100">
        <v>21.28005</v>
      </c>
      <c r="I462" s="100">
        <v>20.84778</v>
      </c>
      <c r="J462" s="100">
        <v>18.97593</v>
      </c>
      <c r="K462" s="100">
        <v>17.30133</v>
      </c>
      <c r="L462" s="100">
        <v>15.98343</v>
      </c>
      <c r="M462" s="100">
        <v>15.53555</v>
      </c>
      <c r="N462" s="100">
        <v>15.56955</v>
      </c>
    </row>
    <row r="463" spans="1:14" ht="12">
      <c r="A463" t="s">
        <v>556</v>
      </c>
      <c r="B463" s="100">
        <v>13.79561</v>
      </c>
      <c r="C463" s="100">
        <v>13.88777</v>
      </c>
      <c r="D463" s="100">
        <v>13.91926</v>
      </c>
      <c r="E463" s="100">
        <v>14.31768</v>
      </c>
      <c r="F463" s="100">
        <v>14.36613</v>
      </c>
      <c r="G463" s="100">
        <v>14.03618</v>
      </c>
      <c r="H463" s="100">
        <v>14.09102</v>
      </c>
      <c r="I463" s="100">
        <v>14.06341</v>
      </c>
      <c r="J463" s="100">
        <v>14.21976</v>
      </c>
      <c r="K463" s="100">
        <v>14.14427</v>
      </c>
      <c r="L463" s="100">
        <v>14.80407</v>
      </c>
      <c r="M463" s="100">
        <v>14.95847</v>
      </c>
      <c r="N463" s="100" t="s">
        <v>163</v>
      </c>
    </row>
    <row r="464" spans="1:14" ht="12">
      <c r="A464" t="s">
        <v>557</v>
      </c>
      <c r="B464" s="100">
        <v>12.92923</v>
      </c>
      <c r="C464" s="100">
        <v>12.77358</v>
      </c>
      <c r="D464" s="100">
        <v>12.64108</v>
      </c>
      <c r="E464" s="100">
        <v>12.93958</v>
      </c>
      <c r="F464" s="100">
        <v>13.43678</v>
      </c>
      <c r="G464" s="100">
        <v>13.21963</v>
      </c>
      <c r="H464" s="100">
        <v>13.2581</v>
      </c>
      <c r="I464" s="100">
        <v>13.32318</v>
      </c>
      <c r="J464" s="100">
        <v>13.3907</v>
      </c>
      <c r="K464" s="100">
        <v>13.28018</v>
      </c>
      <c r="L464" s="100">
        <v>13.07629</v>
      </c>
      <c r="M464" s="100">
        <v>13.25926</v>
      </c>
      <c r="N464" s="100">
        <v>13.34106</v>
      </c>
    </row>
    <row r="465" spans="1:14" ht="12">
      <c r="A465" t="s">
        <v>558</v>
      </c>
      <c r="B465" s="100">
        <v>14.86354</v>
      </c>
      <c r="C465" s="100">
        <v>14.69448</v>
      </c>
      <c r="D465" s="100">
        <v>14.50934</v>
      </c>
      <c r="E465" s="100">
        <v>14.71653</v>
      </c>
      <c r="F465" s="100">
        <v>15.23211</v>
      </c>
      <c r="G465" s="100">
        <v>15.09037</v>
      </c>
      <c r="H465" s="100">
        <v>15.14259</v>
      </c>
      <c r="I465" s="100">
        <v>15.3467</v>
      </c>
      <c r="J465" s="100">
        <v>15.4538</v>
      </c>
      <c r="K465" s="100">
        <v>15.43842</v>
      </c>
      <c r="L465" s="100">
        <v>15.23208</v>
      </c>
      <c r="M465" s="100">
        <v>15.28939</v>
      </c>
      <c r="N465" s="100">
        <v>15.27906</v>
      </c>
    </row>
    <row r="466" spans="1:14" ht="12">
      <c r="A466" t="s">
        <v>559</v>
      </c>
      <c r="B466" s="100">
        <v>15.26582</v>
      </c>
      <c r="C466" s="100">
        <v>15.23734</v>
      </c>
      <c r="D466" s="100">
        <v>15.33182</v>
      </c>
      <c r="E466" s="100">
        <v>15.79164</v>
      </c>
      <c r="F466" s="100">
        <v>16.43455</v>
      </c>
      <c r="G466" s="100">
        <v>16.08174</v>
      </c>
      <c r="H466" s="100">
        <v>16.29511</v>
      </c>
      <c r="I466" s="100">
        <v>16.60358</v>
      </c>
      <c r="J466" s="100">
        <v>16.81943</v>
      </c>
      <c r="K466" s="100">
        <v>16.68116</v>
      </c>
      <c r="L466" s="100">
        <v>16.55423</v>
      </c>
      <c r="M466" s="100">
        <v>15.96241</v>
      </c>
      <c r="N466" s="100">
        <v>15.81419</v>
      </c>
    </row>
    <row r="467" spans="1:14" ht="12">
      <c r="A467" t="s">
        <v>560</v>
      </c>
      <c r="B467" s="100">
        <v>9.47521</v>
      </c>
      <c r="C467" s="100">
        <v>8.07385</v>
      </c>
      <c r="D467" s="100">
        <v>7.7056</v>
      </c>
      <c r="E467" s="100">
        <v>7.41197</v>
      </c>
      <c r="F467" s="100">
        <v>7.22478</v>
      </c>
      <c r="G467" s="100">
        <v>6.64667</v>
      </c>
      <c r="H467" s="100">
        <v>6.70762</v>
      </c>
      <c r="I467" s="100">
        <v>6.82107</v>
      </c>
      <c r="J467" s="100">
        <v>7.44349</v>
      </c>
      <c r="K467" s="100">
        <v>7.86201</v>
      </c>
      <c r="L467" s="100">
        <v>7.86454</v>
      </c>
      <c r="M467" s="100">
        <v>7.82912</v>
      </c>
      <c r="N467" s="100">
        <v>8.57381</v>
      </c>
    </row>
    <row r="468" spans="1:14" ht="12">
      <c r="A468" t="s">
        <v>561</v>
      </c>
      <c r="B468" s="100">
        <v>14.76717</v>
      </c>
      <c r="C468" s="100">
        <v>14.93932</v>
      </c>
      <c r="D468" s="100">
        <v>15.01814</v>
      </c>
      <c r="E468" s="100">
        <v>14.89065</v>
      </c>
      <c r="F468" s="100">
        <v>14.2401</v>
      </c>
      <c r="G468" s="100">
        <v>14.58486</v>
      </c>
      <c r="H468" s="100">
        <v>14.68889</v>
      </c>
      <c r="I468" s="100">
        <v>14.78517</v>
      </c>
      <c r="J468" s="100">
        <v>14.80283</v>
      </c>
      <c r="K468" s="100">
        <v>14.57067</v>
      </c>
      <c r="L468" s="100">
        <v>14.42444</v>
      </c>
      <c r="M468" s="100">
        <v>14.72888</v>
      </c>
      <c r="N468" s="100">
        <v>15.02567</v>
      </c>
    </row>
    <row r="469" spans="1:14" ht="12">
      <c r="A469" t="s">
        <v>562</v>
      </c>
      <c r="B469" s="100">
        <v>1.52498</v>
      </c>
      <c r="C469" s="100">
        <v>1.43652</v>
      </c>
      <c r="D469" s="100">
        <v>1.38258</v>
      </c>
      <c r="E469" s="100">
        <v>1.3187</v>
      </c>
      <c r="F469" s="100">
        <v>1.35221</v>
      </c>
      <c r="G469" s="100">
        <v>1.34533</v>
      </c>
      <c r="H469" s="100">
        <v>1.34012</v>
      </c>
      <c r="I469" s="100">
        <v>1.21298</v>
      </c>
      <c r="J469" s="100">
        <v>1.07754</v>
      </c>
      <c r="K469" s="100">
        <v>1.02808</v>
      </c>
      <c r="L469" s="100">
        <v>0.99482</v>
      </c>
      <c r="M469" s="100">
        <v>0.95921</v>
      </c>
      <c r="N469" s="100">
        <v>0.90336</v>
      </c>
    </row>
    <row r="470" spans="1:14" ht="12">
      <c r="A470" t="s">
        <v>563</v>
      </c>
      <c r="B470" s="100">
        <v>17.37307</v>
      </c>
      <c r="C470" s="100">
        <v>16.88967</v>
      </c>
      <c r="D470" s="100">
        <v>16.08571</v>
      </c>
      <c r="E470" s="100">
        <v>16.10035</v>
      </c>
      <c r="F470" s="100">
        <v>16.893</v>
      </c>
      <c r="G470" s="100">
        <v>16.51822</v>
      </c>
      <c r="H470" s="100">
        <v>16.36091</v>
      </c>
      <c r="I470" s="100">
        <v>16.47129</v>
      </c>
      <c r="J470" s="100">
        <v>16.45405</v>
      </c>
      <c r="K470" s="100">
        <v>16.43591</v>
      </c>
      <c r="L470" s="100">
        <v>16.45452</v>
      </c>
      <c r="M470" s="100">
        <v>16.65861</v>
      </c>
      <c r="N470" s="100">
        <v>16.79461</v>
      </c>
    </row>
    <row r="471" spans="1:14" ht="12">
      <c r="A471" t="s">
        <v>564</v>
      </c>
      <c r="B471" s="100">
        <v>10.30962</v>
      </c>
      <c r="C471" s="100">
        <v>10.11781</v>
      </c>
      <c r="D471" s="100">
        <v>10.48356</v>
      </c>
      <c r="E471" s="100">
        <v>11.61451</v>
      </c>
      <c r="F471" s="100">
        <v>13.08863</v>
      </c>
      <c r="G471" s="100">
        <v>12.97792</v>
      </c>
      <c r="H471" s="100">
        <v>11.80551</v>
      </c>
      <c r="I471" s="100">
        <v>11.3505</v>
      </c>
      <c r="J471" s="100">
        <v>11.17455</v>
      </c>
      <c r="K471" s="100">
        <v>11.24136</v>
      </c>
      <c r="L471" s="100">
        <v>11.49565</v>
      </c>
      <c r="M471" s="100">
        <v>11.75972</v>
      </c>
      <c r="N471" s="100">
        <v>11.72926</v>
      </c>
    </row>
    <row r="472" spans="1:14" ht="12">
      <c r="A472" t="s">
        <v>565</v>
      </c>
      <c r="B472" s="100">
        <v>5.12962</v>
      </c>
      <c r="C472" s="100">
        <v>5.16572</v>
      </c>
      <c r="D472" s="100">
        <v>5.42442</v>
      </c>
      <c r="E472" s="100">
        <v>5.85018</v>
      </c>
      <c r="F472" s="100">
        <v>6.02176</v>
      </c>
      <c r="G472" s="100">
        <v>5.65996</v>
      </c>
      <c r="H472" s="100">
        <v>6.03029</v>
      </c>
      <c r="I472" s="100">
        <v>5.62449</v>
      </c>
      <c r="J472" s="100">
        <v>5.77356</v>
      </c>
      <c r="K472" s="100">
        <v>5.64571</v>
      </c>
      <c r="L472" s="100">
        <v>4.34513</v>
      </c>
      <c r="M472" s="100">
        <v>4.36798</v>
      </c>
      <c r="N472" s="100">
        <v>4.26941</v>
      </c>
    </row>
    <row r="473" spans="1:14" ht="12">
      <c r="A473" t="s">
        <v>566</v>
      </c>
      <c r="B473" s="100">
        <v>12.31516</v>
      </c>
      <c r="C473" s="100">
        <v>11.88415</v>
      </c>
      <c r="D473" s="100">
        <v>12.41627</v>
      </c>
      <c r="E473" s="100">
        <v>12.66207</v>
      </c>
      <c r="F473" s="100">
        <v>12.35359</v>
      </c>
      <c r="G473" s="100">
        <v>13.13976</v>
      </c>
      <c r="H473" s="100">
        <v>13.17303</v>
      </c>
      <c r="I473" s="100">
        <v>13.92283</v>
      </c>
      <c r="J473" s="100">
        <v>13.53693</v>
      </c>
      <c r="K473" s="100">
        <v>13.48289</v>
      </c>
      <c r="L473" s="100">
        <v>13.85158</v>
      </c>
      <c r="M473" s="100">
        <v>14.29859</v>
      </c>
      <c r="N473" s="100">
        <v>14.59532</v>
      </c>
    </row>
    <row r="474" spans="1:14" ht="12">
      <c r="A474" t="s">
        <v>567</v>
      </c>
      <c r="B474" s="100">
        <v>12.62243</v>
      </c>
      <c r="C474" s="100">
        <v>12.60935</v>
      </c>
      <c r="D474" s="100">
        <v>12.62177</v>
      </c>
      <c r="E474" s="100">
        <v>12.72584</v>
      </c>
      <c r="F474" s="100">
        <v>12.94905</v>
      </c>
      <c r="G474" s="100">
        <v>12.82677</v>
      </c>
      <c r="H474" s="100">
        <v>12.87329</v>
      </c>
      <c r="I474" s="100">
        <v>12.68101</v>
      </c>
      <c r="J474" s="100">
        <v>12.50052</v>
      </c>
      <c r="K474" s="100">
        <v>12.53127</v>
      </c>
      <c r="L474" s="100">
        <v>12.25187</v>
      </c>
      <c r="M474" s="100">
        <v>12.17437</v>
      </c>
      <c r="N474" s="100">
        <v>12.28089</v>
      </c>
    </row>
    <row r="475" spans="1:14" ht="12">
      <c r="A475" t="s">
        <v>568</v>
      </c>
      <c r="B475" s="100">
        <v>17.68159</v>
      </c>
      <c r="C475" s="100">
        <v>17.78794</v>
      </c>
      <c r="D475" s="100">
        <v>17.57366</v>
      </c>
      <c r="E475" s="100">
        <v>17.60021</v>
      </c>
      <c r="F475" s="100">
        <v>18.29575</v>
      </c>
      <c r="G475" s="100">
        <v>18.13492</v>
      </c>
      <c r="H475" s="100">
        <v>18.27442</v>
      </c>
      <c r="I475" s="100">
        <v>18.53295</v>
      </c>
      <c r="J475" s="100">
        <v>18.84012</v>
      </c>
      <c r="K475" s="100">
        <v>19.01612</v>
      </c>
      <c r="L475" s="100">
        <v>18.78748</v>
      </c>
      <c r="M475" s="100">
        <v>18.76043</v>
      </c>
      <c r="N475" s="100">
        <v>18.85611</v>
      </c>
    </row>
    <row r="476" spans="1:14" ht="12">
      <c r="A476" t="s">
        <v>569</v>
      </c>
      <c r="B476" s="100">
        <v>11.58489</v>
      </c>
      <c r="C476" s="100">
        <v>11.50574</v>
      </c>
      <c r="D476" s="100">
        <v>11.54278</v>
      </c>
      <c r="E476" s="100">
        <v>11.707</v>
      </c>
      <c r="F476" s="100">
        <v>12.08425</v>
      </c>
      <c r="G476" s="100">
        <v>11.76873</v>
      </c>
      <c r="H476" s="100">
        <v>11.58178</v>
      </c>
      <c r="I476" s="100">
        <v>11.43638</v>
      </c>
      <c r="J476" s="100">
        <v>11.21066</v>
      </c>
      <c r="K476" s="100">
        <v>11.82936</v>
      </c>
      <c r="L476" s="100">
        <v>11.97904</v>
      </c>
      <c r="M476" s="100">
        <v>11.91877</v>
      </c>
      <c r="N476" s="100">
        <v>11.92899</v>
      </c>
    </row>
    <row r="477" spans="1:14" ht="12">
      <c r="A477" t="s">
        <v>570</v>
      </c>
      <c r="B477" s="100">
        <v>12.21413</v>
      </c>
      <c r="C477" s="100">
        <v>11.90443</v>
      </c>
      <c r="D477" s="100">
        <v>12.61644</v>
      </c>
      <c r="E477" s="100">
        <v>13.04573</v>
      </c>
      <c r="F477" s="100">
        <v>13.48693</v>
      </c>
      <c r="G477" s="100">
        <v>13.3188</v>
      </c>
      <c r="H477" s="100">
        <v>13.20909</v>
      </c>
      <c r="I477" s="100">
        <v>13.37889</v>
      </c>
      <c r="J477" s="100">
        <v>13.417</v>
      </c>
      <c r="K477" s="100">
        <v>13.21633</v>
      </c>
      <c r="L477" s="100">
        <v>13.2556</v>
      </c>
      <c r="M477" s="100">
        <v>13.12545</v>
      </c>
      <c r="N477" s="100">
        <v>13.1772</v>
      </c>
    </row>
    <row r="478" spans="1:14" ht="12">
      <c r="A478" t="s">
        <v>571</v>
      </c>
      <c r="B478" s="100">
        <v>7.49344</v>
      </c>
      <c r="C478" s="100">
        <v>7.0525</v>
      </c>
      <c r="D478" s="100">
        <v>6.82233</v>
      </c>
      <c r="E478" s="100">
        <v>7.01087</v>
      </c>
      <c r="F478" s="100">
        <v>7.84106</v>
      </c>
      <c r="G478" s="100">
        <v>8.04321</v>
      </c>
      <c r="H478" s="100">
        <v>7.93675</v>
      </c>
      <c r="I478" s="100">
        <v>7.74973</v>
      </c>
      <c r="J478" s="100">
        <v>7.50972</v>
      </c>
      <c r="K478" s="100">
        <v>8.2052</v>
      </c>
      <c r="L478" s="100">
        <v>8.35813</v>
      </c>
      <c r="M478" s="100">
        <v>8.47846</v>
      </c>
      <c r="N478" s="100">
        <v>8.88528</v>
      </c>
    </row>
    <row r="479" spans="1:14" ht="12">
      <c r="A479" t="s">
        <v>572</v>
      </c>
      <c r="B479" s="100">
        <v>8.13335</v>
      </c>
      <c r="C479" s="100">
        <v>8.28162</v>
      </c>
      <c r="D479" s="100">
        <v>8.07808</v>
      </c>
      <c r="E479" s="100">
        <v>8.3682</v>
      </c>
      <c r="F479" s="100">
        <v>9.59531</v>
      </c>
      <c r="G479" s="100">
        <v>8.86376</v>
      </c>
      <c r="H479" s="100">
        <v>8.84047</v>
      </c>
      <c r="I479" s="100">
        <v>8.89941</v>
      </c>
      <c r="J479" s="100">
        <v>8.74146</v>
      </c>
      <c r="K479" s="100">
        <v>8.69602</v>
      </c>
      <c r="L479" s="100">
        <v>8.67801</v>
      </c>
      <c r="M479" s="100">
        <v>8.64063</v>
      </c>
      <c r="N479" s="100">
        <v>8.7463</v>
      </c>
    </row>
    <row r="480" spans="1:14" ht="12">
      <c r="A480" t="s">
        <v>573</v>
      </c>
      <c r="B480" s="100">
        <v>9.17073</v>
      </c>
      <c r="C480" s="100">
        <v>9.42667</v>
      </c>
      <c r="D480" s="100">
        <v>9.42393</v>
      </c>
      <c r="E480" s="100">
        <v>9.86799</v>
      </c>
      <c r="F480" s="100">
        <v>13.07353</v>
      </c>
      <c r="G480" s="100">
        <v>12.12542</v>
      </c>
      <c r="H480" s="100">
        <v>11.45756</v>
      </c>
      <c r="I480" s="100">
        <v>11.17135</v>
      </c>
      <c r="J480" s="100">
        <v>11.13497</v>
      </c>
      <c r="K480" s="100">
        <v>11.41352</v>
      </c>
      <c r="L480" s="100">
        <v>11.90689</v>
      </c>
      <c r="M480" s="100">
        <v>12.52731</v>
      </c>
      <c r="N480" s="100">
        <v>12.66308</v>
      </c>
    </row>
    <row r="481" spans="1:14" ht="12">
      <c r="A481" t="s">
        <v>574</v>
      </c>
      <c r="B481" s="100">
        <v>11.935</v>
      </c>
      <c r="C481" s="100">
        <v>11.23037</v>
      </c>
      <c r="D481" s="100">
        <v>11.16522</v>
      </c>
      <c r="E481" s="100">
        <v>11.67606</v>
      </c>
      <c r="F481" s="100">
        <v>12.822</v>
      </c>
      <c r="G481" s="100">
        <v>12.16086</v>
      </c>
      <c r="H481" s="100">
        <v>12.12531</v>
      </c>
      <c r="I481" s="100">
        <v>12.5945</v>
      </c>
      <c r="J481" s="100">
        <v>12.44519</v>
      </c>
      <c r="K481" s="100">
        <v>11.93416</v>
      </c>
      <c r="L481" s="100">
        <v>12.01529</v>
      </c>
      <c r="M481" s="100">
        <v>12.18972</v>
      </c>
      <c r="N481" s="100">
        <v>12.48939</v>
      </c>
    </row>
    <row r="482" spans="1:14" ht="12">
      <c r="A482" t="s">
        <v>575</v>
      </c>
      <c r="B482" s="100">
        <v>12.32748</v>
      </c>
      <c r="C482" s="100">
        <v>12.35487</v>
      </c>
      <c r="D482" s="100">
        <v>13.49443</v>
      </c>
      <c r="E482" s="100">
        <v>13.48828</v>
      </c>
      <c r="F482" s="100">
        <v>12.91181</v>
      </c>
      <c r="G482" s="100">
        <v>11.92695</v>
      </c>
      <c r="H482" s="100">
        <v>13.02263</v>
      </c>
      <c r="I482" s="100">
        <v>12.97374</v>
      </c>
      <c r="J482" s="100">
        <v>12.9185</v>
      </c>
      <c r="K482" s="100">
        <v>12.89927</v>
      </c>
      <c r="L482" s="100">
        <v>13.07886</v>
      </c>
      <c r="M482" s="100">
        <v>13.60828</v>
      </c>
      <c r="N482" s="100">
        <v>12.82873</v>
      </c>
    </row>
    <row r="483" spans="1:14" ht="12">
      <c r="A483" t="s">
        <v>576</v>
      </c>
      <c r="B483" s="100">
        <v>7.38276</v>
      </c>
      <c r="C483" s="100">
        <v>7.23657</v>
      </c>
      <c r="D483" s="100">
        <v>6.91802</v>
      </c>
      <c r="E483" s="100">
        <v>7.04875</v>
      </c>
      <c r="F483" s="100">
        <v>7.0851</v>
      </c>
      <c r="G483" s="100">
        <v>6.91712</v>
      </c>
      <c r="H483" s="100">
        <v>7.11786</v>
      </c>
      <c r="I483" s="100">
        <v>7.03924</v>
      </c>
      <c r="J483" s="100">
        <v>6.86733</v>
      </c>
      <c r="K483" s="100">
        <v>6.62763</v>
      </c>
      <c r="L483" s="100">
        <v>6.26561</v>
      </c>
      <c r="M483" s="100">
        <v>6.27252</v>
      </c>
      <c r="N483" s="100">
        <v>6.32762</v>
      </c>
    </row>
    <row r="484" spans="1:14" ht="12">
      <c r="A484" t="s">
        <v>577</v>
      </c>
      <c r="B484" s="100">
        <v>12.98439</v>
      </c>
      <c r="C484" s="100">
        <v>13.66115</v>
      </c>
      <c r="D484" s="100">
        <v>13.13935</v>
      </c>
      <c r="E484" s="100">
        <v>14.01724</v>
      </c>
      <c r="F484" s="100">
        <v>13.35347</v>
      </c>
      <c r="G484" s="100">
        <v>13.66197</v>
      </c>
      <c r="H484" s="100">
        <v>14.31356</v>
      </c>
      <c r="I484" s="100">
        <v>15.22295</v>
      </c>
      <c r="J484" s="100">
        <v>15.44026</v>
      </c>
      <c r="K484" s="100">
        <v>15.37402</v>
      </c>
      <c r="L484" s="100">
        <v>14.57092</v>
      </c>
      <c r="M484" s="100">
        <v>15.28006</v>
      </c>
      <c r="N484" s="100">
        <v>14.37406</v>
      </c>
    </row>
    <row r="485" spans="1:14" ht="12">
      <c r="A485" t="s">
        <v>578</v>
      </c>
      <c r="B485" s="100">
        <v>14.87935</v>
      </c>
      <c r="C485" s="100">
        <v>14.6698</v>
      </c>
      <c r="D485" s="100">
        <v>14.39788</v>
      </c>
      <c r="E485" s="100">
        <v>14.50025</v>
      </c>
      <c r="F485" s="100">
        <v>14.94956</v>
      </c>
      <c r="G485" s="100">
        <v>14.82544</v>
      </c>
      <c r="H485" s="100">
        <v>14.756</v>
      </c>
      <c r="I485" s="100">
        <v>14.82861</v>
      </c>
      <c r="J485" s="100">
        <v>15.16355</v>
      </c>
      <c r="K485" s="100">
        <v>15.1721</v>
      </c>
      <c r="L485" s="100">
        <v>15.12727</v>
      </c>
      <c r="M485" s="100">
        <v>15.27143</v>
      </c>
      <c r="N485" s="100">
        <v>15.15521</v>
      </c>
    </row>
    <row r="486" spans="1:14" ht="12">
      <c r="A486" t="s">
        <v>579</v>
      </c>
      <c r="B486" s="100">
        <v>13.25313</v>
      </c>
      <c r="C486" s="100">
        <v>13.0901</v>
      </c>
      <c r="D486" s="100">
        <v>12.82455</v>
      </c>
      <c r="E486" s="100">
        <v>12.2299</v>
      </c>
      <c r="F486" s="100">
        <v>12.12331</v>
      </c>
      <c r="G486" s="100">
        <v>11.85036</v>
      </c>
      <c r="H486" s="100">
        <v>12.15906</v>
      </c>
      <c r="I486" s="100">
        <v>13.02116</v>
      </c>
      <c r="J486" s="100">
        <v>13.35251</v>
      </c>
      <c r="K486" s="100">
        <v>13.21148</v>
      </c>
      <c r="L486" s="100">
        <v>13.51472</v>
      </c>
      <c r="M486" s="100">
        <v>13.8033</v>
      </c>
      <c r="N486" s="100">
        <v>13.89722</v>
      </c>
    </row>
    <row r="487" spans="1:14" ht="12">
      <c r="A487" t="s">
        <v>580</v>
      </c>
      <c r="B487" s="100">
        <v>11.5964</v>
      </c>
      <c r="C487" s="100">
        <v>11.5445</v>
      </c>
      <c r="D487" s="100">
        <v>11.32155</v>
      </c>
      <c r="E487" s="100">
        <v>11.57176</v>
      </c>
      <c r="F487" s="100">
        <v>12.07783</v>
      </c>
      <c r="G487" s="100">
        <v>11.87266</v>
      </c>
      <c r="H487" s="100">
        <v>12.03448</v>
      </c>
      <c r="I487" s="100">
        <v>11.3673</v>
      </c>
      <c r="J487" s="100">
        <v>12.00991</v>
      </c>
      <c r="K487" s="100">
        <v>11.81952</v>
      </c>
      <c r="L487" s="100">
        <v>11.55847</v>
      </c>
      <c r="M487" s="100">
        <v>11.64921</v>
      </c>
      <c r="N487" s="100">
        <v>11.76089</v>
      </c>
    </row>
    <row r="488" spans="1:14" ht="12">
      <c r="A488" t="s">
        <v>581</v>
      </c>
      <c r="B488" s="100">
        <v>10.20676</v>
      </c>
      <c r="C488" s="100">
        <v>10.26045</v>
      </c>
      <c r="D488" s="100">
        <v>10.17278</v>
      </c>
      <c r="E488" s="100">
        <v>9.66232</v>
      </c>
      <c r="F488" s="100">
        <v>9.73897</v>
      </c>
      <c r="G488" s="100">
        <v>9.35602</v>
      </c>
      <c r="H488" s="100">
        <v>9.03957</v>
      </c>
      <c r="I488" s="100">
        <v>8.72621</v>
      </c>
      <c r="J488" s="100">
        <v>8.5994</v>
      </c>
      <c r="K488" s="100">
        <v>8.5286</v>
      </c>
      <c r="L488" s="100">
        <v>8.08302</v>
      </c>
      <c r="M488" s="100">
        <v>8.78984</v>
      </c>
      <c r="N488" s="100">
        <v>9.33994</v>
      </c>
    </row>
    <row r="489" spans="1:14" ht="12">
      <c r="A489" t="s">
        <v>582</v>
      </c>
      <c r="B489" s="100">
        <v>14.24931</v>
      </c>
      <c r="C489" s="100">
        <v>14.03396</v>
      </c>
      <c r="D489" s="100">
        <v>13.69373</v>
      </c>
      <c r="E489" s="100">
        <v>14.03321</v>
      </c>
      <c r="F489" s="100">
        <v>14.89689</v>
      </c>
      <c r="G489" s="100">
        <v>15.16199</v>
      </c>
      <c r="H489" s="100">
        <v>14.97245</v>
      </c>
      <c r="I489" s="100">
        <v>15.25298</v>
      </c>
      <c r="J489" s="100">
        <v>14.86426</v>
      </c>
      <c r="K489" s="100">
        <v>14.58303</v>
      </c>
      <c r="L489" s="100">
        <v>14.73974</v>
      </c>
      <c r="M489" s="100">
        <v>14.76382</v>
      </c>
      <c r="N489" s="100">
        <v>14.72106</v>
      </c>
    </row>
    <row r="490" spans="1:14" ht="12">
      <c r="A490" t="s">
        <v>583</v>
      </c>
      <c r="B490" s="100">
        <v>12.61753</v>
      </c>
      <c r="C490" s="100">
        <v>11.74201</v>
      </c>
      <c r="D490" s="100">
        <v>11.65067</v>
      </c>
      <c r="E490" s="100">
        <v>11.79877</v>
      </c>
      <c r="F490" s="100">
        <v>12.56248</v>
      </c>
      <c r="G490" s="100">
        <v>12.31757</v>
      </c>
      <c r="H490" s="100">
        <v>12.34921</v>
      </c>
      <c r="I490" s="100">
        <v>12.52718</v>
      </c>
      <c r="J490" s="100">
        <v>13.49172</v>
      </c>
      <c r="K490" s="100">
        <v>13.616</v>
      </c>
      <c r="L490" s="100">
        <v>13.99595</v>
      </c>
      <c r="M490" s="100">
        <v>14.31488</v>
      </c>
      <c r="N490" s="100">
        <v>14.74802</v>
      </c>
    </row>
    <row r="491" spans="1:14" ht="12">
      <c r="A491" t="s">
        <v>584</v>
      </c>
      <c r="B491" s="100">
        <v>11.62379</v>
      </c>
      <c r="C491" s="100">
        <v>11.87911</v>
      </c>
      <c r="D491" s="100">
        <v>11.58299</v>
      </c>
      <c r="E491" s="100">
        <v>11.6457</v>
      </c>
      <c r="F491" s="100">
        <v>12.30466</v>
      </c>
      <c r="G491" s="100">
        <v>12.24051</v>
      </c>
      <c r="H491" s="100">
        <v>12.20964</v>
      </c>
      <c r="I491" s="100">
        <v>12.77722</v>
      </c>
      <c r="J491" s="100">
        <v>12.7384</v>
      </c>
      <c r="K491" s="100">
        <v>12.79383</v>
      </c>
      <c r="L491" s="100">
        <v>12.85376</v>
      </c>
      <c r="M491" s="100">
        <v>12.94694</v>
      </c>
      <c r="N491" s="100">
        <v>12.22877</v>
      </c>
    </row>
    <row r="492" spans="1:14" ht="12">
      <c r="A492" t="s">
        <v>585</v>
      </c>
      <c r="B492" s="100">
        <v>3.51925</v>
      </c>
      <c r="C492" s="100">
        <v>3.15474</v>
      </c>
      <c r="D492" s="100">
        <v>3.20601</v>
      </c>
      <c r="E492" s="100">
        <v>3.29705</v>
      </c>
      <c r="F492" s="100">
        <v>3.39497</v>
      </c>
      <c r="G492" s="100">
        <v>3.23626</v>
      </c>
      <c r="H492" s="100">
        <v>3.37682</v>
      </c>
      <c r="I492" s="100">
        <v>3.37988</v>
      </c>
      <c r="J492" s="100">
        <v>3.39655</v>
      </c>
      <c r="K492" s="100">
        <v>3.35487</v>
      </c>
      <c r="L492" s="100">
        <v>3.31349</v>
      </c>
      <c r="M492" s="100">
        <v>3.30735</v>
      </c>
      <c r="N492" s="100">
        <v>3.31656</v>
      </c>
    </row>
    <row r="493" spans="1:14" ht="12">
      <c r="A493" t="s">
        <v>586</v>
      </c>
      <c r="B493" s="100">
        <v>7.57401</v>
      </c>
      <c r="C493" s="100">
        <v>7.55148</v>
      </c>
      <c r="D493" s="100">
        <v>7.51202</v>
      </c>
      <c r="E493" s="100">
        <v>7.73288</v>
      </c>
      <c r="F493" s="100">
        <v>7.80197</v>
      </c>
      <c r="G493" s="100">
        <v>7.75111</v>
      </c>
      <c r="H493" s="100">
        <v>7.73867</v>
      </c>
      <c r="I493" s="100">
        <v>7.67826</v>
      </c>
      <c r="J493" s="100">
        <v>7.53403</v>
      </c>
      <c r="K493" s="100">
        <v>7.35577</v>
      </c>
      <c r="L493" s="100">
        <v>7.56447</v>
      </c>
      <c r="M493" s="100">
        <v>7.70342</v>
      </c>
      <c r="N493" s="100">
        <v>7.86597</v>
      </c>
    </row>
    <row r="494" spans="1:14" ht="12">
      <c r="A494" t="s">
        <v>587</v>
      </c>
      <c r="B494" s="100">
        <v>3.11785</v>
      </c>
      <c r="C494" s="100">
        <v>3.21064</v>
      </c>
      <c r="D494" s="100">
        <v>2.8993</v>
      </c>
      <c r="E494" s="100">
        <v>2.68147</v>
      </c>
      <c r="F494" s="100">
        <v>2.86882</v>
      </c>
      <c r="G494" s="100">
        <v>3.90869</v>
      </c>
      <c r="H494" s="100">
        <v>3.91143</v>
      </c>
      <c r="I494" s="100">
        <v>3.62941</v>
      </c>
      <c r="J494" s="100">
        <v>3.67951</v>
      </c>
      <c r="K494" s="100">
        <v>3.63429</v>
      </c>
      <c r="L494" s="100">
        <v>3.56632</v>
      </c>
      <c r="M494" s="100">
        <v>3.48027</v>
      </c>
      <c r="N494" s="100">
        <v>3.49214</v>
      </c>
    </row>
    <row r="495" spans="1:14" ht="12">
      <c r="A495" t="s">
        <v>588</v>
      </c>
      <c r="B495" s="100">
        <v>8.74063</v>
      </c>
      <c r="C495" s="100">
        <v>8.5416</v>
      </c>
      <c r="D495" s="100">
        <v>8.73053</v>
      </c>
      <c r="E495" s="100">
        <v>8.61969</v>
      </c>
      <c r="F495" s="100">
        <v>9.60156</v>
      </c>
      <c r="G495" s="100">
        <v>9.3814</v>
      </c>
      <c r="H495" s="100">
        <v>9.26447</v>
      </c>
      <c r="I495" s="100">
        <v>9.33258</v>
      </c>
      <c r="J495" s="100">
        <v>9.5111</v>
      </c>
      <c r="K495" s="100">
        <v>9.95314</v>
      </c>
      <c r="L495" s="100">
        <v>10.44746</v>
      </c>
      <c r="M495" s="100">
        <v>10.61782</v>
      </c>
      <c r="N495" s="100">
        <v>10.44614</v>
      </c>
    </row>
    <row r="496" spans="1:14" ht="12">
      <c r="A496" t="s">
        <v>589</v>
      </c>
      <c r="B496" s="100">
        <v>6.42642</v>
      </c>
      <c r="C496" s="100">
        <v>6.2482</v>
      </c>
      <c r="D496" s="100">
        <v>6.14784</v>
      </c>
      <c r="E496" s="100">
        <v>6.17738</v>
      </c>
      <c r="F496" s="100">
        <v>6.5137</v>
      </c>
      <c r="G496" s="100">
        <v>6.36758</v>
      </c>
      <c r="H496" s="100">
        <v>6.66217</v>
      </c>
      <c r="I496" s="100">
        <v>6.7712</v>
      </c>
      <c r="J496" s="100">
        <v>6.75932</v>
      </c>
      <c r="K496" s="100">
        <v>6.7183</v>
      </c>
      <c r="L496" s="100">
        <v>6.79343</v>
      </c>
      <c r="M496" s="100">
        <v>6.81144</v>
      </c>
      <c r="N496" s="100" t="s">
        <v>163</v>
      </c>
    </row>
    <row r="497" spans="1:14" ht="12">
      <c r="A497" t="s">
        <v>165</v>
      </c>
      <c r="B497" s="100">
        <v>2222940.51425</v>
      </c>
      <c r="C497" s="100">
        <v>2315684.09548</v>
      </c>
      <c r="D497" s="100">
        <v>2408837.61187</v>
      </c>
      <c r="E497" s="100">
        <v>2489371.61337</v>
      </c>
      <c r="F497" s="100">
        <v>2606980.42875</v>
      </c>
      <c r="G497" s="100">
        <v>2704706.72853</v>
      </c>
      <c r="H497" s="100">
        <v>2746513.61327</v>
      </c>
      <c r="I497" s="100">
        <v>2839194.45007</v>
      </c>
      <c r="J497" s="100">
        <v>2892097.44459</v>
      </c>
      <c r="K497" s="100">
        <v>2973892.03503</v>
      </c>
      <c r="L497" s="100">
        <v>3084049.12393</v>
      </c>
      <c r="M497" s="100">
        <v>3116651.64436</v>
      </c>
      <c r="N497" s="100">
        <v>3168841.37544</v>
      </c>
    </row>
    <row r="498" spans="1:14" ht="12">
      <c r="A498" t="s">
        <v>166</v>
      </c>
      <c r="B498" s="100">
        <v>1750656.32003</v>
      </c>
      <c r="C498" s="100">
        <v>1819470.40572</v>
      </c>
      <c r="D498" s="100">
        <v>1883181.05067</v>
      </c>
      <c r="E498" s="100">
        <v>1971393.62434</v>
      </c>
      <c r="F498" s="100">
        <v>2100066.68638</v>
      </c>
      <c r="G498" s="100">
        <v>2152072.3078</v>
      </c>
      <c r="H498" s="100">
        <v>2181169.40345</v>
      </c>
      <c r="I498" s="100">
        <v>2229905.28748</v>
      </c>
      <c r="J498" s="100">
        <v>2284864.74683</v>
      </c>
      <c r="K498" s="100">
        <v>2336708.55158</v>
      </c>
      <c r="L498" s="100">
        <v>2392854.11421</v>
      </c>
      <c r="M498" s="100">
        <v>2455278.85031</v>
      </c>
      <c r="N498" s="100">
        <v>2517087.22432</v>
      </c>
    </row>
    <row r="499" spans="1:14" ht="12">
      <c r="A499" t="s">
        <v>167</v>
      </c>
      <c r="B499" s="100">
        <v>67709.5</v>
      </c>
      <c r="C499" s="100">
        <v>69773.9</v>
      </c>
      <c r="D499" s="100">
        <v>73446.7</v>
      </c>
      <c r="E499" s="100">
        <v>79046.5</v>
      </c>
      <c r="F499" s="100">
        <v>84887.2</v>
      </c>
      <c r="G499" s="100">
        <v>87447.3</v>
      </c>
      <c r="H499" s="100">
        <v>91582.5</v>
      </c>
      <c r="I499" s="100">
        <v>96120.7</v>
      </c>
      <c r="J499" s="100">
        <v>99369.6</v>
      </c>
      <c r="K499" s="100">
        <v>101301.1</v>
      </c>
      <c r="L499" s="100">
        <v>103538.2</v>
      </c>
      <c r="M499" s="100">
        <v>106576.1</v>
      </c>
      <c r="N499" s="100">
        <v>110092.6</v>
      </c>
    </row>
    <row r="500" spans="1:14" ht="12">
      <c r="A500" t="s">
        <v>168</v>
      </c>
      <c r="B500" s="100">
        <v>5346.662</v>
      </c>
      <c r="C500" s="100">
        <v>5870.515</v>
      </c>
      <c r="D500" s="100">
        <v>6523.716</v>
      </c>
      <c r="E500" s="100">
        <v>8119.859</v>
      </c>
      <c r="F500" s="100">
        <v>9425.831</v>
      </c>
      <c r="G500" s="100">
        <v>10079.836</v>
      </c>
      <c r="H500" s="100">
        <v>10390.868</v>
      </c>
      <c r="I500" s="100">
        <v>10608.97</v>
      </c>
      <c r="J500" s="100">
        <v>11358.308</v>
      </c>
      <c r="K500" s="100">
        <v>12116.889</v>
      </c>
      <c r="L500" s="100">
        <v>12319.602</v>
      </c>
      <c r="M500" s="100">
        <v>13010.691</v>
      </c>
      <c r="N500" s="100">
        <v>13462.693</v>
      </c>
    </row>
    <row r="501" spans="1:14" ht="12">
      <c r="A501" t="s">
        <v>169</v>
      </c>
      <c r="B501" s="100">
        <v>471665</v>
      </c>
      <c r="C501" s="100">
        <v>501878</v>
      </c>
      <c r="D501" s="100">
        <v>559222</v>
      </c>
      <c r="E501" s="100">
        <v>583445</v>
      </c>
      <c r="F501" s="100">
        <v>629301</v>
      </c>
      <c r="G501" s="100">
        <v>638333</v>
      </c>
      <c r="H501" s="100">
        <v>651133</v>
      </c>
      <c r="I501" s="100">
        <v>663190</v>
      </c>
      <c r="J501" s="100">
        <v>677951</v>
      </c>
      <c r="K501" s="100">
        <v>695191</v>
      </c>
      <c r="L501" s="100">
        <v>710045</v>
      </c>
      <c r="M501" s="100">
        <v>729235</v>
      </c>
      <c r="N501" s="100">
        <v>751043</v>
      </c>
    </row>
    <row r="502" spans="1:14" ht="12">
      <c r="A502" t="s">
        <v>170</v>
      </c>
      <c r="B502" s="100">
        <v>279967</v>
      </c>
      <c r="C502" s="100">
        <v>281259</v>
      </c>
      <c r="D502" s="100">
        <v>284613</v>
      </c>
      <c r="E502" s="100">
        <v>292377</v>
      </c>
      <c r="F502" s="100">
        <v>314775</v>
      </c>
      <c r="G502" s="100">
        <v>340442</v>
      </c>
      <c r="H502" s="100">
        <v>348423</v>
      </c>
      <c r="I502" s="100">
        <v>357951</v>
      </c>
      <c r="J502" s="100">
        <v>365253</v>
      </c>
      <c r="K502" s="100">
        <v>371486</v>
      </c>
      <c r="L502" s="100">
        <v>376360</v>
      </c>
      <c r="M502" s="100">
        <v>378970</v>
      </c>
      <c r="N502" s="100">
        <v>384124</v>
      </c>
    </row>
    <row r="503" spans="1:14" ht="12">
      <c r="A503" t="s">
        <v>171</v>
      </c>
      <c r="B503" s="100">
        <v>581739</v>
      </c>
      <c r="C503" s="100">
        <v>582585</v>
      </c>
      <c r="D503" s="100">
        <v>582028</v>
      </c>
      <c r="E503" s="100">
        <v>592394</v>
      </c>
      <c r="F503" s="100">
        <v>624836</v>
      </c>
      <c r="G503" s="100">
        <v>634483</v>
      </c>
      <c r="H503" s="100">
        <v>633852</v>
      </c>
      <c r="I503" s="100">
        <v>645548</v>
      </c>
      <c r="J503" s="100">
        <v>666407</v>
      </c>
      <c r="K503" s="100">
        <v>690988</v>
      </c>
      <c r="L503" s="100">
        <v>722320</v>
      </c>
      <c r="M503" s="100">
        <v>754895</v>
      </c>
      <c r="N503" s="100">
        <v>783471</v>
      </c>
    </row>
    <row r="504" spans="1:14" ht="12">
      <c r="A504" t="s">
        <v>172</v>
      </c>
      <c r="B504" s="100">
        <v>1153.6</v>
      </c>
      <c r="C504" s="100">
        <v>1335.9</v>
      </c>
      <c r="D504" s="100">
        <v>1587.7</v>
      </c>
      <c r="E504" s="100">
        <v>1975.9</v>
      </c>
      <c r="F504" s="100">
        <v>2217.8</v>
      </c>
      <c r="G504" s="100">
        <v>2138</v>
      </c>
      <c r="H504" s="100">
        <v>2148.8</v>
      </c>
      <c r="I504" s="100">
        <v>2235.2</v>
      </c>
      <c r="J504" s="100">
        <v>2345</v>
      </c>
      <c r="K504" s="100">
        <v>2473.3</v>
      </c>
      <c r="L504" s="100">
        <v>2725.7</v>
      </c>
      <c r="M504" s="100">
        <v>2932.6</v>
      </c>
      <c r="N504" s="100">
        <v>3137</v>
      </c>
    </row>
    <row r="505" spans="1:14" ht="12">
      <c r="A505" t="s">
        <v>173</v>
      </c>
      <c r="B505" s="100">
        <v>18351.06</v>
      </c>
      <c r="C505" s="100">
        <v>20471.75</v>
      </c>
      <c r="D505" s="100">
        <v>23186.13</v>
      </c>
      <c r="E505" s="100">
        <v>26280.65</v>
      </c>
      <c r="F505" s="100">
        <v>28847.85</v>
      </c>
      <c r="G505" s="100">
        <v>28774.13</v>
      </c>
      <c r="H505" s="100">
        <v>28826.86</v>
      </c>
      <c r="I505" s="100">
        <v>29454.19</v>
      </c>
      <c r="J505" s="100">
        <v>28526.03</v>
      </c>
      <c r="K505" s="100">
        <v>28076.37</v>
      </c>
      <c r="L505" s="100">
        <v>28422.66</v>
      </c>
      <c r="M505" s="100">
        <v>28391.6</v>
      </c>
      <c r="N505" s="100">
        <v>28920.74</v>
      </c>
    </row>
    <row r="506" spans="1:14" ht="12">
      <c r="A506" t="s">
        <v>174</v>
      </c>
      <c r="B506" s="100">
        <v>31968</v>
      </c>
      <c r="C506" s="100">
        <v>35966</v>
      </c>
      <c r="D506" s="100">
        <v>39996</v>
      </c>
      <c r="E506" s="100">
        <v>45718</v>
      </c>
      <c r="F506" s="100">
        <v>48928</v>
      </c>
      <c r="G506" s="100">
        <v>47328</v>
      </c>
      <c r="H506" s="100">
        <v>47489</v>
      </c>
      <c r="I506" s="100">
        <v>44347</v>
      </c>
      <c r="J506" s="100">
        <v>38696</v>
      </c>
      <c r="K506" s="100">
        <v>38908</v>
      </c>
      <c r="L506" s="100">
        <v>39051</v>
      </c>
      <c r="M506" s="100">
        <v>38835</v>
      </c>
      <c r="N506" s="100">
        <v>38302</v>
      </c>
    </row>
    <row r="507" spans="1:14" ht="12">
      <c r="A507" t="s">
        <v>175</v>
      </c>
      <c r="B507" s="100">
        <v>130013</v>
      </c>
      <c r="C507" s="100">
        <v>140245</v>
      </c>
      <c r="D507" s="100">
        <v>150055</v>
      </c>
      <c r="E507" s="100">
        <v>166101</v>
      </c>
      <c r="F507" s="100">
        <v>186915</v>
      </c>
      <c r="G507" s="100">
        <v>194363</v>
      </c>
      <c r="H507" s="100">
        <v>194720</v>
      </c>
      <c r="I507" s="100">
        <v>197165</v>
      </c>
      <c r="J507" s="100">
        <v>198967</v>
      </c>
      <c r="K507" s="100">
        <v>198720</v>
      </c>
      <c r="L507" s="100">
        <v>198785</v>
      </c>
      <c r="M507" s="100">
        <v>202784</v>
      </c>
      <c r="N507" s="100">
        <v>207617</v>
      </c>
    </row>
    <row r="508" spans="1:14" ht="12">
      <c r="A508" t="s">
        <v>176</v>
      </c>
      <c r="B508" s="100">
        <v>405646</v>
      </c>
      <c r="C508" s="100">
        <v>425630</v>
      </c>
      <c r="D508" s="100">
        <v>445340</v>
      </c>
      <c r="E508" s="100">
        <v>461307</v>
      </c>
      <c r="F508" s="100">
        <v>485875</v>
      </c>
      <c r="G508" s="100">
        <v>501095</v>
      </c>
      <c r="H508" s="100">
        <v>515457</v>
      </c>
      <c r="I508" s="100">
        <v>532702</v>
      </c>
      <c r="J508" s="100">
        <v>547948</v>
      </c>
      <c r="K508" s="100">
        <v>560174</v>
      </c>
      <c r="L508" s="100">
        <v>569228</v>
      </c>
      <c r="M508" s="100">
        <v>579394</v>
      </c>
      <c r="N508" s="100">
        <v>591341</v>
      </c>
    </row>
    <row r="509" spans="1:14" ht="12">
      <c r="A509" t="s">
        <v>177</v>
      </c>
      <c r="B509" s="100">
        <v>39514.24232</v>
      </c>
      <c r="C509" s="100">
        <v>45143.8582</v>
      </c>
      <c r="D509" s="100">
        <v>47138.48465</v>
      </c>
      <c r="E509" s="100">
        <v>48699.42494</v>
      </c>
      <c r="F509" s="100">
        <v>52616.03697</v>
      </c>
      <c r="G509" s="100">
        <v>52126.15303</v>
      </c>
      <c r="H509" s="100">
        <v>54242.50125</v>
      </c>
      <c r="I509" s="100">
        <v>53853.58496</v>
      </c>
      <c r="J509" s="100">
        <v>54865.34622</v>
      </c>
      <c r="K509" s="100">
        <v>56045.65887</v>
      </c>
      <c r="L509" s="100">
        <v>57742.07746</v>
      </c>
      <c r="M509" s="100">
        <v>56026.33547</v>
      </c>
      <c r="N509" s="100">
        <v>57188.47359</v>
      </c>
    </row>
    <row r="510" spans="1:14" ht="12">
      <c r="A510" t="s">
        <v>178</v>
      </c>
      <c r="B510" s="100">
        <v>283030</v>
      </c>
      <c r="C510" s="100">
        <v>293977</v>
      </c>
      <c r="D510" s="100">
        <v>306914</v>
      </c>
      <c r="E510" s="100">
        <v>320642</v>
      </c>
      <c r="F510" s="100">
        <v>337192</v>
      </c>
      <c r="G510" s="100">
        <v>344976</v>
      </c>
      <c r="H510" s="100">
        <v>349086</v>
      </c>
      <c r="I510" s="100">
        <v>354787</v>
      </c>
      <c r="J510" s="100">
        <v>363240</v>
      </c>
      <c r="K510" s="100">
        <v>371073</v>
      </c>
      <c r="L510" s="100">
        <v>376651</v>
      </c>
      <c r="M510" s="100">
        <v>381028</v>
      </c>
      <c r="N510" s="100">
        <v>387487</v>
      </c>
    </row>
    <row r="511" spans="1:14" ht="12">
      <c r="A511" t="s">
        <v>179</v>
      </c>
      <c r="B511" s="100">
        <v>1725.5</v>
      </c>
      <c r="C511" s="100">
        <v>1785.9</v>
      </c>
      <c r="D511" s="100">
        <v>1835.9</v>
      </c>
      <c r="E511" s="100">
        <v>2083.8</v>
      </c>
      <c r="F511" s="100">
        <v>2257.4</v>
      </c>
      <c r="G511" s="100">
        <v>2479.5</v>
      </c>
      <c r="H511" s="100">
        <v>2607.7</v>
      </c>
      <c r="I511" s="100">
        <v>2579.9</v>
      </c>
      <c r="J511" s="100">
        <v>2484.2</v>
      </c>
      <c r="K511" s="100">
        <v>2468.9</v>
      </c>
      <c r="L511" s="100">
        <v>2467.8</v>
      </c>
      <c r="M511" s="100">
        <v>2563.9</v>
      </c>
      <c r="N511" s="100">
        <v>2618.3</v>
      </c>
    </row>
    <row r="512" spans="1:14" ht="12">
      <c r="A512" t="s">
        <v>180</v>
      </c>
      <c r="B512" s="100">
        <v>1234.63</v>
      </c>
      <c r="C512" s="100">
        <v>1467.06</v>
      </c>
      <c r="D512" s="100">
        <v>1750.09</v>
      </c>
      <c r="E512" s="100">
        <v>2167.84</v>
      </c>
      <c r="F512" s="100">
        <v>2628.51</v>
      </c>
      <c r="G512" s="100">
        <v>2564.5</v>
      </c>
      <c r="H512" s="100">
        <v>2490.92</v>
      </c>
      <c r="I512" s="100">
        <v>2485.63</v>
      </c>
      <c r="J512" s="100">
        <v>2608.3</v>
      </c>
      <c r="K512" s="100">
        <v>2664.15</v>
      </c>
      <c r="L512" s="100">
        <v>2860.87</v>
      </c>
      <c r="M512" s="100">
        <v>3021.57</v>
      </c>
      <c r="N512" s="100">
        <v>3146.74</v>
      </c>
    </row>
    <row r="513" spans="1:14" ht="12">
      <c r="A513" t="s">
        <v>181</v>
      </c>
      <c r="B513" s="100">
        <v>2338.55794</v>
      </c>
      <c r="C513" s="100">
        <v>2611.03295</v>
      </c>
      <c r="D513" s="100">
        <v>3262.47872</v>
      </c>
      <c r="E513" s="100">
        <v>4320.95139</v>
      </c>
      <c r="F513" s="100">
        <v>4891.38827</v>
      </c>
      <c r="G513" s="100">
        <v>4545.60367</v>
      </c>
      <c r="H513" s="100">
        <v>4523.05074</v>
      </c>
      <c r="I513" s="100">
        <v>4573.14696</v>
      </c>
      <c r="J513" s="100">
        <v>4507.60514</v>
      </c>
      <c r="K513" s="100">
        <v>4545.42514</v>
      </c>
      <c r="L513" s="100">
        <v>4672.34818</v>
      </c>
      <c r="M513" s="100">
        <v>4902.86768</v>
      </c>
      <c r="N513" s="100">
        <v>5292.15539</v>
      </c>
    </row>
    <row r="514" spans="1:14" ht="12">
      <c r="A514" t="s">
        <v>182</v>
      </c>
      <c r="B514" s="100">
        <v>6058.6053</v>
      </c>
      <c r="C514" s="100">
        <v>6357.54033</v>
      </c>
      <c r="D514" s="100">
        <v>6640.7297</v>
      </c>
      <c r="E514" s="100">
        <v>7263.19366</v>
      </c>
      <c r="F514" s="100">
        <v>8018.13134</v>
      </c>
      <c r="G514" s="100">
        <v>8345.3059</v>
      </c>
      <c r="H514" s="100">
        <v>8609.60568</v>
      </c>
      <c r="I514" s="100">
        <v>9184.75523</v>
      </c>
      <c r="J514" s="100">
        <v>9723.0854</v>
      </c>
      <c r="K514" s="100">
        <v>10122.28519</v>
      </c>
      <c r="L514" s="100">
        <v>10305.6347</v>
      </c>
      <c r="M514" s="100">
        <v>10494.46472</v>
      </c>
      <c r="N514" s="100">
        <v>11127.37544</v>
      </c>
    </row>
    <row r="515" spans="1:14" ht="12">
      <c r="A515" t="s">
        <v>183</v>
      </c>
      <c r="B515" s="100">
        <v>3914252</v>
      </c>
      <c r="C515" s="100">
        <v>4399832</v>
      </c>
      <c r="D515" s="100">
        <v>4597279</v>
      </c>
      <c r="E515" s="100">
        <v>4944710</v>
      </c>
      <c r="F515" s="100">
        <v>4971640</v>
      </c>
      <c r="G515" s="100">
        <v>4926122</v>
      </c>
      <c r="H515" s="100">
        <v>5038963.499</v>
      </c>
      <c r="I515" s="100">
        <v>4994623</v>
      </c>
      <c r="J515" s="100">
        <v>5125961</v>
      </c>
      <c r="K515" s="100">
        <v>5142230.72737</v>
      </c>
      <c r="L515" s="100">
        <v>5169229.69882</v>
      </c>
      <c r="M515" s="100">
        <v>5251754.0782</v>
      </c>
      <c r="N515" s="100">
        <v>5407256.68997</v>
      </c>
    </row>
    <row r="516" spans="1:14" ht="12">
      <c r="A516" t="s">
        <v>184</v>
      </c>
      <c r="B516" s="100">
        <v>642.21316</v>
      </c>
      <c r="C516" s="100">
        <v>665.41442</v>
      </c>
      <c r="D516" s="100">
        <v>717.45857</v>
      </c>
      <c r="E516" s="100">
        <v>755.73942</v>
      </c>
      <c r="F516" s="100">
        <v>807.28126</v>
      </c>
      <c r="G516" s="100">
        <v>842.42484</v>
      </c>
      <c r="H516" s="100">
        <v>878.90557</v>
      </c>
      <c r="I516" s="100">
        <v>924.87339</v>
      </c>
      <c r="J516" s="100">
        <v>964.16893</v>
      </c>
      <c r="K516" s="100">
        <v>1010.28326</v>
      </c>
      <c r="L516" s="100">
        <v>1041.22033</v>
      </c>
      <c r="M516" s="100">
        <v>1085.99091</v>
      </c>
      <c r="N516" s="100">
        <v>1138.39249</v>
      </c>
    </row>
    <row r="517" spans="1:14" ht="12">
      <c r="A517" t="s">
        <v>185</v>
      </c>
      <c r="B517" s="100">
        <v>97348</v>
      </c>
      <c r="C517" s="100">
        <v>109511</v>
      </c>
      <c r="D517" s="100">
        <v>113394</v>
      </c>
      <c r="E517" s="100">
        <v>119860</v>
      </c>
      <c r="F517" s="100">
        <v>128656</v>
      </c>
      <c r="G517" s="100">
        <v>134095</v>
      </c>
      <c r="H517" s="100">
        <v>137578</v>
      </c>
      <c r="I517" s="100">
        <v>141486</v>
      </c>
      <c r="J517" s="100">
        <v>145287</v>
      </c>
      <c r="K517" s="100">
        <v>146204</v>
      </c>
      <c r="L517" s="100">
        <v>148122</v>
      </c>
      <c r="M517" s="100">
        <v>151380</v>
      </c>
      <c r="N517" s="100">
        <v>153924</v>
      </c>
    </row>
    <row r="518" spans="1:14" ht="12">
      <c r="A518" t="s">
        <v>186</v>
      </c>
      <c r="B518" s="100">
        <v>54762.05</v>
      </c>
      <c r="C518" s="100">
        <v>56956.06</v>
      </c>
      <c r="D518" s="100">
        <v>58948.4</v>
      </c>
      <c r="E518" s="100">
        <v>61835.97</v>
      </c>
      <c r="F518" s="100">
        <v>65413.26</v>
      </c>
      <c r="G518" s="100">
        <v>67624.27</v>
      </c>
      <c r="H518" s="100">
        <v>68727.4</v>
      </c>
      <c r="I518" s="100">
        <v>71254.26</v>
      </c>
      <c r="J518" s="100">
        <v>74029.28</v>
      </c>
      <c r="K518" s="100">
        <v>76587.08</v>
      </c>
      <c r="L518" s="100">
        <v>78505.9</v>
      </c>
      <c r="M518" s="100">
        <v>80871.84</v>
      </c>
      <c r="N518" s="100">
        <v>82085.83</v>
      </c>
    </row>
    <row r="519" spans="1:14" ht="12">
      <c r="A519" t="s">
        <v>187</v>
      </c>
      <c r="B519" s="100">
        <v>172972</v>
      </c>
      <c r="C519" s="100">
        <v>183663</v>
      </c>
      <c r="D519" s="100">
        <v>190204</v>
      </c>
      <c r="E519" s="100">
        <v>205247</v>
      </c>
      <c r="F519" s="100">
        <v>226807</v>
      </c>
      <c r="G519" s="100">
        <v>239424</v>
      </c>
      <c r="H519" s="100">
        <v>245174</v>
      </c>
      <c r="I519" s="100">
        <v>258546</v>
      </c>
      <c r="J519" s="100">
        <v>272005</v>
      </c>
      <c r="K519" s="100">
        <v>280358.5</v>
      </c>
      <c r="L519" s="100">
        <v>291866</v>
      </c>
      <c r="M519" s="100">
        <v>319480</v>
      </c>
      <c r="N519" s="100">
        <v>337616</v>
      </c>
    </row>
    <row r="520" spans="1:14" ht="12">
      <c r="A520" t="s">
        <v>188</v>
      </c>
      <c r="B520" s="100">
        <v>25779.634</v>
      </c>
      <c r="C520" s="100">
        <v>27052.925</v>
      </c>
      <c r="D520" s="100">
        <v>28341.622</v>
      </c>
      <c r="E520" s="100">
        <v>29946.196</v>
      </c>
      <c r="F520" s="100">
        <v>32916.847</v>
      </c>
      <c r="G520" s="100">
        <v>33451.672</v>
      </c>
      <c r="H520" s="100">
        <v>33324.948</v>
      </c>
      <c r="I520" s="100">
        <v>33010.099</v>
      </c>
      <c r="J520" s="100">
        <v>34784.884</v>
      </c>
      <c r="K520" s="100">
        <v>34088.088</v>
      </c>
      <c r="L520" s="100">
        <v>34710.657</v>
      </c>
      <c r="M520" s="100">
        <v>35112.773</v>
      </c>
      <c r="N520" s="100">
        <v>35615.756</v>
      </c>
    </row>
    <row r="521" spans="1:14" ht="12">
      <c r="A521" t="s">
        <v>189</v>
      </c>
      <c r="B521" s="100">
        <v>28663.4</v>
      </c>
      <c r="C521" s="100">
        <v>33203.3</v>
      </c>
      <c r="D521" s="100">
        <v>41898.8</v>
      </c>
      <c r="E521" s="100">
        <v>57880.5</v>
      </c>
      <c r="F521" s="100">
        <v>67177</v>
      </c>
      <c r="G521" s="100">
        <v>73345.5</v>
      </c>
      <c r="H521" s="100">
        <v>74264.2</v>
      </c>
      <c r="I521" s="100">
        <v>72273.5</v>
      </c>
      <c r="J521" s="100">
        <v>74460.3</v>
      </c>
      <c r="K521" s="100">
        <v>76683.7</v>
      </c>
      <c r="L521" s="100">
        <v>81687.1</v>
      </c>
      <c r="M521" s="100">
        <v>87974.9</v>
      </c>
      <c r="N521" s="100">
        <v>99658.9</v>
      </c>
    </row>
    <row r="522" spans="1:14" ht="12">
      <c r="A522" t="s">
        <v>190</v>
      </c>
      <c r="B522" s="100">
        <v>5089.37</v>
      </c>
      <c r="C522" s="100">
        <v>5369.4</v>
      </c>
      <c r="D522" s="100">
        <v>5624.26</v>
      </c>
      <c r="E522" s="100">
        <v>6203.16</v>
      </c>
      <c r="F522" s="100">
        <v>6631.13</v>
      </c>
      <c r="G522" s="100">
        <v>6860.78</v>
      </c>
      <c r="H522" s="100">
        <v>7136.41</v>
      </c>
      <c r="I522" s="100">
        <v>6942.3</v>
      </c>
      <c r="J522" s="100">
        <v>6947.02</v>
      </c>
      <c r="K522" s="100">
        <v>6918.64</v>
      </c>
      <c r="L522" s="100">
        <v>7018.92</v>
      </c>
      <c r="M522" s="100">
        <v>7075.17</v>
      </c>
      <c r="N522" s="100">
        <v>7302.41</v>
      </c>
    </row>
    <row r="523" spans="1:14" ht="12">
      <c r="A523" t="s">
        <v>191</v>
      </c>
      <c r="B523" s="100">
        <v>8611.293</v>
      </c>
      <c r="C523" s="100">
        <v>9321.691</v>
      </c>
      <c r="D523" s="100">
        <v>10250.996</v>
      </c>
      <c r="E523" s="100">
        <v>11147.478</v>
      </c>
      <c r="F523" s="100">
        <v>12334.676</v>
      </c>
      <c r="G523" s="100">
        <v>13234.156</v>
      </c>
      <c r="H523" s="100">
        <v>13213.632</v>
      </c>
      <c r="I523" s="100">
        <v>13743.613</v>
      </c>
      <c r="J523" s="100">
        <v>14097.725</v>
      </c>
      <c r="K523" s="100">
        <v>14500.93</v>
      </c>
      <c r="L523" s="100">
        <v>14960.204</v>
      </c>
      <c r="M523" s="100">
        <v>15519.974</v>
      </c>
      <c r="N523" s="100">
        <v>15714.925</v>
      </c>
    </row>
    <row r="524" spans="1:14" ht="12">
      <c r="A524" t="s">
        <v>192</v>
      </c>
      <c r="B524" s="100">
        <v>29309</v>
      </c>
      <c r="C524" s="100">
        <v>30123</v>
      </c>
      <c r="D524" s="100">
        <v>30954</v>
      </c>
      <c r="E524" s="100">
        <v>32749</v>
      </c>
      <c r="F524" s="100">
        <v>35824</v>
      </c>
      <c r="G524" s="100">
        <v>37446</v>
      </c>
      <c r="H524" s="100">
        <v>38929</v>
      </c>
      <c r="I524" s="100">
        <v>41342</v>
      </c>
      <c r="J524" s="100">
        <v>43928</v>
      </c>
      <c r="K524" s="100">
        <v>45885</v>
      </c>
      <c r="L524" s="100">
        <v>47467</v>
      </c>
      <c r="M524" s="100">
        <v>48414</v>
      </c>
      <c r="N524" s="100">
        <v>48753</v>
      </c>
    </row>
    <row r="525" spans="1:14" ht="12">
      <c r="A525" t="s">
        <v>193</v>
      </c>
      <c r="B525" s="100">
        <v>511275</v>
      </c>
      <c r="C525" s="100">
        <v>527449</v>
      </c>
      <c r="D525" s="100">
        <v>534956</v>
      </c>
      <c r="E525" s="100">
        <v>555046</v>
      </c>
      <c r="F525" s="100">
        <v>591772</v>
      </c>
      <c r="G525" s="100">
        <v>605050</v>
      </c>
      <c r="H525" s="100">
        <v>612219</v>
      </c>
      <c r="I525" s="100">
        <v>640525</v>
      </c>
      <c r="J525" s="100">
        <v>671436</v>
      </c>
      <c r="K525" s="100">
        <v>686195</v>
      </c>
      <c r="L525" s="100">
        <v>714762</v>
      </c>
      <c r="M525" s="100">
        <v>747900</v>
      </c>
      <c r="N525" s="100">
        <v>763593</v>
      </c>
    </row>
    <row r="526" spans="1:14" ht="12">
      <c r="A526" t="s">
        <v>194</v>
      </c>
      <c r="B526" s="100">
        <v>197639</v>
      </c>
      <c r="C526" s="100">
        <v>205494</v>
      </c>
      <c r="D526" s="100">
        <v>218032</v>
      </c>
      <c r="E526" s="100">
        <v>233262</v>
      </c>
      <c r="F526" s="100">
        <v>255817</v>
      </c>
      <c r="G526" s="100">
        <v>266530</v>
      </c>
      <c r="H526" s="100">
        <v>274806</v>
      </c>
      <c r="I526" s="100">
        <v>286561</v>
      </c>
      <c r="J526" s="100">
        <v>290946</v>
      </c>
      <c r="K526" s="100">
        <v>300065</v>
      </c>
      <c r="L526" s="100">
        <v>304563</v>
      </c>
      <c r="M526" s="100">
        <v>312014</v>
      </c>
      <c r="N526" s="100">
        <v>314882</v>
      </c>
    </row>
    <row r="527" spans="1:14" ht="12">
      <c r="A527" t="s">
        <v>195</v>
      </c>
      <c r="B527" s="100">
        <v>63645.44714</v>
      </c>
      <c r="C527" s="100">
        <v>66650.36</v>
      </c>
      <c r="D527" s="100">
        <v>75377.55091</v>
      </c>
      <c r="E527" s="100">
        <v>89777.90008</v>
      </c>
      <c r="F527" s="100">
        <v>122363.24992</v>
      </c>
      <c r="G527" s="100">
        <v>120955.89413</v>
      </c>
      <c r="H527" s="100">
        <v>138352.22192</v>
      </c>
      <c r="I527" s="100">
        <v>134950.4436</v>
      </c>
      <c r="J527" s="100">
        <v>133644.54668</v>
      </c>
      <c r="K527" s="100">
        <v>139441.23891</v>
      </c>
      <c r="L527" s="100">
        <v>141698.90669</v>
      </c>
      <c r="M527" s="100">
        <v>147601.46323</v>
      </c>
      <c r="N527" s="100">
        <v>172853.48842</v>
      </c>
    </row>
    <row r="528" spans="1:14" ht="12">
      <c r="A528" t="s">
        <v>196</v>
      </c>
      <c r="B528" s="100">
        <v>299183</v>
      </c>
      <c r="C528" s="100">
        <v>310292</v>
      </c>
      <c r="D528" s="100">
        <v>322690</v>
      </c>
      <c r="E528" s="100">
        <v>346807</v>
      </c>
      <c r="F528" s="100">
        <v>378426</v>
      </c>
      <c r="G528" s="100">
        <v>401669</v>
      </c>
      <c r="H528" s="100">
        <v>425231</v>
      </c>
      <c r="I528" s="100">
        <v>447720</v>
      </c>
      <c r="J528" s="100">
        <v>467767</v>
      </c>
      <c r="K528" s="100">
        <v>496615</v>
      </c>
      <c r="L528" s="100">
        <v>528791</v>
      </c>
      <c r="M528" s="100">
        <v>550738</v>
      </c>
      <c r="N528" s="100">
        <v>566452</v>
      </c>
    </row>
    <row r="529" spans="1:14" ht="12">
      <c r="A529" t="s">
        <v>197</v>
      </c>
      <c r="B529" s="100">
        <v>58689.40612</v>
      </c>
      <c r="C529" s="100">
        <v>58870.55328</v>
      </c>
      <c r="D529" s="100">
        <v>60049.51806</v>
      </c>
      <c r="E529" s="100">
        <v>60412.90934</v>
      </c>
      <c r="F529" s="100">
        <v>65245.07521</v>
      </c>
      <c r="G529" s="100">
        <v>67140.1087</v>
      </c>
      <c r="H529" s="100">
        <v>67554.77765</v>
      </c>
      <c r="I529" s="100">
        <v>69225.90141</v>
      </c>
      <c r="J529" s="100">
        <v>71431.98518</v>
      </c>
      <c r="K529" s="100">
        <v>72847.37082</v>
      </c>
      <c r="L529" s="100">
        <v>74148.64808</v>
      </c>
      <c r="M529" s="100">
        <v>76251.42803</v>
      </c>
      <c r="N529" s="100" t="s">
        <v>163</v>
      </c>
    </row>
    <row r="530" spans="1:14" ht="12">
      <c r="A530" t="s">
        <v>590</v>
      </c>
      <c r="B530" s="100">
        <v>1215112.8311</v>
      </c>
      <c r="C530" s="100">
        <v>1267001.77691</v>
      </c>
      <c r="D530" s="100">
        <v>1314955.78763</v>
      </c>
      <c r="E530" s="100">
        <v>1345715.6386</v>
      </c>
      <c r="F530" s="100">
        <v>1357646.69431</v>
      </c>
      <c r="G530" s="100">
        <v>1393843.94932</v>
      </c>
      <c r="H530" s="100">
        <v>1395689.16549</v>
      </c>
      <c r="I530" s="100">
        <v>1410761.88079</v>
      </c>
      <c r="J530" s="100">
        <v>1412555.92856</v>
      </c>
      <c r="K530" s="100">
        <v>1441452.83359</v>
      </c>
      <c r="L530" s="100">
        <v>1486329.71104</v>
      </c>
      <c r="M530" s="100">
        <v>1492614.4801</v>
      </c>
      <c r="N530" s="100">
        <v>1521303.87332</v>
      </c>
    </row>
    <row r="531" spans="1:14" ht="12">
      <c r="A531" t="s">
        <v>591</v>
      </c>
      <c r="B531" s="100">
        <v>870704.48142</v>
      </c>
      <c r="C531" s="100">
        <v>901208.59713</v>
      </c>
      <c r="D531" s="100">
        <v>931082.25407</v>
      </c>
      <c r="E531" s="100">
        <v>974053.31515</v>
      </c>
      <c r="F531" s="100">
        <v>1010470.48124</v>
      </c>
      <c r="G531" s="100">
        <v>1021373.82596</v>
      </c>
      <c r="H531" s="100">
        <v>1024913.12513</v>
      </c>
      <c r="I531" s="100">
        <v>1021044.78355</v>
      </c>
      <c r="J531" s="100">
        <v>1032417.63715</v>
      </c>
      <c r="K531" s="100">
        <v>1044301.7542</v>
      </c>
      <c r="L531" s="100">
        <v>1056968.67057</v>
      </c>
      <c r="M531" s="100">
        <v>1076249.05617</v>
      </c>
      <c r="N531" s="100">
        <v>1100792.50916</v>
      </c>
    </row>
    <row r="532" spans="1:14" ht="12">
      <c r="A532" t="s">
        <v>592</v>
      </c>
      <c r="B532" s="100">
        <v>36417.7</v>
      </c>
      <c r="C532" s="100">
        <v>38011.8</v>
      </c>
      <c r="D532" s="100">
        <v>39631.7</v>
      </c>
      <c r="E532" s="100">
        <v>41896.6</v>
      </c>
      <c r="F532" s="100">
        <v>43747.8</v>
      </c>
      <c r="G532" s="100">
        <v>44908.6</v>
      </c>
      <c r="H532" s="100">
        <v>46770.9</v>
      </c>
      <c r="I532" s="100">
        <v>48655.2</v>
      </c>
      <c r="J532" s="100">
        <v>50193.6</v>
      </c>
      <c r="K532" s="100">
        <v>50880.3</v>
      </c>
      <c r="L532" s="100">
        <v>51093</v>
      </c>
      <c r="M532" s="100">
        <v>52288.2</v>
      </c>
      <c r="N532" s="100">
        <v>53776.3</v>
      </c>
    </row>
    <row r="533" spans="1:14" ht="12">
      <c r="A533" t="s">
        <v>593</v>
      </c>
      <c r="B533" s="100">
        <v>4327.414</v>
      </c>
      <c r="C533" s="100">
        <v>4570.741</v>
      </c>
      <c r="D533" s="100">
        <v>5365.536</v>
      </c>
      <c r="E533" s="100">
        <v>6413.768</v>
      </c>
      <c r="F533" s="100">
        <v>6841.751</v>
      </c>
      <c r="G533" s="100">
        <v>6765.065</v>
      </c>
      <c r="H533" s="100">
        <v>6976.942</v>
      </c>
      <c r="I533" s="100">
        <v>7103.093</v>
      </c>
      <c r="J533" s="100">
        <v>7775.774</v>
      </c>
      <c r="K533" s="100">
        <v>7956.372</v>
      </c>
      <c r="L533" s="100">
        <v>8344.061</v>
      </c>
      <c r="M533" s="100">
        <v>8486.883</v>
      </c>
      <c r="N533" s="100">
        <v>9148.329</v>
      </c>
    </row>
    <row r="534" spans="1:14" ht="12">
      <c r="A534" t="s">
        <v>594</v>
      </c>
      <c r="B534" s="100">
        <v>284050</v>
      </c>
      <c r="C534" s="100">
        <v>302540</v>
      </c>
      <c r="D534" s="100">
        <v>319662</v>
      </c>
      <c r="E534" s="100">
        <v>334308</v>
      </c>
      <c r="F534" s="100">
        <v>352049</v>
      </c>
      <c r="G534" s="100">
        <v>353594</v>
      </c>
      <c r="H534" s="100">
        <v>349916</v>
      </c>
      <c r="I534" s="100">
        <v>359397</v>
      </c>
      <c r="J534" s="100">
        <v>366707</v>
      </c>
      <c r="K534" s="100">
        <v>379553</v>
      </c>
      <c r="L534" s="100">
        <v>397775</v>
      </c>
      <c r="M534" s="100">
        <v>419374</v>
      </c>
      <c r="N534" s="100">
        <v>461952</v>
      </c>
    </row>
    <row r="535" spans="1:14" ht="12">
      <c r="A535" t="s">
        <v>595</v>
      </c>
      <c r="B535" s="100">
        <v>248219</v>
      </c>
      <c r="C535" s="100">
        <v>258859</v>
      </c>
      <c r="D535" s="100">
        <v>266782</v>
      </c>
      <c r="E535" s="100">
        <v>280979</v>
      </c>
      <c r="F535" s="100">
        <v>301545</v>
      </c>
      <c r="G535" s="100">
        <v>313186</v>
      </c>
      <c r="H535" s="100">
        <v>310199</v>
      </c>
      <c r="I535" s="100">
        <v>314639</v>
      </c>
      <c r="J535" s="100">
        <v>316818</v>
      </c>
      <c r="K535" s="100">
        <v>321626</v>
      </c>
      <c r="L535" s="100">
        <v>325529</v>
      </c>
      <c r="M535" s="100">
        <v>327413</v>
      </c>
      <c r="N535" s="100">
        <v>332358</v>
      </c>
    </row>
    <row r="536" spans="1:14" ht="12">
      <c r="A536" t="s">
        <v>596</v>
      </c>
      <c r="B536" s="100">
        <v>182233</v>
      </c>
      <c r="C536" s="100">
        <v>183180</v>
      </c>
      <c r="D536" s="100">
        <v>184175</v>
      </c>
      <c r="E536" s="100">
        <v>189079</v>
      </c>
      <c r="F536" s="100">
        <v>197812</v>
      </c>
      <c r="G536" s="100">
        <v>203528</v>
      </c>
      <c r="H536" s="100">
        <v>208645</v>
      </c>
      <c r="I536" s="100">
        <v>212337</v>
      </c>
      <c r="J536" s="100">
        <v>217761</v>
      </c>
      <c r="K536" s="100">
        <v>223991</v>
      </c>
      <c r="L536" s="100">
        <v>229171</v>
      </c>
      <c r="M536" s="100">
        <v>236491</v>
      </c>
      <c r="N536" s="100">
        <v>246476</v>
      </c>
    </row>
    <row r="537" spans="1:14" ht="12">
      <c r="A537" t="s">
        <v>597</v>
      </c>
      <c r="B537" s="100">
        <v>1107.3</v>
      </c>
      <c r="C537" s="100">
        <v>1245.9</v>
      </c>
      <c r="D537" s="100">
        <v>1530.8</v>
      </c>
      <c r="E537" s="100">
        <v>1835.1</v>
      </c>
      <c r="F537" s="100">
        <v>1779.6</v>
      </c>
      <c r="G537" s="100">
        <v>1712.7</v>
      </c>
      <c r="H537" s="100">
        <v>1775.7</v>
      </c>
      <c r="I537" s="100">
        <v>1841.2</v>
      </c>
      <c r="J537" s="100">
        <v>2008.5</v>
      </c>
      <c r="K537" s="100">
        <v>2162.8</v>
      </c>
      <c r="L537" s="100">
        <v>2337.9</v>
      </c>
      <c r="M537" s="100">
        <v>2483.8</v>
      </c>
      <c r="N537" s="100">
        <v>2661.3</v>
      </c>
    </row>
    <row r="538" spans="1:14" ht="12">
      <c r="A538" t="s">
        <v>598</v>
      </c>
      <c r="B538" s="100">
        <v>16565.98</v>
      </c>
      <c r="C538" s="100">
        <v>18164.2</v>
      </c>
      <c r="D538" s="100">
        <v>19903.58</v>
      </c>
      <c r="E538" s="100">
        <v>21206.28</v>
      </c>
      <c r="F538" s="100">
        <v>20712.57</v>
      </c>
      <c r="G538" s="100">
        <v>19292.55</v>
      </c>
      <c r="H538" s="100">
        <v>19388.81</v>
      </c>
      <c r="I538" s="100">
        <v>18995.67</v>
      </c>
      <c r="J538" s="100">
        <v>18594.44</v>
      </c>
      <c r="K538" s="100">
        <v>18366</v>
      </c>
      <c r="L538" s="100">
        <v>18976.83</v>
      </c>
      <c r="M538" s="100">
        <v>19467.84</v>
      </c>
      <c r="N538" s="100">
        <v>20708.55</v>
      </c>
    </row>
    <row r="539" spans="1:14" ht="12">
      <c r="A539" t="s">
        <v>599</v>
      </c>
      <c r="B539" s="100">
        <v>22700</v>
      </c>
      <c r="C539" s="100">
        <v>23988</v>
      </c>
      <c r="D539" s="100">
        <v>25777</v>
      </c>
      <c r="E539" s="100">
        <v>28046</v>
      </c>
      <c r="F539" s="100">
        <v>31060</v>
      </c>
      <c r="G539" s="100">
        <v>28066</v>
      </c>
      <c r="H539" s="100">
        <v>26102</v>
      </c>
      <c r="I539" s="100">
        <v>24512</v>
      </c>
      <c r="J539" s="100">
        <v>22068</v>
      </c>
      <c r="K539" s="100">
        <v>21855</v>
      </c>
      <c r="L539" s="100">
        <v>21541</v>
      </c>
      <c r="M539" s="100">
        <v>21434</v>
      </c>
      <c r="N539" s="100">
        <v>21473</v>
      </c>
    </row>
    <row r="540" spans="1:14" ht="12">
      <c r="A540" t="s">
        <v>600</v>
      </c>
      <c r="B540" s="100">
        <v>90719</v>
      </c>
      <c r="C540" s="100">
        <v>98039</v>
      </c>
      <c r="D540" s="100">
        <v>107445</v>
      </c>
      <c r="E540" s="100">
        <v>118136</v>
      </c>
      <c r="F540" s="100">
        <v>125564</v>
      </c>
      <c r="G540" s="100">
        <v>124884</v>
      </c>
      <c r="H540" s="100">
        <v>122601</v>
      </c>
      <c r="I540" s="100">
        <v>113925</v>
      </c>
      <c r="J540" s="100">
        <v>114711</v>
      </c>
      <c r="K540" s="100">
        <v>115206</v>
      </c>
      <c r="L540" s="100">
        <v>119356</v>
      </c>
      <c r="M540" s="100">
        <v>121325</v>
      </c>
      <c r="N540" s="100">
        <v>122781</v>
      </c>
    </row>
    <row r="541" spans="1:14" ht="12">
      <c r="A541" t="s">
        <v>601</v>
      </c>
      <c r="B541" s="100">
        <v>226730</v>
      </c>
      <c r="C541" s="100">
        <v>232932</v>
      </c>
      <c r="D541" s="100">
        <v>240577</v>
      </c>
      <c r="E541" s="100">
        <v>246621</v>
      </c>
      <c r="F541" s="100">
        <v>254107</v>
      </c>
      <c r="G541" s="100">
        <v>259844</v>
      </c>
      <c r="H541" s="100">
        <v>263634</v>
      </c>
      <c r="I541" s="100">
        <v>268492</v>
      </c>
      <c r="J541" s="100">
        <v>273113</v>
      </c>
      <c r="K541" s="100">
        <v>278502</v>
      </c>
      <c r="L541" s="100">
        <v>281301</v>
      </c>
      <c r="M541" s="100">
        <v>283919</v>
      </c>
      <c r="N541" s="100">
        <v>290134</v>
      </c>
    </row>
    <row r="542" spans="1:14" ht="12">
      <c r="A542" t="s">
        <v>602</v>
      </c>
      <c r="B542" s="100">
        <v>30297.546</v>
      </c>
      <c r="C542" s="100">
        <v>32078.39781</v>
      </c>
      <c r="D542" s="100">
        <v>36439.66105</v>
      </c>
      <c r="E542" s="100">
        <v>39156.26114</v>
      </c>
      <c r="F542" s="100">
        <v>40692.12815</v>
      </c>
      <c r="G542" s="100">
        <v>39917.95866</v>
      </c>
      <c r="H542" s="100">
        <v>40251.22722</v>
      </c>
      <c r="I542" s="100">
        <v>39688.27916</v>
      </c>
      <c r="J542" s="100">
        <v>38602.15901</v>
      </c>
      <c r="K542" s="100">
        <v>37776.35204</v>
      </c>
      <c r="L542" s="100">
        <v>38689.71471</v>
      </c>
      <c r="M542" s="100">
        <v>39740.04178</v>
      </c>
      <c r="N542" s="100">
        <v>41439.86901</v>
      </c>
    </row>
    <row r="543" spans="1:14" ht="12">
      <c r="A543" t="s">
        <v>603</v>
      </c>
      <c r="B543" s="100">
        <v>156645</v>
      </c>
      <c r="C543" s="100">
        <v>163797</v>
      </c>
      <c r="D543" s="100">
        <v>164330</v>
      </c>
      <c r="E543" s="100">
        <v>170271</v>
      </c>
      <c r="F543" s="100">
        <v>171676</v>
      </c>
      <c r="G543" s="100">
        <v>172548</v>
      </c>
      <c r="H543" s="100">
        <v>169615</v>
      </c>
      <c r="I543" s="100">
        <v>166142</v>
      </c>
      <c r="J543" s="100">
        <v>164784</v>
      </c>
      <c r="K543" s="100">
        <v>163468</v>
      </c>
      <c r="L543" s="100">
        <v>162072</v>
      </c>
      <c r="M543" s="100">
        <v>163896</v>
      </c>
      <c r="N543" s="100">
        <v>164007</v>
      </c>
    </row>
    <row r="544" spans="1:14" ht="12">
      <c r="A544" t="s">
        <v>604</v>
      </c>
      <c r="B544" s="100">
        <v>2001.3</v>
      </c>
      <c r="C544" s="100">
        <v>2159.2</v>
      </c>
      <c r="D544" s="100">
        <v>2311.4</v>
      </c>
      <c r="E544" s="100">
        <v>2502.7</v>
      </c>
      <c r="F544" s="100">
        <v>2728.5</v>
      </c>
      <c r="G544" s="100">
        <v>2763.5</v>
      </c>
      <c r="H544" s="100">
        <v>2881.6</v>
      </c>
      <c r="I544" s="100">
        <v>2844.4</v>
      </c>
      <c r="J544" s="100">
        <v>2593.7</v>
      </c>
      <c r="K544" s="100">
        <v>2340.6</v>
      </c>
      <c r="L544" s="100">
        <v>2270.7</v>
      </c>
      <c r="M544" s="100">
        <v>2260</v>
      </c>
      <c r="N544" s="100">
        <v>2350.4</v>
      </c>
    </row>
    <row r="545" spans="1:14" ht="12">
      <c r="A545" t="s">
        <v>605</v>
      </c>
      <c r="B545" s="100">
        <v>1295.35</v>
      </c>
      <c r="C545" s="100">
        <v>1598.4</v>
      </c>
      <c r="D545" s="100">
        <v>2241.6</v>
      </c>
      <c r="E545" s="100">
        <v>2773.2</v>
      </c>
      <c r="F545" s="100">
        <v>2255.5</v>
      </c>
      <c r="G545" s="100">
        <v>1854.88</v>
      </c>
      <c r="H545" s="100">
        <v>1939.98</v>
      </c>
      <c r="I545" s="100">
        <v>2005.16</v>
      </c>
      <c r="J545" s="100">
        <v>2140.38</v>
      </c>
      <c r="K545" s="100">
        <v>2268.1</v>
      </c>
      <c r="L545" s="100">
        <v>2414.34</v>
      </c>
      <c r="M545" s="100">
        <v>2544.84</v>
      </c>
      <c r="N545" s="100">
        <v>2757.54</v>
      </c>
    </row>
    <row r="546" spans="1:14" ht="12">
      <c r="A546" t="s">
        <v>606</v>
      </c>
      <c r="B546" s="100">
        <v>2153.08246</v>
      </c>
      <c r="C546" s="100">
        <v>2504.60917</v>
      </c>
      <c r="D546" s="100">
        <v>2834.48194</v>
      </c>
      <c r="E546" s="100">
        <v>3475.80135</v>
      </c>
      <c r="F546" s="100">
        <v>3410.25515</v>
      </c>
      <c r="G546" s="100">
        <v>3058.84494</v>
      </c>
      <c r="H546" s="100">
        <v>3197.32584</v>
      </c>
      <c r="I546" s="100">
        <v>3241.61399</v>
      </c>
      <c r="J546" s="100">
        <v>3338.451</v>
      </c>
      <c r="K546" s="100">
        <v>3462.15105</v>
      </c>
      <c r="L546" s="100">
        <v>3605.30795</v>
      </c>
      <c r="M546" s="100">
        <v>3802.34562</v>
      </c>
      <c r="N546" s="100">
        <v>4011.87977</v>
      </c>
    </row>
    <row r="547" spans="1:14" ht="12">
      <c r="A547" t="s">
        <v>607</v>
      </c>
      <c r="B547" s="100">
        <v>2714.02694</v>
      </c>
      <c r="C547" s="100">
        <v>2852.24829</v>
      </c>
      <c r="D547" s="100">
        <v>3001.46991</v>
      </c>
      <c r="E547" s="100">
        <v>3155.40654</v>
      </c>
      <c r="F547" s="100">
        <v>3389.96037</v>
      </c>
      <c r="G547" s="100">
        <v>3595.5016</v>
      </c>
      <c r="H547" s="100">
        <v>3787.93538</v>
      </c>
      <c r="I547" s="100">
        <v>3996.76662</v>
      </c>
      <c r="J547" s="100">
        <v>4176.5572</v>
      </c>
      <c r="K547" s="100">
        <v>4338.02237</v>
      </c>
      <c r="L547" s="100">
        <v>4545.72879</v>
      </c>
      <c r="M547" s="100">
        <v>4632.41227</v>
      </c>
      <c r="N547" s="100">
        <v>5019.16291</v>
      </c>
    </row>
    <row r="548" spans="1:14" ht="12">
      <c r="A548" t="s">
        <v>608</v>
      </c>
      <c r="B548" s="100">
        <v>2772682</v>
      </c>
      <c r="C548" s="100">
        <v>2889029</v>
      </c>
      <c r="D548" s="100">
        <v>2921037</v>
      </c>
      <c r="E548" s="100">
        <v>3082873</v>
      </c>
      <c r="F548" s="100">
        <v>2958065</v>
      </c>
      <c r="G548" s="100">
        <v>2935949</v>
      </c>
      <c r="H548" s="100">
        <v>2866690</v>
      </c>
      <c r="I548" s="100">
        <v>2849513</v>
      </c>
      <c r="J548" s="100">
        <v>3030176</v>
      </c>
      <c r="K548" s="100">
        <v>3341170</v>
      </c>
      <c r="L548" s="100">
        <v>3598381.551</v>
      </c>
      <c r="M548" s="100">
        <v>3861644.23892</v>
      </c>
      <c r="N548" s="100">
        <v>4132668.05978</v>
      </c>
    </row>
    <row r="549" spans="1:14" ht="12">
      <c r="A549" t="s">
        <v>609</v>
      </c>
      <c r="B549" s="100">
        <v>676.70563</v>
      </c>
      <c r="C549" s="100">
        <v>686.89496</v>
      </c>
      <c r="D549" s="100">
        <v>716.11576</v>
      </c>
      <c r="E549" s="100">
        <v>846.60122</v>
      </c>
      <c r="F549" s="100">
        <v>838.63938</v>
      </c>
      <c r="G549" s="100">
        <v>855.48455</v>
      </c>
      <c r="H549" s="100">
        <v>882.39163</v>
      </c>
      <c r="I549" s="100">
        <v>922.70755</v>
      </c>
      <c r="J549" s="100">
        <v>977.76937</v>
      </c>
      <c r="K549" s="100">
        <v>1049.87878</v>
      </c>
      <c r="L549" s="100">
        <v>1115.76383</v>
      </c>
      <c r="M549" s="100">
        <v>1179.35428</v>
      </c>
      <c r="N549" s="100">
        <v>1271.08448</v>
      </c>
    </row>
    <row r="550" spans="1:14" ht="12">
      <c r="A550" t="s">
        <v>610</v>
      </c>
      <c r="B550" s="100">
        <v>49463</v>
      </c>
      <c r="C550" s="100">
        <v>50498</v>
      </c>
      <c r="D550" s="100">
        <v>52561</v>
      </c>
      <c r="E550" s="100">
        <v>55456</v>
      </c>
      <c r="F550" s="100">
        <v>58579</v>
      </c>
      <c r="G550" s="100">
        <v>60116</v>
      </c>
      <c r="H550" s="100">
        <v>59718</v>
      </c>
      <c r="I550" s="100">
        <v>60113</v>
      </c>
      <c r="J550" s="100">
        <v>60193</v>
      </c>
      <c r="K550" s="100">
        <v>60423</v>
      </c>
      <c r="L550" s="100">
        <v>59651</v>
      </c>
      <c r="M550" s="100">
        <v>60974</v>
      </c>
      <c r="N550" s="100">
        <v>62355</v>
      </c>
    </row>
    <row r="551" spans="1:14" ht="12">
      <c r="A551" t="s">
        <v>611</v>
      </c>
      <c r="B551" s="100">
        <v>27929.44</v>
      </c>
      <c r="C551" s="100">
        <v>28997.82</v>
      </c>
      <c r="D551" s="100">
        <v>29835.64</v>
      </c>
      <c r="E551" s="100">
        <v>31269.67</v>
      </c>
      <c r="F551" s="100">
        <v>32532.27</v>
      </c>
      <c r="G551" s="100">
        <v>33040.79</v>
      </c>
      <c r="H551" s="100">
        <v>33404.48</v>
      </c>
      <c r="I551" s="100">
        <v>34218.43</v>
      </c>
      <c r="J551" s="100">
        <v>34631.55</v>
      </c>
      <c r="K551" s="100">
        <v>35359.14</v>
      </c>
      <c r="L551" s="100">
        <v>36768.27</v>
      </c>
      <c r="M551" s="100">
        <v>37966.46</v>
      </c>
      <c r="N551" s="100">
        <v>39119.35</v>
      </c>
    </row>
    <row r="552" spans="1:14" ht="12">
      <c r="A552" t="s">
        <v>612</v>
      </c>
      <c r="B552" s="100">
        <v>108305</v>
      </c>
      <c r="C552" s="100">
        <v>114246</v>
      </c>
      <c r="D552" s="100">
        <v>124154</v>
      </c>
      <c r="E552" s="100">
        <v>139140</v>
      </c>
      <c r="F552" s="100">
        <v>150615</v>
      </c>
      <c r="G552" s="100">
        <v>158931</v>
      </c>
      <c r="H552" s="100">
        <v>164912</v>
      </c>
      <c r="I552" s="100">
        <v>168003</v>
      </c>
      <c r="J552" s="100">
        <v>171814</v>
      </c>
      <c r="K552" s="100">
        <v>178730.7</v>
      </c>
      <c r="L552" s="100">
        <v>184226.8</v>
      </c>
      <c r="M552" s="100">
        <v>190475</v>
      </c>
      <c r="N552" s="100">
        <v>199692</v>
      </c>
    </row>
    <row r="553" spans="1:14" ht="12">
      <c r="A553" t="s">
        <v>613</v>
      </c>
      <c r="B553" s="100">
        <v>23044.103</v>
      </c>
      <c r="C553" s="100">
        <v>22916.146</v>
      </c>
      <c r="D553" s="100">
        <v>23006.77</v>
      </c>
      <c r="E553" s="100">
        <v>23491.131</v>
      </c>
      <c r="F553" s="100">
        <v>24607.868</v>
      </c>
      <c r="G553" s="100">
        <v>24610.5</v>
      </c>
      <c r="H553" s="100">
        <v>22614.145</v>
      </c>
      <c r="I553" s="100">
        <v>19688.064</v>
      </c>
      <c r="J553" s="100">
        <v>21316.942</v>
      </c>
      <c r="K553" s="100">
        <v>20514.964</v>
      </c>
      <c r="L553" s="100">
        <v>20348.692</v>
      </c>
      <c r="M553" s="100">
        <v>20880.908</v>
      </c>
      <c r="N553" s="100">
        <v>21269.696</v>
      </c>
    </row>
    <row r="554" spans="1:14" ht="12">
      <c r="A554" t="s">
        <v>614</v>
      </c>
      <c r="B554" s="100">
        <v>25261</v>
      </c>
      <c r="C554" s="100">
        <v>31940.4</v>
      </c>
      <c r="D554" s="100">
        <v>40435.9</v>
      </c>
      <c r="E554" s="100">
        <v>54126</v>
      </c>
      <c r="F554" s="100">
        <v>54818.6</v>
      </c>
      <c r="G554" s="100">
        <v>50637.2</v>
      </c>
      <c r="H554" s="100">
        <v>44105.1</v>
      </c>
      <c r="I554" s="100">
        <v>46359.8</v>
      </c>
      <c r="J554" s="100">
        <v>51680.7</v>
      </c>
      <c r="K554" s="100">
        <v>51607</v>
      </c>
      <c r="L554" s="100">
        <v>54754.4</v>
      </c>
      <c r="M554" s="100">
        <v>67822.4</v>
      </c>
      <c r="N554" s="100">
        <v>83316.8</v>
      </c>
    </row>
    <row r="555" spans="1:14" ht="12">
      <c r="A555" t="s">
        <v>615</v>
      </c>
      <c r="B555" s="100">
        <v>3304.59</v>
      </c>
      <c r="C555" s="100">
        <v>3479.93</v>
      </c>
      <c r="D555" s="100">
        <v>3641.04</v>
      </c>
      <c r="E555" s="100">
        <v>4111.65</v>
      </c>
      <c r="F555" s="100">
        <v>4399.52</v>
      </c>
      <c r="G555" s="100">
        <v>4560.78</v>
      </c>
      <c r="H555" s="100">
        <v>4669.8</v>
      </c>
      <c r="I555" s="100">
        <v>4546.45</v>
      </c>
      <c r="J555" s="100">
        <v>4327.72</v>
      </c>
      <c r="K555" s="100">
        <v>4255.06</v>
      </c>
      <c r="L555" s="100">
        <v>4295.28</v>
      </c>
      <c r="M555" s="100">
        <v>4581.39</v>
      </c>
      <c r="N555" s="100">
        <v>4790.38</v>
      </c>
    </row>
    <row r="556" spans="1:14" ht="12">
      <c r="A556" t="s">
        <v>616</v>
      </c>
      <c r="B556" s="100">
        <v>3994.012</v>
      </c>
      <c r="C556" s="100">
        <v>4403.718</v>
      </c>
      <c r="D556" s="100">
        <v>4583.73</v>
      </c>
      <c r="E556" s="100">
        <v>5123.958</v>
      </c>
      <c r="F556" s="100">
        <v>5479.255</v>
      </c>
      <c r="G556" s="100">
        <v>5716.126</v>
      </c>
      <c r="H556" s="100">
        <v>5845.659</v>
      </c>
      <c r="I556" s="100">
        <v>5991.294</v>
      </c>
      <c r="J556" s="100">
        <v>6356.049</v>
      </c>
      <c r="K556" s="100">
        <v>6693.738</v>
      </c>
      <c r="L556" s="100">
        <v>7049.858</v>
      </c>
      <c r="M556" s="100">
        <v>7400.506</v>
      </c>
      <c r="N556" s="100">
        <v>7802.866</v>
      </c>
    </row>
    <row r="557" spans="1:14" ht="12">
      <c r="A557" t="s">
        <v>617</v>
      </c>
      <c r="B557" s="100">
        <v>21846</v>
      </c>
      <c r="C557" s="100">
        <v>22543</v>
      </c>
      <c r="D557" s="100">
        <v>23455</v>
      </c>
      <c r="E557" s="100">
        <v>24942</v>
      </c>
      <c r="F557" s="100">
        <v>25800</v>
      </c>
      <c r="G557" s="100">
        <v>26433</v>
      </c>
      <c r="H557" s="100">
        <v>27449</v>
      </c>
      <c r="I557" s="100">
        <v>28561</v>
      </c>
      <c r="J557" s="100">
        <v>29128</v>
      </c>
      <c r="K557" s="100">
        <v>29166</v>
      </c>
      <c r="L557" s="100">
        <v>29055</v>
      </c>
      <c r="M557" s="100">
        <v>28722</v>
      </c>
      <c r="N557" s="100">
        <v>28028</v>
      </c>
    </row>
    <row r="558" spans="1:14" ht="12">
      <c r="A558" t="s">
        <v>618</v>
      </c>
      <c r="B558" s="100">
        <v>371099</v>
      </c>
      <c r="C558" s="100">
        <v>387877</v>
      </c>
      <c r="D558" s="100">
        <v>406662</v>
      </c>
      <c r="E558" s="100">
        <v>422371</v>
      </c>
      <c r="F558" s="100">
        <v>423756</v>
      </c>
      <c r="G558" s="100">
        <v>432760</v>
      </c>
      <c r="H558" s="100">
        <v>445547</v>
      </c>
      <c r="I558" s="100">
        <v>464607</v>
      </c>
      <c r="J558" s="100">
        <v>481254</v>
      </c>
      <c r="K558" s="100">
        <v>499613</v>
      </c>
      <c r="L558" s="100">
        <v>522406</v>
      </c>
      <c r="M558" s="100">
        <v>551559</v>
      </c>
      <c r="N558" s="100">
        <v>579578</v>
      </c>
    </row>
    <row r="559" spans="1:14" ht="12">
      <c r="A559" t="s">
        <v>619</v>
      </c>
      <c r="B559" s="100">
        <v>143734</v>
      </c>
      <c r="C559" s="100">
        <v>151664</v>
      </c>
      <c r="D559" s="100">
        <v>156251</v>
      </c>
      <c r="E559" s="100">
        <v>160352</v>
      </c>
      <c r="F559" s="100">
        <v>165831</v>
      </c>
      <c r="G559" s="100">
        <v>171273</v>
      </c>
      <c r="H559" s="100">
        <v>170022</v>
      </c>
      <c r="I559" s="100">
        <v>170669</v>
      </c>
      <c r="J559" s="100">
        <v>166465</v>
      </c>
      <c r="K559" s="100">
        <v>170208</v>
      </c>
      <c r="L559" s="100">
        <v>172736</v>
      </c>
      <c r="M559" s="100">
        <v>178527</v>
      </c>
      <c r="N559" s="100">
        <v>183566</v>
      </c>
    </row>
    <row r="560" spans="1:14" ht="12">
      <c r="A560" t="s">
        <v>620</v>
      </c>
      <c r="B560" s="100">
        <v>155385.42934</v>
      </c>
      <c r="C560" s="100">
        <v>173119.51477</v>
      </c>
      <c r="D560" s="100">
        <v>187091.22885</v>
      </c>
      <c r="E560" s="100">
        <v>208885.22</v>
      </c>
      <c r="F560" s="100">
        <v>216455.07712</v>
      </c>
      <c r="G560" s="100">
        <v>219394.94342</v>
      </c>
      <c r="H560" s="100">
        <v>229037.21331</v>
      </c>
      <c r="I560" s="100">
        <v>242023.94938</v>
      </c>
      <c r="J560" s="100">
        <v>256168.88991</v>
      </c>
      <c r="K560" s="100">
        <v>275652.32824</v>
      </c>
      <c r="L560" s="100">
        <v>307150.29201</v>
      </c>
      <c r="M560" s="100">
        <v>331665.5335</v>
      </c>
      <c r="N560" s="100">
        <v>362723.45207</v>
      </c>
    </row>
    <row r="561" spans="1:14" ht="12">
      <c r="A561" t="s">
        <v>621</v>
      </c>
      <c r="B561" s="100">
        <v>244498</v>
      </c>
      <c r="C561" s="100">
        <v>260230</v>
      </c>
      <c r="D561" s="100">
        <v>283352</v>
      </c>
      <c r="E561" s="100">
        <v>309927</v>
      </c>
      <c r="F561" s="100">
        <v>331894</v>
      </c>
      <c r="G561" s="100">
        <v>349987</v>
      </c>
      <c r="H561" s="100">
        <v>372394</v>
      </c>
      <c r="I561" s="100">
        <v>395516</v>
      </c>
      <c r="J561" s="100">
        <v>418093</v>
      </c>
      <c r="K561" s="100">
        <v>441361</v>
      </c>
      <c r="L561" s="100">
        <v>462531</v>
      </c>
      <c r="M561" s="100">
        <v>477830</v>
      </c>
      <c r="N561" s="100">
        <v>497752</v>
      </c>
    </row>
    <row r="562" spans="1:14" ht="12">
      <c r="A562" t="s">
        <v>622</v>
      </c>
      <c r="B562" s="100">
        <v>37680.20703</v>
      </c>
      <c r="C562" s="100">
        <v>38175.19901</v>
      </c>
      <c r="D562" s="100">
        <v>39308.54433</v>
      </c>
      <c r="E562" s="100">
        <v>41493.3309</v>
      </c>
      <c r="F562" s="100">
        <v>43530.64331</v>
      </c>
      <c r="G562" s="100">
        <v>44699.04448</v>
      </c>
      <c r="H562" s="100">
        <v>45841.79025</v>
      </c>
      <c r="I562" s="100">
        <v>46943.78552</v>
      </c>
      <c r="J562" s="100">
        <v>47804.66024</v>
      </c>
      <c r="K562" s="100">
        <v>48624.61824</v>
      </c>
      <c r="L562" s="100">
        <v>49375.62689</v>
      </c>
      <c r="M562" s="100">
        <v>49881.57516</v>
      </c>
      <c r="N562" s="100" t="s">
        <v>163</v>
      </c>
    </row>
    <row r="563" spans="1:14" ht="12">
      <c r="A563" t="s">
        <v>623</v>
      </c>
      <c r="B563" s="100">
        <v>645931.13529</v>
      </c>
      <c r="C563" s="100">
        <v>685846.01249</v>
      </c>
      <c r="D563" s="100">
        <v>727459.78841</v>
      </c>
      <c r="E563" s="100">
        <v>757643.17255</v>
      </c>
      <c r="F563" s="100">
        <v>771452.90608</v>
      </c>
      <c r="G563" s="100">
        <v>796150.4081</v>
      </c>
      <c r="H563" s="100">
        <v>798761.71403</v>
      </c>
      <c r="I563" s="100">
        <v>818775.16802</v>
      </c>
      <c r="J563" s="100">
        <v>829046.38904</v>
      </c>
      <c r="K563" s="100">
        <v>851742.49941</v>
      </c>
      <c r="L563" s="100">
        <v>890490.21921</v>
      </c>
      <c r="M563" s="100">
        <v>873678.14295</v>
      </c>
      <c r="N563" s="100">
        <v>882250.89228</v>
      </c>
    </row>
    <row r="564" spans="1:14" ht="12">
      <c r="A564" t="s">
        <v>624</v>
      </c>
      <c r="B564" s="100">
        <v>408137.52944</v>
      </c>
      <c r="C564" s="100">
        <v>425864.40358</v>
      </c>
      <c r="D564" s="100">
        <v>449765.93299</v>
      </c>
      <c r="E564" s="100">
        <v>477691.0139</v>
      </c>
      <c r="F564" s="100">
        <v>505140.6471</v>
      </c>
      <c r="G564" s="100">
        <v>515217.21392</v>
      </c>
      <c r="H564" s="100">
        <v>520209.50169</v>
      </c>
      <c r="I564" s="100">
        <v>523194.95934</v>
      </c>
      <c r="J564" s="100">
        <v>530688.57286</v>
      </c>
      <c r="K564" s="100">
        <v>537485.91651</v>
      </c>
      <c r="L564" s="100">
        <v>547505.57665</v>
      </c>
      <c r="M564" s="100">
        <v>558382.10909</v>
      </c>
      <c r="N564" s="100">
        <v>573404.84733</v>
      </c>
    </row>
    <row r="565" spans="1:14" ht="12">
      <c r="A565" t="s">
        <v>625</v>
      </c>
      <c r="B565" s="100">
        <v>12486.2</v>
      </c>
      <c r="C565" s="100">
        <v>12862.1</v>
      </c>
      <c r="D565" s="100">
        <v>12917.6</v>
      </c>
      <c r="E565" s="100">
        <v>14008.8</v>
      </c>
      <c r="F565" s="100">
        <v>15009.3</v>
      </c>
      <c r="G565" s="100">
        <v>15165.8</v>
      </c>
      <c r="H565" s="100">
        <v>15870.2</v>
      </c>
      <c r="I565" s="100">
        <v>16495.3</v>
      </c>
      <c r="J565" s="100">
        <v>17093.9</v>
      </c>
      <c r="K565" s="100">
        <v>16995.5</v>
      </c>
      <c r="L565" s="100">
        <v>16693.1</v>
      </c>
      <c r="M565" s="100">
        <v>16758.7</v>
      </c>
      <c r="N565" s="100">
        <v>17622.6</v>
      </c>
    </row>
    <row r="566" spans="1:14" ht="12">
      <c r="A566" t="s">
        <v>626</v>
      </c>
      <c r="B566" s="100">
        <v>3837.596</v>
      </c>
      <c r="C566" s="100">
        <v>3802.362</v>
      </c>
      <c r="D566" s="100">
        <v>4538.031</v>
      </c>
      <c r="E566" s="100">
        <v>5007.676</v>
      </c>
      <c r="F566" s="100">
        <v>4249.2</v>
      </c>
      <c r="G566" s="100">
        <v>4239.579</v>
      </c>
      <c r="H566" s="100">
        <v>4412.779</v>
      </c>
      <c r="I566" s="100">
        <v>4410.041</v>
      </c>
      <c r="J566" s="100">
        <v>4668.164</v>
      </c>
      <c r="K566" s="100">
        <v>4583.751</v>
      </c>
      <c r="L566" s="100">
        <v>4647.967</v>
      </c>
      <c r="M566" s="100">
        <v>4534.281</v>
      </c>
      <c r="N566" s="100">
        <v>4783.987</v>
      </c>
    </row>
    <row r="567" spans="1:14" ht="12">
      <c r="A567" t="s">
        <v>627</v>
      </c>
      <c r="B567" s="100">
        <v>232826</v>
      </c>
      <c r="C567" s="100">
        <v>253059</v>
      </c>
      <c r="D567" s="100">
        <v>266177</v>
      </c>
      <c r="E567" s="100">
        <v>279007</v>
      </c>
      <c r="F567" s="100">
        <v>292327</v>
      </c>
      <c r="G567" s="100">
        <v>289713</v>
      </c>
      <c r="H567" s="100">
        <v>280873</v>
      </c>
      <c r="I567" s="100">
        <v>259179</v>
      </c>
      <c r="J567" s="100">
        <v>269831</v>
      </c>
      <c r="K567" s="100">
        <v>274009</v>
      </c>
      <c r="L567" s="100">
        <v>283436</v>
      </c>
      <c r="M567" s="100">
        <v>291412</v>
      </c>
      <c r="N567" s="100">
        <v>295200</v>
      </c>
    </row>
    <row r="568" spans="1:14" ht="12">
      <c r="A568" t="s">
        <v>628</v>
      </c>
      <c r="B568" s="100">
        <v>128811</v>
      </c>
      <c r="C568" s="100">
        <v>135831</v>
      </c>
      <c r="D568" s="100">
        <v>139317</v>
      </c>
      <c r="E568" s="100">
        <v>154138</v>
      </c>
      <c r="F568" s="100">
        <v>166213</v>
      </c>
      <c r="G568" s="100">
        <v>170715</v>
      </c>
      <c r="H568" s="100">
        <v>170159</v>
      </c>
      <c r="I568" s="100">
        <v>178020</v>
      </c>
      <c r="J568" s="100">
        <v>178247</v>
      </c>
      <c r="K568" s="100">
        <v>180943</v>
      </c>
      <c r="L568" s="100">
        <v>182998</v>
      </c>
      <c r="M568" s="100">
        <v>186202</v>
      </c>
      <c r="N568" s="100">
        <v>190404</v>
      </c>
    </row>
    <row r="569" spans="1:14" ht="12">
      <c r="A569" t="s">
        <v>629</v>
      </c>
      <c r="B569" s="100">
        <v>88702</v>
      </c>
      <c r="C569" s="100">
        <v>92340</v>
      </c>
      <c r="D569" s="100">
        <v>96030</v>
      </c>
      <c r="E569" s="100">
        <v>103336</v>
      </c>
      <c r="F569" s="100">
        <v>111733</v>
      </c>
      <c r="G569" s="100">
        <v>118049</v>
      </c>
      <c r="H569" s="100">
        <v>124076</v>
      </c>
      <c r="I569" s="100">
        <v>126527</v>
      </c>
      <c r="J569" s="100">
        <v>132994</v>
      </c>
      <c r="K569" s="100">
        <v>137393</v>
      </c>
      <c r="L569" s="100">
        <v>142155</v>
      </c>
      <c r="M569" s="100">
        <v>149972</v>
      </c>
      <c r="N569" s="100">
        <v>155322</v>
      </c>
    </row>
    <row r="570" spans="1:14" ht="12">
      <c r="A570" t="s">
        <v>630</v>
      </c>
      <c r="B570" s="100">
        <v>736.9</v>
      </c>
      <c r="C570" s="100">
        <v>830.9</v>
      </c>
      <c r="D570" s="100">
        <v>938</v>
      </c>
      <c r="E570" s="100">
        <v>1070.9</v>
      </c>
      <c r="F570" s="100">
        <v>971.1</v>
      </c>
      <c r="G570" s="100">
        <v>1013.5</v>
      </c>
      <c r="H570" s="100">
        <v>1095.1</v>
      </c>
      <c r="I570" s="100">
        <v>1180.6</v>
      </c>
      <c r="J570" s="100">
        <v>1247.2</v>
      </c>
      <c r="K570" s="100">
        <v>1323.2</v>
      </c>
      <c r="L570" s="100">
        <v>1379</v>
      </c>
      <c r="M570" s="100">
        <v>1460.7</v>
      </c>
      <c r="N570" s="100">
        <v>1550.7</v>
      </c>
    </row>
    <row r="571" spans="1:14" ht="12">
      <c r="A571" t="s">
        <v>631</v>
      </c>
      <c r="B571" s="100">
        <v>7895.66</v>
      </c>
      <c r="C571" s="100">
        <v>8781.03</v>
      </c>
      <c r="D571" s="100">
        <v>9733.15</v>
      </c>
      <c r="E571" s="100">
        <v>10035.67</v>
      </c>
      <c r="F571" s="100">
        <v>9982.42</v>
      </c>
      <c r="G571" s="100">
        <v>9167.36</v>
      </c>
      <c r="H571" s="100">
        <v>8799.86</v>
      </c>
      <c r="I571" s="100">
        <v>8341.63</v>
      </c>
      <c r="J571" s="100">
        <v>8195.5</v>
      </c>
      <c r="K571" s="100">
        <v>8937.13</v>
      </c>
      <c r="L571" s="100">
        <v>9243.28</v>
      </c>
      <c r="M571" s="100">
        <v>9536.21</v>
      </c>
      <c r="N571" s="100">
        <v>9835.33</v>
      </c>
    </row>
    <row r="572" spans="1:14" ht="12">
      <c r="A572" t="s">
        <v>632</v>
      </c>
      <c r="B572" s="100">
        <v>11727</v>
      </c>
      <c r="C572" s="100">
        <v>13629</v>
      </c>
      <c r="D572" s="100">
        <v>15639</v>
      </c>
      <c r="E572" s="100">
        <v>15079</v>
      </c>
      <c r="F572" s="100">
        <v>15931</v>
      </c>
      <c r="G572" s="100">
        <v>13862</v>
      </c>
      <c r="H572" s="100">
        <v>10199</v>
      </c>
      <c r="I572" s="100">
        <v>9802</v>
      </c>
      <c r="J572" s="100">
        <v>8595</v>
      </c>
      <c r="K572" s="100">
        <v>8797</v>
      </c>
      <c r="L572" s="100">
        <v>8761</v>
      </c>
      <c r="M572" s="100">
        <v>8962</v>
      </c>
      <c r="N572" s="100">
        <v>9003</v>
      </c>
    </row>
    <row r="573" spans="1:14" ht="12">
      <c r="A573" t="s">
        <v>633</v>
      </c>
      <c r="B573" s="100">
        <v>43222</v>
      </c>
      <c r="C573" s="100">
        <v>47156</v>
      </c>
      <c r="D573" s="100">
        <v>54226</v>
      </c>
      <c r="E573" s="100">
        <v>59220</v>
      </c>
      <c r="F573" s="100">
        <v>61033</v>
      </c>
      <c r="G573" s="100">
        <v>61055</v>
      </c>
      <c r="H573" s="100">
        <v>61311</v>
      </c>
      <c r="I573" s="100">
        <v>58639</v>
      </c>
      <c r="J573" s="100">
        <v>54778</v>
      </c>
      <c r="K573" s="100">
        <v>55190</v>
      </c>
      <c r="L573" s="100">
        <v>57474</v>
      </c>
      <c r="M573" s="100">
        <v>56973</v>
      </c>
      <c r="N573" s="100">
        <v>58186</v>
      </c>
    </row>
    <row r="574" spans="1:14" ht="12">
      <c r="A574" t="s">
        <v>634</v>
      </c>
      <c r="B574" s="100">
        <v>86707</v>
      </c>
      <c r="C574" s="100">
        <v>89091</v>
      </c>
      <c r="D574" s="100">
        <v>90925</v>
      </c>
      <c r="E574" s="100">
        <v>93061</v>
      </c>
      <c r="F574" s="100">
        <v>99057</v>
      </c>
      <c r="G574" s="100">
        <v>102492</v>
      </c>
      <c r="H574" s="100">
        <v>104161</v>
      </c>
      <c r="I574" s="100">
        <v>107252</v>
      </c>
      <c r="J574" s="100">
        <v>109755</v>
      </c>
      <c r="K574" s="100">
        <v>109564</v>
      </c>
      <c r="L574" s="100">
        <v>111369</v>
      </c>
      <c r="M574" s="100">
        <v>111400</v>
      </c>
      <c r="N574" s="100">
        <v>113920</v>
      </c>
    </row>
    <row r="575" spans="1:14" ht="12">
      <c r="A575" t="s">
        <v>635</v>
      </c>
      <c r="B575" s="100">
        <v>18573.37877</v>
      </c>
      <c r="C575" s="100">
        <v>20632.97445</v>
      </c>
      <c r="D575" s="100">
        <v>22567.4205</v>
      </c>
      <c r="E575" s="100">
        <v>24663.07166</v>
      </c>
      <c r="F575" s="100">
        <v>23717.85495</v>
      </c>
      <c r="G575" s="100">
        <v>24194.20619</v>
      </c>
      <c r="H575" s="100">
        <v>24599.62041</v>
      </c>
      <c r="I575" s="100">
        <v>24665.05249</v>
      </c>
      <c r="J575" s="100">
        <v>25683.50544</v>
      </c>
      <c r="K575" s="100">
        <v>26713.74719</v>
      </c>
      <c r="L575" s="100">
        <v>27095.64108</v>
      </c>
      <c r="M575" s="100">
        <v>28005.85989</v>
      </c>
      <c r="N575" s="100">
        <v>28807.77606</v>
      </c>
    </row>
    <row r="576" spans="1:14" ht="12">
      <c r="A576" t="s">
        <v>636</v>
      </c>
      <c r="B576" s="100">
        <v>76396</v>
      </c>
      <c r="C576" s="100">
        <v>75114</v>
      </c>
      <c r="D576" s="100">
        <v>78282</v>
      </c>
      <c r="E576" s="100">
        <v>82594</v>
      </c>
      <c r="F576" s="100">
        <v>85610</v>
      </c>
      <c r="G576" s="100">
        <v>87356</v>
      </c>
      <c r="H576" s="100">
        <v>87166</v>
      </c>
      <c r="I576" s="100">
        <v>87023</v>
      </c>
      <c r="J576" s="100">
        <v>89579</v>
      </c>
      <c r="K576" s="100">
        <v>88890</v>
      </c>
      <c r="L576" s="100">
        <v>89853</v>
      </c>
      <c r="M576" s="100">
        <v>92343</v>
      </c>
      <c r="N576" s="100">
        <v>94759</v>
      </c>
    </row>
    <row r="577" spans="1:14" ht="12">
      <c r="A577" t="s">
        <v>637</v>
      </c>
      <c r="B577" s="100">
        <v>564.9</v>
      </c>
      <c r="C577" s="100">
        <v>666.8</v>
      </c>
      <c r="D577" s="100">
        <v>726.8</v>
      </c>
      <c r="E577" s="100">
        <v>807.6</v>
      </c>
      <c r="F577" s="100">
        <v>887.5</v>
      </c>
      <c r="G577" s="100">
        <v>855.7</v>
      </c>
      <c r="H577" s="100">
        <v>889.3</v>
      </c>
      <c r="I577" s="100">
        <v>849.2</v>
      </c>
      <c r="J577" s="100">
        <v>644.5</v>
      </c>
      <c r="K577" s="100">
        <v>575.4</v>
      </c>
      <c r="L577" s="100">
        <v>547.6</v>
      </c>
      <c r="M577" s="100">
        <v>531.3</v>
      </c>
      <c r="N577" s="100">
        <v>602.7</v>
      </c>
    </row>
    <row r="578" spans="1:14" ht="12">
      <c r="A578" t="s">
        <v>638</v>
      </c>
      <c r="B578" s="100">
        <v>881.01</v>
      </c>
      <c r="C578" s="100">
        <v>1041.14</v>
      </c>
      <c r="D578" s="100">
        <v>1227.49</v>
      </c>
      <c r="E578" s="100">
        <v>1508.77</v>
      </c>
      <c r="F578" s="100">
        <v>1151.78</v>
      </c>
      <c r="G578" s="100">
        <v>1181.17</v>
      </c>
      <c r="H578" s="100">
        <v>1342.72</v>
      </c>
      <c r="I578" s="100">
        <v>1339.35</v>
      </c>
      <c r="J578" s="100">
        <v>1427.56</v>
      </c>
      <c r="K578" s="100">
        <v>1448.67</v>
      </c>
      <c r="L578" s="100">
        <v>1502.76</v>
      </c>
      <c r="M578" s="100">
        <v>1451.53</v>
      </c>
      <c r="N578" s="100">
        <v>1651.44</v>
      </c>
    </row>
    <row r="579" spans="1:14" ht="12">
      <c r="A579" t="s">
        <v>639</v>
      </c>
      <c r="B579" s="100">
        <v>1166.44967</v>
      </c>
      <c r="C579" s="100">
        <v>1399.46855</v>
      </c>
      <c r="D579" s="100">
        <v>1484.00852</v>
      </c>
      <c r="E579" s="100">
        <v>1819.9946</v>
      </c>
      <c r="F579" s="100">
        <v>1523.18996</v>
      </c>
      <c r="G579" s="100">
        <v>1758.28839</v>
      </c>
      <c r="H579" s="100">
        <v>1584.67286</v>
      </c>
      <c r="I579" s="100">
        <v>1641.54254</v>
      </c>
      <c r="J579" s="100">
        <v>1619.77138</v>
      </c>
      <c r="K579" s="100">
        <v>1709.62451</v>
      </c>
      <c r="L579" s="100">
        <v>1867.69332</v>
      </c>
      <c r="M579" s="100">
        <v>1846.42585</v>
      </c>
      <c r="N579" s="100">
        <v>1927.95985</v>
      </c>
    </row>
    <row r="580" spans="1:14" ht="12">
      <c r="A580" t="s">
        <v>640</v>
      </c>
      <c r="B580" s="100">
        <v>1128.41259</v>
      </c>
      <c r="C580" s="100">
        <v>1138.24101</v>
      </c>
      <c r="D580" s="100">
        <v>1179.26804</v>
      </c>
      <c r="E580" s="100">
        <v>1312.96375</v>
      </c>
      <c r="F580" s="100">
        <v>1474.83333</v>
      </c>
      <c r="G580" s="100">
        <v>1545.30227</v>
      </c>
      <c r="H580" s="100">
        <v>1567.85832</v>
      </c>
      <c r="I580" s="100">
        <v>1719.48793</v>
      </c>
      <c r="J580" s="100">
        <v>1735.72955</v>
      </c>
      <c r="K580" s="100">
        <v>1755.17385</v>
      </c>
      <c r="L580" s="100">
        <v>1901.74553</v>
      </c>
      <c r="M580" s="100">
        <v>1984.25896</v>
      </c>
      <c r="N580" s="100">
        <v>2001.03313</v>
      </c>
    </row>
    <row r="581" spans="1:14" ht="12">
      <c r="A581" t="s">
        <v>641</v>
      </c>
      <c r="B581" s="100">
        <v>1412694</v>
      </c>
      <c r="C581" s="100">
        <v>1552760</v>
      </c>
      <c r="D581" s="100">
        <v>1603455</v>
      </c>
      <c r="E581" s="100">
        <v>1884094</v>
      </c>
      <c r="F581" s="100">
        <v>1996808</v>
      </c>
      <c r="G581" s="100">
        <v>2062523</v>
      </c>
      <c r="H581" s="100">
        <v>2044324</v>
      </c>
      <c r="I581" s="100">
        <v>2080135</v>
      </c>
      <c r="J581" s="100">
        <v>2200915</v>
      </c>
      <c r="K581" s="100">
        <v>2449110.58275</v>
      </c>
      <c r="L581" s="100">
        <v>2493708.89802</v>
      </c>
      <c r="M581" s="100">
        <v>2462871.82603</v>
      </c>
      <c r="N581" s="100">
        <v>2728885.20822</v>
      </c>
    </row>
    <row r="582" spans="1:14" ht="12">
      <c r="A582" t="s">
        <v>642</v>
      </c>
      <c r="B582" s="100">
        <v>247.68322</v>
      </c>
      <c r="C582" s="100">
        <v>296.58201</v>
      </c>
      <c r="D582" s="100">
        <v>306.87922</v>
      </c>
      <c r="E582" s="100">
        <v>391.73835</v>
      </c>
      <c r="F582" s="100">
        <v>365.21375</v>
      </c>
      <c r="G582" s="100">
        <v>402.94166</v>
      </c>
      <c r="H582" s="100">
        <v>430.31317</v>
      </c>
      <c r="I582" s="100">
        <v>483.16994</v>
      </c>
      <c r="J582" s="100">
        <v>471.11935</v>
      </c>
      <c r="K582" s="100">
        <v>519.61716</v>
      </c>
      <c r="L582" s="100">
        <v>591.3698</v>
      </c>
      <c r="M582" s="100">
        <v>631.92629</v>
      </c>
      <c r="N582" s="100">
        <v>754.00535</v>
      </c>
    </row>
    <row r="583" spans="1:14" ht="12">
      <c r="A583" t="s">
        <v>643</v>
      </c>
      <c r="B583" s="100">
        <v>33823</v>
      </c>
      <c r="C583" s="100">
        <v>36040</v>
      </c>
      <c r="D583" s="100">
        <v>38107</v>
      </c>
      <c r="E583" s="100">
        <v>41314</v>
      </c>
      <c r="F583" s="100">
        <v>44228</v>
      </c>
      <c r="G583" s="100">
        <v>43908</v>
      </c>
      <c r="H583" s="100">
        <v>42804</v>
      </c>
      <c r="I583" s="100">
        <v>42608</v>
      </c>
      <c r="J583" s="100">
        <v>41845</v>
      </c>
      <c r="K583" s="100">
        <v>42906</v>
      </c>
      <c r="L583" s="100">
        <v>41988</v>
      </c>
      <c r="M583" s="100">
        <v>40866</v>
      </c>
      <c r="N583" s="100">
        <v>41569</v>
      </c>
    </row>
    <row r="584" spans="1:14" ht="12">
      <c r="A584" t="s">
        <v>644</v>
      </c>
      <c r="B584" s="100">
        <v>16225.01</v>
      </c>
      <c r="C584" s="100">
        <v>17099.75</v>
      </c>
      <c r="D584" s="100">
        <v>17166.78</v>
      </c>
      <c r="E584" s="100">
        <v>18487.99</v>
      </c>
      <c r="F584" s="100">
        <v>19552.06</v>
      </c>
      <c r="G584" s="100">
        <v>19919.2</v>
      </c>
      <c r="H584" s="100">
        <v>20239.45</v>
      </c>
      <c r="I584" s="100">
        <v>20620.07</v>
      </c>
      <c r="J584" s="100">
        <v>21082.09</v>
      </c>
      <c r="K584" s="100">
        <v>21275.6</v>
      </c>
      <c r="L584" s="100">
        <v>21883.93</v>
      </c>
      <c r="M584" s="100">
        <v>22497.04</v>
      </c>
      <c r="N584" s="100">
        <v>22637.68</v>
      </c>
    </row>
    <row r="585" spans="1:14" ht="12">
      <c r="A585" t="s">
        <v>645</v>
      </c>
      <c r="B585" s="100">
        <v>61303.4</v>
      </c>
      <c r="C585" s="100">
        <v>66760</v>
      </c>
      <c r="D585" s="100">
        <v>72614</v>
      </c>
      <c r="E585" s="100">
        <v>81120</v>
      </c>
      <c r="F585" s="100">
        <v>81928</v>
      </c>
      <c r="G585" s="100">
        <v>92833</v>
      </c>
      <c r="H585" s="100">
        <v>91484</v>
      </c>
      <c r="I585" s="100">
        <v>95235</v>
      </c>
      <c r="J585" s="100">
        <v>96562</v>
      </c>
      <c r="K585" s="100">
        <v>101234.6</v>
      </c>
      <c r="L585" s="100">
        <v>105349.3</v>
      </c>
      <c r="M585" s="100">
        <v>106354</v>
      </c>
      <c r="N585" s="100">
        <v>112935</v>
      </c>
    </row>
    <row r="586" spans="1:14" ht="12">
      <c r="A586" t="s">
        <v>646</v>
      </c>
      <c r="B586" s="100">
        <v>8069.74</v>
      </c>
      <c r="C586" s="100">
        <v>8433.974</v>
      </c>
      <c r="D586" s="100">
        <v>9492.891</v>
      </c>
      <c r="E586" s="100">
        <v>9920.148</v>
      </c>
      <c r="F586" s="100">
        <v>10833.961</v>
      </c>
      <c r="G586" s="100">
        <v>10627.48</v>
      </c>
      <c r="H586" s="100">
        <v>10644.966</v>
      </c>
      <c r="I586" s="100">
        <v>9685.393</v>
      </c>
      <c r="J586" s="100">
        <v>9611.268</v>
      </c>
      <c r="K586" s="100">
        <v>9847.376</v>
      </c>
      <c r="L586" s="100">
        <v>9994.157</v>
      </c>
      <c r="M586" s="100">
        <v>10417.793</v>
      </c>
      <c r="N586" s="100">
        <v>10469.833</v>
      </c>
    </row>
    <row r="587" spans="1:14" ht="12">
      <c r="A587" t="s">
        <v>647</v>
      </c>
      <c r="B587" s="100">
        <v>18629.3</v>
      </c>
      <c r="C587" s="100">
        <v>20923.2</v>
      </c>
      <c r="D587" s="100">
        <v>27094.2</v>
      </c>
      <c r="E587" s="100">
        <v>33866.4</v>
      </c>
      <c r="F587" s="100">
        <v>32105.5</v>
      </c>
      <c r="G587" s="100">
        <v>28863.4</v>
      </c>
      <c r="H587" s="100">
        <v>32372.5</v>
      </c>
      <c r="I587" s="100">
        <v>35636.5</v>
      </c>
      <c r="J587" s="100">
        <v>36421</v>
      </c>
      <c r="K587" s="100">
        <v>38310</v>
      </c>
      <c r="L587" s="100">
        <v>40459.3</v>
      </c>
      <c r="M587" s="100">
        <v>40578.4</v>
      </c>
      <c r="N587" s="100">
        <v>41776.1</v>
      </c>
    </row>
    <row r="588" spans="1:14" ht="12">
      <c r="A588" t="s">
        <v>648</v>
      </c>
      <c r="B588" s="100">
        <v>1717.51</v>
      </c>
      <c r="C588" s="100">
        <v>1862.78</v>
      </c>
      <c r="D588" s="100">
        <v>1948.3</v>
      </c>
      <c r="E588" s="100">
        <v>2265.65</v>
      </c>
      <c r="F588" s="100">
        <v>2341.49</v>
      </c>
      <c r="G588" s="100">
        <v>2456.6</v>
      </c>
      <c r="H588" s="100">
        <v>2631.34</v>
      </c>
      <c r="I588" s="100">
        <v>2487.94</v>
      </c>
      <c r="J588" s="100">
        <v>2471.55</v>
      </c>
      <c r="K588" s="100">
        <v>2466.46</v>
      </c>
      <c r="L588" s="100">
        <v>2559</v>
      </c>
      <c r="M588" s="100">
        <v>2597.08</v>
      </c>
      <c r="N588" s="100">
        <v>2728.97</v>
      </c>
    </row>
    <row r="589" spans="1:14" ht="12">
      <c r="A589" t="s">
        <v>649</v>
      </c>
      <c r="B589" s="100">
        <v>2585.897</v>
      </c>
      <c r="C589" s="100">
        <v>3349.929</v>
      </c>
      <c r="D589" s="100">
        <v>3256.562</v>
      </c>
      <c r="E589" s="100">
        <v>3313.989</v>
      </c>
      <c r="F589" s="100">
        <v>3898.526</v>
      </c>
      <c r="G589" s="100">
        <v>3871.698</v>
      </c>
      <c r="H589" s="100">
        <v>3985.367</v>
      </c>
      <c r="I589" s="100">
        <v>4006.704</v>
      </c>
      <c r="J589" s="100">
        <v>4101.731</v>
      </c>
      <c r="K589" s="100">
        <v>4266.165</v>
      </c>
      <c r="L589" s="100">
        <v>4654.941</v>
      </c>
      <c r="M589" s="100">
        <v>4459.145</v>
      </c>
      <c r="N589" s="100">
        <v>4790.596</v>
      </c>
    </row>
    <row r="590" spans="1:14" ht="12">
      <c r="A590" t="s">
        <v>650</v>
      </c>
      <c r="B590" s="100">
        <v>14406</v>
      </c>
      <c r="C590" s="100">
        <v>15350</v>
      </c>
      <c r="D590" s="100">
        <v>16523</v>
      </c>
      <c r="E590" s="100">
        <v>18263</v>
      </c>
      <c r="F590" s="100">
        <v>19562</v>
      </c>
      <c r="G590" s="100">
        <v>20540</v>
      </c>
      <c r="H590" s="100">
        <v>21418</v>
      </c>
      <c r="I590" s="100">
        <v>22483</v>
      </c>
      <c r="J590" s="100">
        <v>23438</v>
      </c>
      <c r="K590" s="100">
        <v>23626</v>
      </c>
      <c r="L590" s="100">
        <v>23087</v>
      </c>
      <c r="M590" s="100">
        <v>23694</v>
      </c>
      <c r="N590" s="100">
        <v>24073</v>
      </c>
    </row>
    <row r="591" spans="1:14" ht="12">
      <c r="A591" t="s">
        <v>651</v>
      </c>
      <c r="B591" s="100">
        <v>231651</v>
      </c>
      <c r="C591" s="100">
        <v>248117</v>
      </c>
      <c r="D591" s="100">
        <v>255988</v>
      </c>
      <c r="E591" s="100">
        <v>273160</v>
      </c>
      <c r="F591" s="100">
        <v>285930</v>
      </c>
      <c r="G591" s="100">
        <v>295009</v>
      </c>
      <c r="H591" s="100">
        <v>305983</v>
      </c>
      <c r="I591" s="100">
        <v>310635</v>
      </c>
      <c r="J591" s="100">
        <v>320908</v>
      </c>
      <c r="K591" s="100">
        <v>329140</v>
      </c>
      <c r="L591" s="100">
        <v>340606</v>
      </c>
      <c r="M591" s="100">
        <v>353311</v>
      </c>
      <c r="N591" s="100">
        <v>360720</v>
      </c>
    </row>
    <row r="592" spans="1:14" ht="12">
      <c r="A592" t="s">
        <v>652</v>
      </c>
      <c r="B592" s="100">
        <v>107482</v>
      </c>
      <c r="C592" s="100">
        <v>117479</v>
      </c>
      <c r="D592" s="100">
        <v>124991</v>
      </c>
      <c r="E592" s="100">
        <v>138494</v>
      </c>
      <c r="F592" s="100">
        <v>148765</v>
      </c>
      <c r="G592" s="100">
        <v>148024</v>
      </c>
      <c r="H592" s="100">
        <v>145532</v>
      </c>
      <c r="I592" s="100">
        <v>147737</v>
      </c>
      <c r="J592" s="100">
        <v>155026</v>
      </c>
      <c r="K592" s="100">
        <v>159021</v>
      </c>
      <c r="L592" s="100">
        <v>162142</v>
      </c>
      <c r="M592" s="100">
        <v>159666</v>
      </c>
      <c r="N592" s="100">
        <v>161126</v>
      </c>
    </row>
    <row r="593" spans="1:14" ht="12">
      <c r="A593" t="s">
        <v>653</v>
      </c>
      <c r="B593" s="100">
        <v>109787.1504</v>
      </c>
      <c r="C593" s="100">
        <v>124474.13954</v>
      </c>
      <c r="D593" s="100">
        <v>143609.65456</v>
      </c>
      <c r="E593" s="100">
        <v>174270.18351</v>
      </c>
      <c r="F593" s="100">
        <v>191443.81628</v>
      </c>
      <c r="G593" s="100">
        <v>195315.1463</v>
      </c>
      <c r="H593" s="100">
        <v>206099.07981</v>
      </c>
      <c r="I593" s="100">
        <v>213887.05717</v>
      </c>
      <c r="J593" s="100">
        <v>222233.74446</v>
      </c>
      <c r="K593" s="100">
        <v>230421.13302</v>
      </c>
      <c r="L593" s="100">
        <v>241606.7638</v>
      </c>
      <c r="M593" s="100">
        <v>253979.81068</v>
      </c>
      <c r="N593" s="100">
        <v>261760.6037</v>
      </c>
    </row>
    <row r="594" spans="1:14" ht="12">
      <c r="A594" t="s">
        <v>654</v>
      </c>
      <c r="B594" s="100">
        <v>113945</v>
      </c>
      <c r="C594" s="100">
        <v>120301</v>
      </c>
      <c r="D594" s="100">
        <v>129958</v>
      </c>
      <c r="E594" s="100">
        <v>140361</v>
      </c>
      <c r="F594" s="100">
        <v>156259</v>
      </c>
      <c r="G594" s="100">
        <v>163191</v>
      </c>
      <c r="H594" s="100">
        <v>168831</v>
      </c>
      <c r="I594" s="100">
        <v>172158</v>
      </c>
      <c r="J594" s="100">
        <v>183618</v>
      </c>
      <c r="K594" s="100">
        <v>194728</v>
      </c>
      <c r="L594" s="100">
        <v>206010</v>
      </c>
      <c r="M594" s="100">
        <v>215030</v>
      </c>
      <c r="N594" s="100">
        <v>226840</v>
      </c>
    </row>
    <row r="595" spans="1:14" ht="12">
      <c r="A595" t="s">
        <v>655</v>
      </c>
      <c r="B595" s="100">
        <v>22165.38194</v>
      </c>
      <c r="C595" s="100">
        <v>22682.84298</v>
      </c>
      <c r="D595" s="100">
        <v>23331.00272</v>
      </c>
      <c r="E595" s="100">
        <v>25680.09442</v>
      </c>
      <c r="F595" s="100">
        <v>27158.91355</v>
      </c>
      <c r="G595" s="100">
        <v>27554.55865</v>
      </c>
      <c r="H595" s="100">
        <v>27863.05299</v>
      </c>
      <c r="I595" s="100">
        <v>29231.12728</v>
      </c>
      <c r="J595" s="100">
        <v>30451.48397</v>
      </c>
      <c r="K595" s="100">
        <v>31149.34735</v>
      </c>
      <c r="L595" s="100">
        <v>31771.4303</v>
      </c>
      <c r="M595" s="100">
        <v>32386.46903</v>
      </c>
      <c r="N595" s="100" t="s">
        <v>163</v>
      </c>
    </row>
    <row r="596" spans="1:14" ht="12">
      <c r="A596" t="s">
        <v>656</v>
      </c>
      <c r="B596" s="100">
        <v>369595.26088</v>
      </c>
      <c r="C596" s="100">
        <v>389362.71838</v>
      </c>
      <c r="D596" s="100">
        <v>418449.06801</v>
      </c>
      <c r="E596" s="100">
        <v>445902.89998</v>
      </c>
      <c r="F596" s="100">
        <v>456064.44567</v>
      </c>
      <c r="G596" s="100">
        <v>450362.47516</v>
      </c>
      <c r="H596" s="100">
        <v>430598.09298</v>
      </c>
      <c r="I596" s="100">
        <v>411414.57162</v>
      </c>
      <c r="J596" s="100">
        <v>399864.5307</v>
      </c>
      <c r="K596" s="100">
        <v>408606.52094</v>
      </c>
      <c r="L596" s="100">
        <v>430998.71474</v>
      </c>
      <c r="M596" s="100">
        <v>402684.167</v>
      </c>
      <c r="N596" s="100">
        <v>418242.05027</v>
      </c>
    </row>
    <row r="597" spans="1:14" ht="12">
      <c r="A597" t="s">
        <v>657</v>
      </c>
      <c r="B597" s="100">
        <v>265967.31545</v>
      </c>
      <c r="C597" s="100">
        <v>284773.67991</v>
      </c>
      <c r="D597" s="100">
        <v>303298.21136</v>
      </c>
      <c r="E597" s="100">
        <v>320918.02742</v>
      </c>
      <c r="F597" s="100">
        <v>338198.89366</v>
      </c>
      <c r="G597" s="100">
        <v>324369.07786</v>
      </c>
      <c r="H597" s="100">
        <v>305535.34374</v>
      </c>
      <c r="I597" s="100">
        <v>287249.63206</v>
      </c>
      <c r="J597" s="100">
        <v>280707.72662</v>
      </c>
      <c r="K597" s="100">
        <v>275493.16993</v>
      </c>
      <c r="L597" s="100">
        <v>284569.34378</v>
      </c>
      <c r="M597" s="100">
        <v>276069.93095</v>
      </c>
      <c r="N597" s="100">
        <v>288390.75025</v>
      </c>
    </row>
    <row r="598" spans="1:14" ht="12">
      <c r="A598" t="s">
        <v>658</v>
      </c>
      <c r="B598" s="100">
        <v>6624.2</v>
      </c>
      <c r="C598" s="100">
        <v>6417.5</v>
      </c>
      <c r="D598" s="100">
        <v>7030.1</v>
      </c>
      <c r="E598" s="100">
        <v>7416.7</v>
      </c>
      <c r="F598" s="100">
        <v>8130.6</v>
      </c>
      <c r="G598" s="100">
        <v>8394</v>
      </c>
      <c r="H598" s="100">
        <v>9274.7</v>
      </c>
      <c r="I598" s="100">
        <v>9643.5</v>
      </c>
      <c r="J598" s="100">
        <v>9250.3</v>
      </c>
      <c r="K598" s="100">
        <v>9367.6</v>
      </c>
      <c r="L598" s="100">
        <v>9431.9</v>
      </c>
      <c r="M598" s="100">
        <v>9350.3</v>
      </c>
      <c r="N598" s="100">
        <v>9704.6</v>
      </c>
    </row>
    <row r="599" spans="1:14" ht="12">
      <c r="A599" t="s">
        <v>659</v>
      </c>
      <c r="B599" s="100">
        <v>1728.145</v>
      </c>
      <c r="C599" s="100">
        <v>2229.258</v>
      </c>
      <c r="D599" s="100">
        <v>3320.733</v>
      </c>
      <c r="E599" s="100">
        <v>4055.985</v>
      </c>
      <c r="F599" s="100">
        <v>3615.594</v>
      </c>
      <c r="G599" s="100">
        <v>3432.018</v>
      </c>
      <c r="H599" s="100">
        <v>2756.723</v>
      </c>
      <c r="I599" s="100">
        <v>2798.523</v>
      </c>
      <c r="J599" s="100">
        <v>3323.958</v>
      </c>
      <c r="K599" s="100">
        <v>4357.826</v>
      </c>
      <c r="L599" s="100">
        <v>5815.081</v>
      </c>
      <c r="M599" s="100">
        <v>2469.837</v>
      </c>
      <c r="N599" s="100">
        <v>2070.9</v>
      </c>
    </row>
    <row r="600" spans="1:14" ht="12">
      <c r="A600" t="s">
        <v>660</v>
      </c>
      <c r="B600" s="100">
        <v>170699</v>
      </c>
      <c r="C600" s="100">
        <v>182513</v>
      </c>
      <c r="D600" s="100">
        <v>182480</v>
      </c>
      <c r="E600" s="100">
        <v>212223</v>
      </c>
      <c r="F600" s="100">
        <v>237096</v>
      </c>
      <c r="G600" s="100">
        <v>202463</v>
      </c>
      <c r="H600" s="100">
        <v>181051</v>
      </c>
      <c r="I600" s="100">
        <v>169375</v>
      </c>
      <c r="J600" s="100">
        <v>152388</v>
      </c>
      <c r="K600" s="100">
        <v>177982</v>
      </c>
      <c r="L600" s="100">
        <v>236312</v>
      </c>
      <c r="M600" s="100">
        <v>155201</v>
      </c>
      <c r="N600" s="100">
        <v>168536</v>
      </c>
    </row>
    <row r="601" spans="1:14" ht="12">
      <c r="A601" t="s">
        <v>661</v>
      </c>
      <c r="B601" s="100">
        <v>43238</v>
      </c>
      <c r="C601" s="100">
        <v>49385</v>
      </c>
      <c r="D601" s="100">
        <v>52850</v>
      </c>
      <c r="E601" s="100">
        <v>54029</v>
      </c>
      <c r="F601" s="100">
        <v>53920</v>
      </c>
      <c r="G601" s="100">
        <v>59592</v>
      </c>
      <c r="H601" s="100">
        <v>61357</v>
      </c>
      <c r="I601" s="100">
        <v>71808</v>
      </c>
      <c r="J601" s="100">
        <v>70689</v>
      </c>
      <c r="K601" s="100">
        <v>76450</v>
      </c>
      <c r="L601" s="100">
        <v>73590</v>
      </c>
      <c r="M601" s="100">
        <v>79263</v>
      </c>
      <c r="N601" s="100">
        <v>73816</v>
      </c>
    </row>
    <row r="602" spans="1:14" ht="12">
      <c r="A602" t="s">
        <v>662</v>
      </c>
      <c r="B602" s="100">
        <v>43419</v>
      </c>
      <c r="C602" s="100">
        <v>47779</v>
      </c>
      <c r="D602" s="100">
        <v>48632</v>
      </c>
      <c r="E602" s="100">
        <v>52759</v>
      </c>
      <c r="F602" s="100">
        <v>57948</v>
      </c>
      <c r="G602" s="100">
        <v>59467</v>
      </c>
      <c r="H602" s="100">
        <v>61514</v>
      </c>
      <c r="I602" s="100">
        <v>61746</v>
      </c>
      <c r="J602" s="100">
        <v>60374</v>
      </c>
      <c r="K602" s="100">
        <v>60501</v>
      </c>
      <c r="L602" s="100">
        <v>64278</v>
      </c>
      <c r="M602" s="100">
        <v>66792</v>
      </c>
      <c r="N602" s="100">
        <v>71120</v>
      </c>
    </row>
    <row r="603" spans="1:14" ht="12">
      <c r="A603" t="s">
        <v>663</v>
      </c>
      <c r="B603" s="100">
        <v>520.7</v>
      </c>
      <c r="C603" s="100">
        <v>727.6</v>
      </c>
      <c r="D603" s="100">
        <v>976.6</v>
      </c>
      <c r="E603" s="100">
        <v>1024.6</v>
      </c>
      <c r="F603" s="100">
        <v>882.2</v>
      </c>
      <c r="G603" s="100">
        <v>712.5</v>
      </c>
      <c r="H603" s="100">
        <v>819.3</v>
      </c>
      <c r="I603" s="100">
        <v>1133.7</v>
      </c>
      <c r="J603" s="100">
        <v>1055</v>
      </c>
      <c r="K603" s="100">
        <v>1015.7</v>
      </c>
      <c r="L603" s="100">
        <v>1085.9</v>
      </c>
      <c r="M603" s="100">
        <v>1010.7</v>
      </c>
      <c r="N603" s="100">
        <v>1299.3</v>
      </c>
    </row>
    <row r="604" spans="1:14" ht="12">
      <c r="A604" t="s">
        <v>664</v>
      </c>
      <c r="B604" s="100">
        <v>5943.79</v>
      </c>
      <c r="C604" s="100">
        <v>6928.64</v>
      </c>
      <c r="D604" s="100">
        <v>9094.82</v>
      </c>
      <c r="E604" s="100">
        <v>9717.04</v>
      </c>
      <c r="F604" s="100">
        <v>6240.25</v>
      </c>
      <c r="G604" s="100">
        <v>5563.71</v>
      </c>
      <c r="H604" s="100">
        <v>4165.99</v>
      </c>
      <c r="I604" s="100">
        <v>3469.5</v>
      </c>
      <c r="J604" s="100">
        <v>3530.41</v>
      </c>
      <c r="K604" s="100">
        <v>4238.71</v>
      </c>
      <c r="L604" s="100">
        <v>4577.18</v>
      </c>
      <c r="M604" s="100">
        <v>5090.94</v>
      </c>
      <c r="N604" s="100">
        <v>5498.08</v>
      </c>
    </row>
    <row r="605" spans="1:14" ht="12">
      <c r="A605" t="s">
        <v>665</v>
      </c>
      <c r="B605" s="100">
        <v>8811</v>
      </c>
      <c r="C605" s="100">
        <v>12482</v>
      </c>
      <c r="D605" s="100">
        <v>11286</v>
      </c>
      <c r="E605" s="100">
        <v>13510</v>
      </c>
      <c r="F605" s="100">
        <v>13559</v>
      </c>
      <c r="G605" s="100">
        <v>8330</v>
      </c>
      <c r="H605" s="100">
        <v>5089</v>
      </c>
      <c r="I605" s="100">
        <v>4825</v>
      </c>
      <c r="J605" s="100">
        <v>6221</v>
      </c>
      <c r="K605" s="100">
        <v>6573</v>
      </c>
      <c r="L605" s="100">
        <v>6878</v>
      </c>
      <c r="M605" s="100">
        <v>6108</v>
      </c>
      <c r="N605" s="100">
        <v>8108</v>
      </c>
    </row>
    <row r="606" spans="1:14" ht="12">
      <c r="A606" t="s">
        <v>666</v>
      </c>
      <c r="B606" s="100">
        <v>38862</v>
      </c>
      <c r="C606" s="100">
        <v>43599</v>
      </c>
      <c r="D606" s="100">
        <v>50201</v>
      </c>
      <c r="E606" s="100">
        <v>51496</v>
      </c>
      <c r="F606" s="100">
        <v>55142</v>
      </c>
      <c r="G606" s="100">
        <v>50693</v>
      </c>
      <c r="H606" s="100">
        <v>39638</v>
      </c>
      <c r="I606" s="100">
        <v>25876</v>
      </c>
      <c r="J606" s="100">
        <v>23052</v>
      </c>
      <c r="K606" s="100">
        <v>22299</v>
      </c>
      <c r="L606" s="100">
        <v>27096</v>
      </c>
      <c r="M606" s="100">
        <v>21590</v>
      </c>
      <c r="N606" s="100">
        <v>23286</v>
      </c>
    </row>
    <row r="607" spans="1:14" ht="12">
      <c r="A607" t="s">
        <v>667</v>
      </c>
      <c r="B607" s="100">
        <v>70884</v>
      </c>
      <c r="C607" s="100">
        <v>72654</v>
      </c>
      <c r="D607" s="100">
        <v>76617</v>
      </c>
      <c r="E607" s="100">
        <v>78641</v>
      </c>
      <c r="F607" s="100">
        <v>82439</v>
      </c>
      <c r="G607" s="100">
        <v>82936</v>
      </c>
      <c r="H607" s="100">
        <v>81591</v>
      </c>
      <c r="I607" s="100">
        <v>84537</v>
      </c>
      <c r="J607" s="100">
        <v>84295</v>
      </c>
      <c r="K607" s="100">
        <v>79638</v>
      </c>
      <c r="L607" s="100">
        <v>74879</v>
      </c>
      <c r="M607" s="100">
        <v>75116</v>
      </c>
      <c r="N607" s="100">
        <v>77336</v>
      </c>
    </row>
    <row r="608" spans="1:14" ht="12">
      <c r="A608" t="s">
        <v>668</v>
      </c>
      <c r="B608" s="100">
        <v>15377.78732</v>
      </c>
      <c r="C608" s="100">
        <v>16740.63531</v>
      </c>
      <c r="D608" s="100">
        <v>19712.43094</v>
      </c>
      <c r="E608" s="100">
        <v>20345.53425</v>
      </c>
      <c r="F608" s="100">
        <v>19038.72952</v>
      </c>
      <c r="G608" s="100">
        <v>11846.86647</v>
      </c>
      <c r="H608" s="100">
        <v>11658.5792</v>
      </c>
      <c r="I608" s="100">
        <v>11699.00783</v>
      </c>
      <c r="J608" s="100">
        <v>12326.93542</v>
      </c>
      <c r="K608" s="100">
        <v>11823.10481</v>
      </c>
      <c r="L608" s="100">
        <v>10978.66483</v>
      </c>
      <c r="M608" s="100">
        <v>11302.83106</v>
      </c>
      <c r="N608" s="100">
        <v>9821.20343</v>
      </c>
    </row>
    <row r="609" spans="1:14" ht="12">
      <c r="A609" t="s">
        <v>669</v>
      </c>
      <c r="B609" s="100">
        <v>44709</v>
      </c>
      <c r="C609" s="100">
        <v>45473</v>
      </c>
      <c r="D609" s="100">
        <v>46794</v>
      </c>
      <c r="E609" s="100">
        <v>48599</v>
      </c>
      <c r="F609" s="100">
        <v>54229</v>
      </c>
      <c r="G609" s="100">
        <v>46791</v>
      </c>
      <c r="H609" s="100">
        <v>45288</v>
      </c>
      <c r="I609" s="100">
        <v>41422</v>
      </c>
      <c r="J609" s="100">
        <v>38555</v>
      </c>
      <c r="K609" s="100">
        <v>36911</v>
      </c>
      <c r="L609" s="100">
        <v>37271</v>
      </c>
      <c r="M609" s="100">
        <v>35679</v>
      </c>
      <c r="N609" s="100">
        <v>33683</v>
      </c>
    </row>
    <row r="610" spans="1:14" ht="12">
      <c r="A610" t="s">
        <v>670</v>
      </c>
      <c r="B610" s="100">
        <v>514.8</v>
      </c>
      <c r="C610" s="100">
        <v>541.1</v>
      </c>
      <c r="D610" s="100">
        <v>541.3</v>
      </c>
      <c r="E610" s="100">
        <v>599.1</v>
      </c>
      <c r="F610" s="100">
        <v>784.3</v>
      </c>
      <c r="G610" s="100">
        <v>807.5</v>
      </c>
      <c r="H610" s="100">
        <v>783.5</v>
      </c>
      <c r="I610" s="100">
        <v>565.1</v>
      </c>
      <c r="J610" s="100">
        <v>414.1</v>
      </c>
      <c r="K610" s="100">
        <v>362.1</v>
      </c>
      <c r="L610" s="100">
        <v>389.9</v>
      </c>
      <c r="M610" s="100">
        <v>468.8</v>
      </c>
      <c r="N610" s="100">
        <v>526.5</v>
      </c>
    </row>
    <row r="611" spans="1:14" ht="12">
      <c r="A611" t="s">
        <v>671</v>
      </c>
      <c r="B611" s="100">
        <v>468.48</v>
      </c>
      <c r="C611" s="100">
        <v>843.2</v>
      </c>
      <c r="D611" s="100">
        <v>1335.05</v>
      </c>
      <c r="E611" s="100">
        <v>1255.69</v>
      </c>
      <c r="F611" s="100">
        <v>916.81</v>
      </c>
      <c r="G611" s="100">
        <v>847.66</v>
      </c>
      <c r="H611" s="100">
        <v>1013.89</v>
      </c>
      <c r="I611" s="100">
        <v>1063.95</v>
      </c>
      <c r="J611" s="100">
        <v>1010.18</v>
      </c>
      <c r="K611" s="100">
        <v>1059.33</v>
      </c>
      <c r="L611" s="100">
        <v>1157.17</v>
      </c>
      <c r="M611" s="100">
        <v>888.92</v>
      </c>
      <c r="N611" s="100">
        <v>1078.85</v>
      </c>
    </row>
    <row r="612" spans="1:14" ht="12">
      <c r="A612" t="s">
        <v>672</v>
      </c>
      <c r="B612" s="100">
        <v>757.47605</v>
      </c>
      <c r="C612" s="100">
        <v>1029.32641</v>
      </c>
      <c r="D612" s="100">
        <v>1572.35647</v>
      </c>
      <c r="E612" s="100">
        <v>1759.15356</v>
      </c>
      <c r="F612" s="100">
        <v>1189.20173</v>
      </c>
      <c r="G612" s="100">
        <v>1390.93086</v>
      </c>
      <c r="H612" s="100">
        <v>1479.23378</v>
      </c>
      <c r="I612" s="100">
        <v>1326.32648</v>
      </c>
      <c r="J612" s="100">
        <v>1309.48001</v>
      </c>
      <c r="K612" s="100">
        <v>1282.97764</v>
      </c>
      <c r="L612" s="100">
        <v>1374.51287</v>
      </c>
      <c r="M612" s="100">
        <v>1153.58569</v>
      </c>
      <c r="N612" s="100">
        <v>1323.21696</v>
      </c>
    </row>
    <row r="613" spans="1:14" ht="12">
      <c r="A613" t="s">
        <v>673</v>
      </c>
      <c r="B613" s="100">
        <v>1495.54732</v>
      </c>
      <c r="C613" s="100">
        <v>1128.29828</v>
      </c>
      <c r="D613" s="100">
        <v>1322.64091</v>
      </c>
      <c r="E613" s="100">
        <v>1401.12529</v>
      </c>
      <c r="F613" s="100">
        <v>1634.33453</v>
      </c>
      <c r="G613" s="100">
        <v>1894.17106</v>
      </c>
      <c r="H613" s="100">
        <v>1780.33714</v>
      </c>
      <c r="I613" s="100">
        <v>1753.67384</v>
      </c>
      <c r="J613" s="100">
        <v>1628.11058</v>
      </c>
      <c r="K613" s="100">
        <v>1820.6054</v>
      </c>
      <c r="L613" s="100">
        <v>2007.71628</v>
      </c>
      <c r="M613" s="100">
        <v>2093.09426</v>
      </c>
      <c r="N613" s="100">
        <v>2225.67169</v>
      </c>
    </row>
    <row r="614" spans="1:14" ht="12">
      <c r="A614" t="s">
        <v>674</v>
      </c>
      <c r="B614" s="100">
        <v>938071</v>
      </c>
      <c r="C614" s="100">
        <v>1244151</v>
      </c>
      <c r="D614" s="100">
        <v>1087857</v>
      </c>
      <c r="E614" s="100">
        <v>868946</v>
      </c>
      <c r="F614" s="100">
        <v>905257</v>
      </c>
      <c r="G614" s="100">
        <v>995657</v>
      </c>
      <c r="H614" s="100">
        <v>945860</v>
      </c>
      <c r="I614" s="100">
        <v>1071609</v>
      </c>
      <c r="J614" s="100">
        <v>1320754</v>
      </c>
      <c r="K614" s="100">
        <v>1739650</v>
      </c>
      <c r="L614" s="100">
        <v>2257212.328</v>
      </c>
      <c r="M614" s="100">
        <v>1096285.0607</v>
      </c>
      <c r="N614" s="100">
        <v>1687278.00065</v>
      </c>
    </row>
    <row r="615" spans="1:14" ht="12">
      <c r="A615" t="s">
        <v>675</v>
      </c>
      <c r="B615" s="100">
        <v>234.65111</v>
      </c>
      <c r="C615" s="100">
        <v>214.48174</v>
      </c>
      <c r="D615" s="100">
        <v>217.55927</v>
      </c>
      <c r="E615" s="100">
        <v>153.65044</v>
      </c>
      <c r="F615" s="100">
        <v>148.35702</v>
      </c>
      <c r="G615" s="100">
        <v>146.6258</v>
      </c>
      <c r="H615" s="100">
        <v>192.86796</v>
      </c>
      <c r="I615" s="100">
        <v>232.67963</v>
      </c>
      <c r="J615" s="100">
        <v>219.75028</v>
      </c>
      <c r="K615" s="100">
        <v>300.83989</v>
      </c>
      <c r="L615" s="100">
        <v>401.83663</v>
      </c>
      <c r="M615" s="100">
        <v>255.236</v>
      </c>
      <c r="N615" s="100">
        <v>248.96259</v>
      </c>
    </row>
    <row r="616" spans="1:14" ht="12">
      <c r="A616" t="s">
        <v>676</v>
      </c>
      <c r="B616" s="100">
        <v>20347</v>
      </c>
      <c r="C616" s="100">
        <v>22744</v>
      </c>
      <c r="D616" s="100">
        <v>23718</v>
      </c>
      <c r="E616" s="100">
        <v>25446</v>
      </c>
      <c r="F616" s="100">
        <v>26578</v>
      </c>
      <c r="G616" s="100">
        <v>26207</v>
      </c>
      <c r="H616" s="100">
        <v>25714</v>
      </c>
      <c r="I616" s="100">
        <v>24158</v>
      </c>
      <c r="J616" s="100">
        <v>23757</v>
      </c>
      <c r="K616" s="100">
        <v>23298</v>
      </c>
      <c r="L616" s="100">
        <v>24510</v>
      </c>
      <c r="M616" s="100">
        <v>24498</v>
      </c>
      <c r="N616" s="100">
        <v>25752</v>
      </c>
    </row>
    <row r="617" spans="1:14" ht="12">
      <c r="A617" t="s">
        <v>677</v>
      </c>
      <c r="B617" s="100">
        <v>7440.06</v>
      </c>
      <c r="C617" s="100">
        <v>7692.98</v>
      </c>
      <c r="D617" s="100">
        <v>8456.4</v>
      </c>
      <c r="E617" s="100">
        <v>9517.89</v>
      </c>
      <c r="F617" s="100">
        <v>9706.23</v>
      </c>
      <c r="G617" s="100">
        <v>9613.43</v>
      </c>
      <c r="H617" s="100">
        <v>9388.01</v>
      </c>
      <c r="I617" s="100">
        <v>9357.87</v>
      </c>
      <c r="J617" s="100">
        <v>9851.45</v>
      </c>
      <c r="K617" s="100">
        <v>9850.16</v>
      </c>
      <c r="L617" s="100">
        <v>10260.95</v>
      </c>
      <c r="M617" s="100">
        <v>10633.26</v>
      </c>
      <c r="N617" s="100">
        <v>11142.63</v>
      </c>
    </row>
    <row r="618" spans="1:14" ht="12">
      <c r="A618" t="s">
        <v>678</v>
      </c>
      <c r="B618" s="100">
        <v>33580</v>
      </c>
      <c r="C618" s="100">
        <v>42795</v>
      </c>
      <c r="D618" s="100">
        <v>53054</v>
      </c>
      <c r="E618" s="100">
        <v>61548</v>
      </c>
      <c r="F618" s="100">
        <v>68877</v>
      </c>
      <c r="G618" s="100">
        <v>80861</v>
      </c>
      <c r="H618" s="100">
        <v>91750</v>
      </c>
      <c r="I618" s="100">
        <v>77320</v>
      </c>
      <c r="J618" s="100">
        <v>68514</v>
      </c>
      <c r="K618" s="100">
        <v>77518.4</v>
      </c>
      <c r="L618" s="100">
        <v>79086.9</v>
      </c>
      <c r="M618" s="100">
        <v>60455</v>
      </c>
      <c r="N618" s="100">
        <v>73683</v>
      </c>
    </row>
    <row r="619" spans="1:14" ht="12">
      <c r="A619" t="s">
        <v>679</v>
      </c>
      <c r="B619" s="100">
        <v>6468.049</v>
      </c>
      <c r="C619" s="100">
        <v>5579.673</v>
      </c>
      <c r="D619" s="100">
        <v>5644.674</v>
      </c>
      <c r="E619" s="100">
        <v>6650.743</v>
      </c>
      <c r="F619" s="100">
        <v>7205.483</v>
      </c>
      <c r="G619" s="100">
        <v>9478.734</v>
      </c>
      <c r="H619" s="100">
        <v>6139.464</v>
      </c>
      <c r="I619" s="100">
        <v>4158.293</v>
      </c>
      <c r="J619" s="100">
        <v>3701.098</v>
      </c>
      <c r="K619" s="100">
        <v>3446.317</v>
      </c>
      <c r="L619" s="100">
        <v>4045.373</v>
      </c>
      <c r="M619" s="100">
        <v>2733.804</v>
      </c>
      <c r="N619" s="100">
        <v>3415.42</v>
      </c>
    </row>
    <row r="620" spans="1:14" ht="12">
      <c r="A620" t="s">
        <v>680</v>
      </c>
      <c r="B620" s="100">
        <v>8200.1</v>
      </c>
      <c r="C620" s="100">
        <v>18017.8</v>
      </c>
      <c r="D620" s="100">
        <v>26240.6</v>
      </c>
      <c r="E620" s="100">
        <v>34955.1</v>
      </c>
      <c r="F620" s="100">
        <v>30569.1</v>
      </c>
      <c r="G620" s="100">
        <v>30210.9</v>
      </c>
      <c r="H620" s="100">
        <v>30670.4</v>
      </c>
      <c r="I620" s="100">
        <v>28579.5</v>
      </c>
      <c r="J620" s="100">
        <v>28788.4</v>
      </c>
      <c r="K620" s="100">
        <v>28466.4</v>
      </c>
      <c r="L620" s="100">
        <v>36672.3</v>
      </c>
      <c r="M620" s="100">
        <v>27460.6</v>
      </c>
      <c r="N620" s="100">
        <v>24090.7</v>
      </c>
    </row>
    <row r="621" spans="1:14" ht="12">
      <c r="A621" t="s">
        <v>681</v>
      </c>
      <c r="B621" s="100">
        <v>1098.77</v>
      </c>
      <c r="C621" s="100">
        <v>1353.26</v>
      </c>
      <c r="D621" s="100">
        <v>1595.72</v>
      </c>
      <c r="E621" s="100">
        <v>1789.36</v>
      </c>
      <c r="F621" s="100">
        <v>1824.93</v>
      </c>
      <c r="G621" s="100">
        <v>1797.78</v>
      </c>
      <c r="H621" s="100">
        <v>1499.31</v>
      </c>
      <c r="I621" s="100">
        <v>1463.83</v>
      </c>
      <c r="J621" s="100">
        <v>1575.89</v>
      </c>
      <c r="K621" s="100">
        <v>1913.42</v>
      </c>
      <c r="L621" s="100">
        <v>1823.26</v>
      </c>
      <c r="M621" s="100">
        <v>1287.72</v>
      </c>
      <c r="N621" s="100">
        <v>1276.36</v>
      </c>
    </row>
    <row r="622" spans="1:14" ht="12">
      <c r="A622" t="s">
        <v>682</v>
      </c>
      <c r="B622" s="100">
        <v>1730.728</v>
      </c>
      <c r="C622" s="100">
        <v>2141.21</v>
      </c>
      <c r="D622" s="100">
        <v>1994.905</v>
      </c>
      <c r="E622" s="100">
        <v>2307.644</v>
      </c>
      <c r="F622" s="100">
        <v>2486.96</v>
      </c>
      <c r="G622" s="100">
        <v>2441.088</v>
      </c>
      <c r="H622" s="100">
        <v>2691.759</v>
      </c>
      <c r="I622" s="100">
        <v>2435.811</v>
      </c>
      <c r="J622" s="100">
        <v>2466.08</v>
      </c>
      <c r="K622" s="100">
        <v>3023.41</v>
      </c>
      <c r="L622" s="100">
        <v>4950.645</v>
      </c>
      <c r="M622" s="100">
        <v>2599.571</v>
      </c>
      <c r="N622" s="100">
        <v>2696.159</v>
      </c>
    </row>
    <row r="623" spans="1:14" ht="12">
      <c r="A623" t="s">
        <v>683</v>
      </c>
      <c r="B623" s="100">
        <v>6006</v>
      </c>
      <c r="C623" s="100">
        <v>5837</v>
      </c>
      <c r="D623" s="100">
        <v>6476</v>
      </c>
      <c r="E623" s="100">
        <v>6958</v>
      </c>
      <c r="F623" s="100">
        <v>7158</v>
      </c>
      <c r="G623" s="100">
        <v>6864</v>
      </c>
      <c r="H623" s="100">
        <v>7478</v>
      </c>
      <c r="I623" s="100">
        <v>8073</v>
      </c>
      <c r="J623" s="100">
        <v>8440</v>
      </c>
      <c r="K623" s="100">
        <v>8592</v>
      </c>
      <c r="L623" s="100">
        <v>8151</v>
      </c>
      <c r="M623" s="100">
        <v>8721</v>
      </c>
      <c r="N623" s="100">
        <v>8670</v>
      </c>
    </row>
    <row r="624" spans="1:14" ht="12">
      <c r="A624" t="s">
        <v>684</v>
      </c>
      <c r="B624" s="100">
        <v>119395</v>
      </c>
      <c r="C624" s="100">
        <v>127952</v>
      </c>
      <c r="D624" s="100">
        <v>135081</v>
      </c>
      <c r="E624" s="100">
        <v>144477</v>
      </c>
      <c r="F624" s="100">
        <v>147809</v>
      </c>
      <c r="G624" s="100">
        <v>158891</v>
      </c>
      <c r="H624" s="100">
        <v>162204</v>
      </c>
      <c r="I624" s="100">
        <v>167868</v>
      </c>
      <c r="J624" s="100">
        <v>168192</v>
      </c>
      <c r="K624" s="100">
        <v>173157</v>
      </c>
      <c r="L624" s="100">
        <v>175769</v>
      </c>
      <c r="M624" s="100">
        <v>193242</v>
      </c>
      <c r="N624" s="100">
        <v>209144</v>
      </c>
    </row>
    <row r="625" spans="1:14" ht="12">
      <c r="A625" t="s">
        <v>685</v>
      </c>
      <c r="B625" s="100">
        <v>42311</v>
      </c>
      <c r="C625" s="100">
        <v>36455</v>
      </c>
      <c r="D625" s="100">
        <v>38515</v>
      </c>
      <c r="E625" s="100">
        <v>46856</v>
      </c>
      <c r="F625" s="100">
        <v>50729</v>
      </c>
      <c r="G625" s="100">
        <v>50540</v>
      </c>
      <c r="H625" s="100">
        <v>48287</v>
      </c>
      <c r="I625" s="100">
        <v>46155</v>
      </c>
      <c r="J625" s="100">
        <v>45656</v>
      </c>
      <c r="K625" s="100">
        <v>50801</v>
      </c>
      <c r="L625" s="100">
        <v>50998</v>
      </c>
      <c r="M625" s="100">
        <v>52090</v>
      </c>
      <c r="N625" s="100">
        <v>53833</v>
      </c>
    </row>
    <row r="626" spans="1:14" ht="12">
      <c r="A626" t="s">
        <v>686</v>
      </c>
      <c r="B626" s="100">
        <v>39584.77488</v>
      </c>
      <c r="C626" s="100">
        <v>54371.38804</v>
      </c>
      <c r="D626" s="100">
        <v>64431.22433</v>
      </c>
      <c r="E626" s="100">
        <v>75350.68642</v>
      </c>
      <c r="F626" s="100">
        <v>64437.03149</v>
      </c>
      <c r="G626" s="100">
        <v>55632.07007</v>
      </c>
      <c r="H626" s="100">
        <v>46441.24218</v>
      </c>
      <c r="I626" s="100">
        <v>47685.52827</v>
      </c>
      <c r="J626" s="100">
        <v>54907.81499</v>
      </c>
      <c r="K626" s="100">
        <v>61727.57511</v>
      </c>
      <c r="L626" s="100">
        <v>64008.63302</v>
      </c>
      <c r="M626" s="100">
        <v>67780.83247</v>
      </c>
      <c r="N626" s="100">
        <v>81121.80173</v>
      </c>
    </row>
    <row r="627" spans="1:14" ht="12">
      <c r="A627" t="s">
        <v>687</v>
      </c>
      <c r="B627" s="100">
        <v>68476</v>
      </c>
      <c r="C627" s="100">
        <v>77883</v>
      </c>
      <c r="D627" s="100">
        <v>88974</v>
      </c>
      <c r="E627" s="100">
        <v>99625</v>
      </c>
      <c r="F627" s="100">
        <v>110152</v>
      </c>
      <c r="G627" s="100">
        <v>107357</v>
      </c>
      <c r="H627" s="100">
        <v>112988</v>
      </c>
      <c r="I627" s="100">
        <v>115012</v>
      </c>
      <c r="J627" s="100">
        <v>131698</v>
      </c>
      <c r="K627" s="100">
        <v>144516</v>
      </c>
      <c r="L627" s="100">
        <v>151876</v>
      </c>
      <c r="M627" s="100">
        <v>164946</v>
      </c>
      <c r="N627" s="100">
        <v>178730</v>
      </c>
    </row>
    <row r="628" spans="1:14" ht="12">
      <c r="A628" t="s">
        <v>688</v>
      </c>
      <c r="B628" s="100">
        <v>14758.95494</v>
      </c>
      <c r="C628" s="100">
        <v>15031.72944</v>
      </c>
      <c r="D628" s="100">
        <v>15487.35954</v>
      </c>
      <c r="E628" s="100">
        <v>16617.09907</v>
      </c>
      <c r="F628" s="100">
        <v>17573.18265</v>
      </c>
      <c r="G628" s="100">
        <v>18174.12259</v>
      </c>
      <c r="H628" s="100">
        <v>18769.74634</v>
      </c>
      <c r="I628" s="100">
        <v>18972.56623</v>
      </c>
      <c r="J628" s="100">
        <v>19199.95329</v>
      </c>
      <c r="K628" s="100">
        <v>19769.42473</v>
      </c>
      <c r="L628" s="100">
        <v>20128.40329</v>
      </c>
      <c r="M628" s="100">
        <v>20602.32023</v>
      </c>
      <c r="N628" s="100" t="s">
        <v>163</v>
      </c>
    </row>
    <row r="629" spans="1:14" ht="12">
      <c r="A629" t="s">
        <v>113</v>
      </c>
      <c r="B629" s="100">
        <v>255446.67767</v>
      </c>
      <c r="C629" s="100">
        <v>264553.94737</v>
      </c>
      <c r="D629" s="100">
        <v>274025.88318</v>
      </c>
      <c r="E629" s="100">
        <v>282411.09447</v>
      </c>
      <c r="F629" s="100">
        <v>282486.82238</v>
      </c>
      <c r="G629" s="100">
        <v>299534.10404</v>
      </c>
      <c r="H629" s="100">
        <v>298704.53082</v>
      </c>
      <c r="I629" s="100">
        <v>312769.0472</v>
      </c>
      <c r="J629" s="100">
        <v>337571.2803</v>
      </c>
      <c r="K629" s="100">
        <v>328713.87797</v>
      </c>
      <c r="L629" s="100">
        <v>336613.07599</v>
      </c>
      <c r="M629" s="100">
        <v>331647.97204</v>
      </c>
      <c r="N629" s="100">
        <v>323449.33587</v>
      </c>
    </row>
    <row r="630" spans="1:14" ht="12">
      <c r="A630" t="s">
        <v>112</v>
      </c>
      <c r="B630" s="100">
        <v>176530.46102</v>
      </c>
      <c r="C630" s="100">
        <v>181685.4572</v>
      </c>
      <c r="D630" s="100">
        <v>187164.9022</v>
      </c>
      <c r="E630" s="100">
        <v>201736.44563</v>
      </c>
      <c r="F630" s="100">
        <v>204911.48074</v>
      </c>
      <c r="G630" s="100">
        <v>212103.56263</v>
      </c>
      <c r="H630" s="100">
        <v>214238.30331</v>
      </c>
      <c r="I630" s="100">
        <v>221569.94635</v>
      </c>
      <c r="J630" s="100">
        <v>245099.43773</v>
      </c>
      <c r="K630" s="100">
        <v>240353.27939</v>
      </c>
      <c r="L630" s="100">
        <v>242728.96754</v>
      </c>
      <c r="M630" s="100">
        <v>246564.75442</v>
      </c>
      <c r="N630" s="100">
        <v>240048.06971</v>
      </c>
    </row>
    <row r="631" spans="1:14" ht="12">
      <c r="A631" t="s">
        <v>81</v>
      </c>
      <c r="B631" s="100">
        <v>6268.1</v>
      </c>
      <c r="C631" s="100">
        <v>6314</v>
      </c>
      <c r="D631" s="100">
        <v>5942.4</v>
      </c>
      <c r="E631" s="100">
        <v>6518.4</v>
      </c>
      <c r="F631" s="100">
        <v>7705.5</v>
      </c>
      <c r="G631" s="100">
        <v>7692.7</v>
      </c>
      <c r="H631" s="100">
        <v>7998.2</v>
      </c>
      <c r="I631" s="100">
        <v>8317.8</v>
      </c>
      <c r="J631" s="100">
        <v>8516.3</v>
      </c>
      <c r="K631" s="100">
        <v>8367.6</v>
      </c>
      <c r="L631" s="100">
        <v>8445.6</v>
      </c>
      <c r="M631" s="100">
        <v>9162.5</v>
      </c>
      <c r="N631" s="100">
        <v>7944.6</v>
      </c>
    </row>
    <row r="632" spans="1:14" ht="12">
      <c r="A632" t="s">
        <v>82</v>
      </c>
      <c r="B632" s="100">
        <v>755.273</v>
      </c>
      <c r="C632" s="100">
        <v>536.531</v>
      </c>
      <c r="D632" s="100">
        <v>1139.348</v>
      </c>
      <c r="E632" s="100">
        <v>1892.915</v>
      </c>
      <c r="F632" s="100">
        <v>3088.43</v>
      </c>
      <c r="G632" s="100">
        <v>896.908</v>
      </c>
      <c r="H632" s="100">
        <v>1222.783</v>
      </c>
      <c r="I632" s="100">
        <v>1463.11</v>
      </c>
      <c r="J632" s="100">
        <v>1784.414</v>
      </c>
      <c r="K632" s="100">
        <v>1241.879</v>
      </c>
      <c r="L632" s="100">
        <v>2148.136</v>
      </c>
      <c r="M632" s="100">
        <v>1091.813</v>
      </c>
      <c r="N632" s="100">
        <v>2482.187</v>
      </c>
    </row>
    <row r="633" spans="1:14" ht="12">
      <c r="A633" t="s">
        <v>83</v>
      </c>
      <c r="B633" s="100">
        <v>49655</v>
      </c>
      <c r="C633" s="100">
        <v>54017</v>
      </c>
      <c r="D633" s="100">
        <v>61199</v>
      </c>
      <c r="E633" s="100">
        <v>68595</v>
      </c>
      <c r="F633" s="100">
        <v>68757</v>
      </c>
      <c r="G633" s="100">
        <v>72805</v>
      </c>
      <c r="H633" s="100">
        <v>76414</v>
      </c>
      <c r="I633" s="100">
        <v>80022</v>
      </c>
      <c r="J633" s="100">
        <v>83681</v>
      </c>
      <c r="K633" s="100">
        <v>83684</v>
      </c>
      <c r="L633" s="100">
        <v>88002</v>
      </c>
      <c r="M633" s="100">
        <v>94106</v>
      </c>
      <c r="N633" s="100">
        <v>97688</v>
      </c>
    </row>
    <row r="634" spans="1:14" ht="12">
      <c r="A634" t="s">
        <v>84</v>
      </c>
      <c r="B634" s="100">
        <v>49832</v>
      </c>
      <c r="C634" s="100">
        <v>52951</v>
      </c>
      <c r="D634" s="100">
        <v>55129</v>
      </c>
      <c r="E634" s="100">
        <v>55108</v>
      </c>
      <c r="F634" s="100">
        <v>59800</v>
      </c>
      <c r="G634" s="100">
        <v>61816</v>
      </c>
      <c r="H634" s="100">
        <v>58876</v>
      </c>
      <c r="I634" s="100">
        <v>65187</v>
      </c>
      <c r="J634" s="100">
        <v>65974</v>
      </c>
      <c r="K634" s="100">
        <v>59944</v>
      </c>
      <c r="L634" s="100">
        <v>62764</v>
      </c>
      <c r="M634" s="100">
        <v>61245</v>
      </c>
      <c r="N634" s="100">
        <v>64774</v>
      </c>
    </row>
    <row r="635" spans="1:14" ht="12">
      <c r="A635" t="s">
        <v>85</v>
      </c>
      <c r="B635" s="100">
        <v>41735</v>
      </c>
      <c r="C635" s="100">
        <v>41577</v>
      </c>
      <c r="D635" s="100">
        <v>42933</v>
      </c>
      <c r="E635" s="100">
        <v>46836</v>
      </c>
      <c r="F635" s="100">
        <v>45872</v>
      </c>
      <c r="G635" s="100">
        <v>51646</v>
      </c>
      <c r="H635" s="100">
        <v>51525</v>
      </c>
      <c r="I635" s="100">
        <v>57669</v>
      </c>
      <c r="J635" s="100">
        <v>74241</v>
      </c>
      <c r="K635" s="100">
        <v>73232</v>
      </c>
      <c r="L635" s="100">
        <v>74757</v>
      </c>
      <c r="M635" s="100">
        <v>75711</v>
      </c>
      <c r="N635" s="100">
        <v>75266</v>
      </c>
    </row>
    <row r="636" spans="1:14" ht="12">
      <c r="A636" t="s">
        <v>86</v>
      </c>
      <c r="B636" s="100">
        <v>173</v>
      </c>
      <c r="C636" s="100">
        <v>242.9</v>
      </c>
      <c r="D636" s="100">
        <v>253.1</v>
      </c>
      <c r="E636" s="100">
        <v>255.6</v>
      </c>
      <c r="F636" s="100">
        <v>289</v>
      </c>
      <c r="G636" s="100">
        <v>267.4</v>
      </c>
      <c r="H636" s="100">
        <v>289.9</v>
      </c>
      <c r="I636" s="100">
        <v>313</v>
      </c>
      <c r="J636" s="100">
        <v>359.3</v>
      </c>
      <c r="K636" s="100">
        <v>338.2</v>
      </c>
      <c r="L636" s="100">
        <v>390</v>
      </c>
      <c r="M636" s="100">
        <v>425.4</v>
      </c>
      <c r="N636" s="100">
        <v>372.6</v>
      </c>
    </row>
    <row r="637" spans="1:14" ht="12">
      <c r="A637" t="s">
        <v>87</v>
      </c>
      <c r="B637" s="100">
        <v>3062.24</v>
      </c>
      <c r="C637" s="100">
        <v>3358.94</v>
      </c>
      <c r="D637" s="100">
        <v>3147.84</v>
      </c>
      <c r="E637" s="100">
        <v>3511.38</v>
      </c>
      <c r="F637" s="100">
        <v>2725</v>
      </c>
      <c r="G637" s="100">
        <v>2664.42</v>
      </c>
      <c r="H637" s="100">
        <v>2613.68</v>
      </c>
      <c r="I637" s="100">
        <v>2530.88</v>
      </c>
      <c r="J637" s="100">
        <v>2907.93</v>
      </c>
      <c r="K637" s="100">
        <v>2763.65</v>
      </c>
      <c r="L637" s="100">
        <v>2537.99</v>
      </c>
      <c r="M637" s="100">
        <v>2964.46</v>
      </c>
      <c r="N637" s="100">
        <v>3118.92</v>
      </c>
    </row>
    <row r="638" spans="1:14" ht="12">
      <c r="A638" t="s">
        <v>88</v>
      </c>
      <c r="B638" s="100">
        <v>4135</v>
      </c>
      <c r="C638" s="100">
        <v>3349</v>
      </c>
      <c r="D638" s="100">
        <v>3997</v>
      </c>
      <c r="E638" s="100">
        <v>4577</v>
      </c>
      <c r="F638" s="100">
        <v>4531</v>
      </c>
      <c r="G638" s="100">
        <v>4289</v>
      </c>
      <c r="H638" s="100">
        <v>3273</v>
      </c>
      <c r="I638" s="100">
        <v>3118</v>
      </c>
      <c r="J638" s="100">
        <v>3105</v>
      </c>
      <c r="K638" s="100">
        <v>2950</v>
      </c>
      <c r="L638" s="100">
        <v>2719</v>
      </c>
      <c r="M638" s="100">
        <v>2706</v>
      </c>
      <c r="N638" s="100">
        <v>2573</v>
      </c>
    </row>
    <row r="639" spans="1:14" ht="12">
      <c r="A639" t="s">
        <v>89</v>
      </c>
      <c r="B639" s="100">
        <v>15222</v>
      </c>
      <c r="C639" s="100">
        <v>17049</v>
      </c>
      <c r="D639" s="100">
        <v>16790</v>
      </c>
      <c r="E639" s="100">
        <v>19272</v>
      </c>
      <c r="F639" s="100">
        <v>20292</v>
      </c>
      <c r="G639" s="100">
        <v>17937</v>
      </c>
      <c r="H639" s="100">
        <v>19226</v>
      </c>
      <c r="I639" s="100">
        <v>16798</v>
      </c>
      <c r="J639" s="100">
        <v>17428</v>
      </c>
      <c r="K639" s="100">
        <v>16857</v>
      </c>
      <c r="L639" s="100">
        <v>15946</v>
      </c>
      <c r="M639" s="100">
        <v>17108</v>
      </c>
      <c r="N639" s="100">
        <v>15377</v>
      </c>
    </row>
    <row r="640" spans="1:14" ht="12">
      <c r="A640" t="s">
        <v>90</v>
      </c>
      <c r="B640" s="100">
        <v>53970</v>
      </c>
      <c r="C640" s="100">
        <v>55996</v>
      </c>
      <c r="D640" s="100">
        <v>58357</v>
      </c>
      <c r="E640" s="100">
        <v>61452</v>
      </c>
      <c r="F640" s="100">
        <v>66023</v>
      </c>
      <c r="G640" s="100">
        <v>67579</v>
      </c>
      <c r="H640" s="100">
        <v>68214</v>
      </c>
      <c r="I640" s="100">
        <v>70761</v>
      </c>
      <c r="J640" s="100">
        <v>74477</v>
      </c>
      <c r="K640" s="100">
        <v>72133</v>
      </c>
      <c r="L640" s="100">
        <v>73306</v>
      </c>
      <c r="M640" s="100">
        <v>76057</v>
      </c>
      <c r="N640" s="100">
        <v>75843</v>
      </c>
    </row>
    <row r="641" spans="1:14" ht="12">
      <c r="A641" t="s">
        <v>91</v>
      </c>
      <c r="B641" s="100">
        <v>6038.80357</v>
      </c>
      <c r="C641" s="100">
        <v>5278.72968</v>
      </c>
      <c r="D641" s="100">
        <v>2642.42307</v>
      </c>
      <c r="E641" s="100">
        <v>4610.88694</v>
      </c>
      <c r="F641" s="100">
        <v>3186.25815</v>
      </c>
      <c r="G641" s="100">
        <v>2475.9525</v>
      </c>
      <c r="H641" s="100">
        <v>3215.09114</v>
      </c>
      <c r="I641" s="100">
        <v>4542.72204</v>
      </c>
      <c r="J641" s="100">
        <v>5531.53979</v>
      </c>
      <c r="K641" s="100">
        <v>4671.1193</v>
      </c>
      <c r="L641" s="100">
        <v>7080.00727</v>
      </c>
      <c r="M641" s="100">
        <v>7435.34392</v>
      </c>
      <c r="N641" s="100">
        <v>6383.3866</v>
      </c>
    </row>
    <row r="642" spans="1:14" ht="12">
      <c r="A642" t="s">
        <v>92</v>
      </c>
      <c r="B642" s="100">
        <v>22546</v>
      </c>
      <c r="C642" s="100">
        <v>22247</v>
      </c>
      <c r="D642" s="100">
        <v>24381</v>
      </c>
      <c r="E642" s="100">
        <v>25322</v>
      </c>
      <c r="F642" s="100">
        <v>26068</v>
      </c>
      <c r="G642" s="100">
        <v>25562</v>
      </c>
      <c r="H642" s="100">
        <v>26052</v>
      </c>
      <c r="I642" s="100">
        <v>26618</v>
      </c>
      <c r="J642" s="100">
        <v>27598</v>
      </c>
      <c r="K642" s="100">
        <v>26129</v>
      </c>
      <c r="L642" s="100">
        <v>25991</v>
      </c>
      <c r="M642" s="100">
        <v>27210</v>
      </c>
      <c r="N642" s="100">
        <v>24009</v>
      </c>
    </row>
    <row r="643" spans="1:14" ht="12">
      <c r="A643" t="s">
        <v>93</v>
      </c>
      <c r="B643" s="100">
        <v>363.9</v>
      </c>
      <c r="C643" s="100">
        <v>360.6</v>
      </c>
      <c r="D643" s="100">
        <v>443.5</v>
      </c>
      <c r="E643" s="100">
        <v>560.2</v>
      </c>
      <c r="F643" s="100">
        <v>510</v>
      </c>
      <c r="G643" s="100">
        <v>462.2</v>
      </c>
      <c r="H643" s="100">
        <v>530.2</v>
      </c>
      <c r="I643" s="100">
        <v>525.5</v>
      </c>
      <c r="J643" s="100">
        <v>402.6</v>
      </c>
      <c r="K643" s="100">
        <v>395.1</v>
      </c>
      <c r="L643" s="100">
        <v>463.3</v>
      </c>
      <c r="M643" s="100">
        <v>397.8</v>
      </c>
      <c r="N643" s="100">
        <v>461.8</v>
      </c>
    </row>
    <row r="644" spans="1:14" ht="12">
      <c r="A644" t="s">
        <v>94</v>
      </c>
      <c r="B644" s="100">
        <v>504.49</v>
      </c>
      <c r="C644" s="100">
        <v>780.69</v>
      </c>
      <c r="D644" s="100">
        <v>711.27</v>
      </c>
      <c r="E644" s="100">
        <v>997.3</v>
      </c>
      <c r="F644" s="100">
        <v>668.57</v>
      </c>
      <c r="G644" s="100">
        <v>757.55</v>
      </c>
      <c r="H644" s="100">
        <v>464.6</v>
      </c>
      <c r="I644" s="100">
        <v>679.84</v>
      </c>
      <c r="J644" s="100">
        <v>624.74</v>
      </c>
      <c r="K644" s="100">
        <v>771.32</v>
      </c>
      <c r="L644" s="100">
        <v>674.2</v>
      </c>
      <c r="M644" s="100">
        <v>726.17</v>
      </c>
      <c r="N644" s="100">
        <v>839.7</v>
      </c>
    </row>
    <row r="645" spans="1:14" ht="12">
      <c r="A645" t="s">
        <v>95</v>
      </c>
      <c r="B645" s="100">
        <v>376.28013</v>
      </c>
      <c r="C645" s="100">
        <v>301.30278</v>
      </c>
      <c r="D645" s="100">
        <v>380.60529</v>
      </c>
      <c r="E645" s="100">
        <v>478.85328</v>
      </c>
      <c r="F645" s="100">
        <v>447.93948</v>
      </c>
      <c r="G645" s="100">
        <v>346.63577</v>
      </c>
      <c r="H645" s="100">
        <v>498.44853</v>
      </c>
      <c r="I645" s="100">
        <v>465.72022</v>
      </c>
      <c r="J645" s="100">
        <v>554.29927</v>
      </c>
      <c r="K645" s="100">
        <v>515.39964</v>
      </c>
      <c r="L645" s="100">
        <v>554.09499</v>
      </c>
      <c r="M645" s="100">
        <v>642.6402</v>
      </c>
      <c r="N645" s="100">
        <v>590.85792</v>
      </c>
    </row>
    <row r="646" spans="1:14" ht="12">
      <c r="A646" t="s">
        <v>96</v>
      </c>
      <c r="B646" s="100">
        <v>801.09589</v>
      </c>
      <c r="C646" s="100">
        <v>854.82744</v>
      </c>
      <c r="D646" s="100">
        <v>856.17571</v>
      </c>
      <c r="E646" s="100">
        <v>943.54563</v>
      </c>
      <c r="F646" s="100">
        <v>995.47783</v>
      </c>
      <c r="G646" s="100">
        <v>1104.03788</v>
      </c>
      <c r="H646" s="100">
        <v>1301.44357</v>
      </c>
      <c r="I646" s="100">
        <v>1411.16409</v>
      </c>
      <c r="J646" s="100">
        <v>1467.31686</v>
      </c>
      <c r="K646" s="100">
        <v>1484.94019</v>
      </c>
      <c r="L646" s="100">
        <v>1604.74932</v>
      </c>
      <c r="M646" s="100">
        <v>1691.02271</v>
      </c>
      <c r="N646" s="100">
        <v>1912.97281</v>
      </c>
    </row>
    <row r="647" spans="1:14" ht="12">
      <c r="A647" t="s">
        <v>97</v>
      </c>
      <c r="B647" s="100">
        <v>566157</v>
      </c>
      <c r="C647" s="100">
        <v>671115</v>
      </c>
      <c r="D647" s="100">
        <v>701358</v>
      </c>
      <c r="E647" s="100">
        <v>671623</v>
      </c>
      <c r="F647" s="100">
        <v>703136</v>
      </c>
      <c r="G647" s="100">
        <v>672853</v>
      </c>
      <c r="H647" s="100">
        <v>742912.501</v>
      </c>
      <c r="I647" s="100">
        <v>749992</v>
      </c>
      <c r="J647" s="100">
        <v>975984</v>
      </c>
      <c r="K647" s="100">
        <v>1016452.853</v>
      </c>
      <c r="L647" s="100">
        <v>1017498.532</v>
      </c>
      <c r="M647" s="100">
        <v>1270382.01235</v>
      </c>
      <c r="N647" s="100">
        <v>1341761.87212</v>
      </c>
    </row>
    <row r="648" spans="1:14" ht="12">
      <c r="A648" t="s">
        <v>98</v>
      </c>
      <c r="B648" s="100">
        <v>84.60471</v>
      </c>
      <c r="C648" s="100">
        <v>89.42025</v>
      </c>
      <c r="D648" s="100">
        <v>93.50305</v>
      </c>
      <c r="E648" s="100">
        <v>109.97055</v>
      </c>
      <c r="F648" s="100">
        <v>115.74327</v>
      </c>
      <c r="G648" s="100">
        <v>127.00819</v>
      </c>
      <c r="H648" s="100">
        <v>126.9717</v>
      </c>
      <c r="I648" s="100">
        <v>130.80284</v>
      </c>
      <c r="J648" s="100">
        <v>176.35132</v>
      </c>
      <c r="K648" s="100">
        <v>186.74057</v>
      </c>
      <c r="L648" s="100">
        <v>200.83223</v>
      </c>
      <c r="M648" s="100">
        <v>198.35852</v>
      </c>
      <c r="N648" s="100">
        <v>203.23499</v>
      </c>
    </row>
    <row r="649" spans="1:14" ht="12">
      <c r="A649" t="s">
        <v>99</v>
      </c>
      <c r="B649" s="100">
        <v>10918</v>
      </c>
      <c r="C649" s="100">
        <v>12572</v>
      </c>
      <c r="D649" s="100">
        <v>11748</v>
      </c>
      <c r="E649" s="100">
        <v>13105</v>
      </c>
      <c r="F649" s="100">
        <v>9854</v>
      </c>
      <c r="G649" s="100">
        <v>11918</v>
      </c>
      <c r="H649" s="100">
        <v>11963</v>
      </c>
      <c r="I649" s="100">
        <v>11977</v>
      </c>
      <c r="J649" s="100">
        <v>11828</v>
      </c>
      <c r="K649" s="100">
        <v>12700</v>
      </c>
      <c r="L649" s="100">
        <v>12950</v>
      </c>
      <c r="M649" s="100">
        <v>8804</v>
      </c>
      <c r="N649" s="100">
        <v>10216</v>
      </c>
    </row>
    <row r="650" spans="1:14" ht="12">
      <c r="A650" t="s">
        <v>100</v>
      </c>
      <c r="B650" s="100">
        <v>7013.72</v>
      </c>
      <c r="C650" s="100">
        <v>6774.87</v>
      </c>
      <c r="D650" s="100">
        <v>7020.51</v>
      </c>
      <c r="E650" s="100">
        <v>7147.63</v>
      </c>
      <c r="F650" s="100">
        <v>7089.17</v>
      </c>
      <c r="G650" s="100">
        <v>7619.97</v>
      </c>
      <c r="H650" s="100">
        <v>7864.23</v>
      </c>
      <c r="I650" s="100">
        <v>8291.5</v>
      </c>
      <c r="J650" s="100">
        <v>8754.21</v>
      </c>
      <c r="K650" s="100">
        <v>8791.89</v>
      </c>
      <c r="L650" s="100">
        <v>9532.15</v>
      </c>
      <c r="M650" s="100">
        <v>10075.01</v>
      </c>
      <c r="N650" s="100">
        <v>9277.48</v>
      </c>
    </row>
    <row r="651" spans="1:14" ht="12">
      <c r="A651" t="s">
        <v>101</v>
      </c>
      <c r="B651" s="100">
        <v>19968.4</v>
      </c>
      <c r="C651" s="100">
        <v>24730</v>
      </c>
      <c r="D651" s="100">
        <v>27079</v>
      </c>
      <c r="E651" s="100">
        <v>30441</v>
      </c>
      <c r="F651" s="100">
        <v>29121</v>
      </c>
      <c r="G651" s="100">
        <v>29509</v>
      </c>
      <c r="H651" s="100">
        <v>32245</v>
      </c>
      <c r="I651" s="100">
        <v>35802</v>
      </c>
      <c r="J651" s="100">
        <v>36567</v>
      </c>
      <c r="K651" s="100">
        <v>34055.9</v>
      </c>
      <c r="L651" s="100">
        <v>37237.1</v>
      </c>
      <c r="M651" s="100">
        <v>35117</v>
      </c>
      <c r="N651" s="100">
        <v>35174</v>
      </c>
    </row>
    <row r="652" spans="1:14" ht="12">
      <c r="A652" t="s">
        <v>102</v>
      </c>
      <c r="B652" s="100">
        <v>3782.713</v>
      </c>
      <c r="C652" s="100">
        <v>4105.245</v>
      </c>
      <c r="D652" s="100">
        <v>4247.67</v>
      </c>
      <c r="E652" s="100">
        <v>4166.538</v>
      </c>
      <c r="F652" s="100">
        <v>4701.1</v>
      </c>
      <c r="G652" s="100">
        <v>5013.893</v>
      </c>
      <c r="H652" s="100">
        <v>5021.067</v>
      </c>
      <c r="I652" s="100">
        <v>4559.444</v>
      </c>
      <c r="J652" s="100">
        <v>4599.211</v>
      </c>
      <c r="K652" s="100">
        <v>4679.365</v>
      </c>
      <c r="L652" s="100">
        <v>4579.443</v>
      </c>
      <c r="M652" s="100">
        <v>4629.532</v>
      </c>
      <c r="N652" s="100">
        <v>4412.969</v>
      </c>
    </row>
    <row r="653" spans="1:14" ht="12">
      <c r="A653" t="s">
        <v>103</v>
      </c>
      <c r="B653" s="100">
        <v>2624.5</v>
      </c>
      <c r="C653" s="100">
        <v>2723.6</v>
      </c>
      <c r="D653" s="100">
        <v>7937.5</v>
      </c>
      <c r="E653" s="100">
        <v>7325</v>
      </c>
      <c r="F653" s="100">
        <v>9182.7</v>
      </c>
      <c r="G653" s="100">
        <v>9902.4</v>
      </c>
      <c r="H653" s="100">
        <v>11646.1</v>
      </c>
      <c r="I653" s="100">
        <v>14899.8</v>
      </c>
      <c r="J653" s="100">
        <v>11785.9</v>
      </c>
      <c r="K653" s="100">
        <v>15142.1</v>
      </c>
      <c r="L653" s="100">
        <v>17205.7</v>
      </c>
      <c r="M653" s="100">
        <v>13387.9</v>
      </c>
      <c r="N653" s="100">
        <v>18052</v>
      </c>
    </row>
    <row r="654" spans="1:14" ht="12">
      <c r="A654" t="s">
        <v>104</v>
      </c>
      <c r="B654" s="100">
        <v>643.99</v>
      </c>
      <c r="C654" s="100">
        <v>652.9</v>
      </c>
      <c r="D654" s="100">
        <v>616.4</v>
      </c>
      <c r="E654" s="100">
        <v>808.31</v>
      </c>
      <c r="F654" s="100">
        <v>827.13</v>
      </c>
      <c r="G654" s="100">
        <v>780.85</v>
      </c>
      <c r="H654" s="100">
        <v>792.45</v>
      </c>
      <c r="I654" s="100">
        <v>784.72</v>
      </c>
      <c r="J654" s="100">
        <v>840.24</v>
      </c>
      <c r="K654" s="100">
        <v>733.64</v>
      </c>
      <c r="L654" s="100">
        <v>765.29</v>
      </c>
      <c r="M654" s="100">
        <v>992.72</v>
      </c>
      <c r="N654" s="100">
        <v>877.25</v>
      </c>
    </row>
    <row r="655" spans="1:14" ht="12">
      <c r="A655" t="s">
        <v>105</v>
      </c>
      <c r="B655" s="100">
        <v>986.743</v>
      </c>
      <c r="C655" s="100">
        <v>837.092</v>
      </c>
      <c r="D655" s="100">
        <v>899.331</v>
      </c>
      <c r="E655" s="100">
        <v>985.377</v>
      </c>
      <c r="F655" s="100">
        <v>1140.594</v>
      </c>
      <c r="G655" s="100">
        <v>1053.2</v>
      </c>
      <c r="H655" s="100">
        <v>965.412</v>
      </c>
      <c r="I655" s="100">
        <v>1053.209</v>
      </c>
      <c r="J655" s="100">
        <v>1205.778</v>
      </c>
      <c r="K655" s="100">
        <v>1263.434</v>
      </c>
      <c r="L655" s="100">
        <v>1489.318</v>
      </c>
      <c r="M655" s="100">
        <v>1374.141</v>
      </c>
      <c r="N655" s="100">
        <v>1458.685</v>
      </c>
    </row>
    <row r="656" spans="1:14" ht="12">
      <c r="A656" t="s">
        <v>106</v>
      </c>
      <c r="B656" s="100">
        <v>4150</v>
      </c>
      <c r="C656" s="100">
        <v>4369</v>
      </c>
      <c r="D656" s="100">
        <v>4439</v>
      </c>
      <c r="E656" s="100">
        <v>4725</v>
      </c>
      <c r="F656" s="100">
        <v>5059</v>
      </c>
      <c r="G656" s="100">
        <v>5289</v>
      </c>
      <c r="H656" s="100">
        <v>5521</v>
      </c>
      <c r="I656" s="100">
        <v>5560</v>
      </c>
      <c r="J656" s="100">
        <v>6013</v>
      </c>
      <c r="K656" s="100">
        <v>6061</v>
      </c>
      <c r="L656" s="100">
        <v>5823</v>
      </c>
      <c r="M656" s="100">
        <v>5689</v>
      </c>
      <c r="N656" s="100">
        <v>5293</v>
      </c>
    </row>
    <row r="657" spans="1:14" ht="12">
      <c r="A657" t="s">
        <v>107</v>
      </c>
      <c r="B657" s="100">
        <v>97948</v>
      </c>
      <c r="C657" s="100">
        <v>98804</v>
      </c>
      <c r="D657" s="100">
        <v>90624</v>
      </c>
      <c r="E657" s="100">
        <v>93447</v>
      </c>
      <c r="F657" s="100">
        <v>93223</v>
      </c>
      <c r="G657" s="100">
        <v>101063</v>
      </c>
      <c r="H657" s="100">
        <v>96658</v>
      </c>
      <c r="I657" s="100">
        <v>98604</v>
      </c>
      <c r="J657" s="100">
        <v>106947</v>
      </c>
      <c r="K657" s="100">
        <v>108028</v>
      </c>
      <c r="L657" s="100">
        <v>109442</v>
      </c>
      <c r="M657" s="100">
        <v>102808</v>
      </c>
      <c r="N657" s="100">
        <v>113172</v>
      </c>
    </row>
    <row r="658" spans="1:14" ht="12">
      <c r="A658" t="s">
        <v>108</v>
      </c>
      <c r="B658" s="100">
        <v>34762</v>
      </c>
      <c r="C658" s="100">
        <v>35813</v>
      </c>
      <c r="D658" s="100">
        <v>37085</v>
      </c>
      <c r="E658" s="100">
        <v>36535</v>
      </c>
      <c r="F658" s="100">
        <v>39868</v>
      </c>
      <c r="G658" s="100">
        <v>45187</v>
      </c>
      <c r="H658" s="100">
        <v>42060</v>
      </c>
      <c r="I658" s="100">
        <v>42238</v>
      </c>
      <c r="J658" s="100">
        <v>43936</v>
      </c>
      <c r="K658" s="100">
        <v>39759</v>
      </c>
      <c r="L658" s="100">
        <v>38079</v>
      </c>
      <c r="M658" s="100">
        <v>37585</v>
      </c>
      <c r="N658" s="100">
        <v>35557</v>
      </c>
    </row>
    <row r="659" spans="1:14" ht="12">
      <c r="A659" t="s">
        <v>109</v>
      </c>
      <c r="B659" s="100">
        <v>16212.27451</v>
      </c>
      <c r="C659" s="100">
        <v>18844.47826</v>
      </c>
      <c r="D659" s="100">
        <v>23038.24496</v>
      </c>
      <c r="E659" s="100">
        <v>30250.68122</v>
      </c>
      <c r="F659" s="100">
        <v>32576.71653</v>
      </c>
      <c r="G659" s="100">
        <v>30027.04818</v>
      </c>
      <c r="H659" s="100">
        <v>27956.3473</v>
      </c>
      <c r="I659" s="100">
        <v>27474.50258</v>
      </c>
      <c r="J659" s="100">
        <v>29533.77524</v>
      </c>
      <c r="K659" s="100">
        <v>30532.15247</v>
      </c>
      <c r="L659" s="100">
        <v>32039.05266</v>
      </c>
      <c r="M659" s="100">
        <v>39863.81706</v>
      </c>
      <c r="N659" s="100">
        <v>42054.50252</v>
      </c>
    </row>
    <row r="660" spans="1:14" ht="12">
      <c r="A660" t="s">
        <v>110</v>
      </c>
      <c r="B660" s="100">
        <v>38747</v>
      </c>
      <c r="C660" s="100">
        <v>41278</v>
      </c>
      <c r="D660" s="100">
        <v>46886</v>
      </c>
      <c r="E660" s="100">
        <v>51260</v>
      </c>
      <c r="F660" s="100">
        <v>58814</v>
      </c>
      <c r="G660" s="100">
        <v>61960</v>
      </c>
      <c r="H660" s="100">
        <v>62489</v>
      </c>
      <c r="I660" s="100">
        <v>63409</v>
      </c>
      <c r="J660" s="100">
        <v>70597</v>
      </c>
      <c r="K660" s="100">
        <v>75978</v>
      </c>
      <c r="L660" s="100">
        <v>82647</v>
      </c>
      <c r="M660" s="100">
        <v>84108</v>
      </c>
      <c r="N660" s="100">
        <v>86006</v>
      </c>
    </row>
    <row r="661" spans="1:14" ht="12">
      <c r="A661" t="s">
        <v>111</v>
      </c>
      <c r="B661" s="100">
        <v>10377.0197</v>
      </c>
      <c r="C661" s="100">
        <v>10403.23156</v>
      </c>
      <c r="D661" s="100">
        <v>11395.73981</v>
      </c>
      <c r="E661" s="100">
        <v>12000.67715</v>
      </c>
      <c r="F661" s="100">
        <v>12744.96866</v>
      </c>
      <c r="G661" s="100">
        <v>13600.81747</v>
      </c>
      <c r="H661" s="100">
        <v>13757.63641</v>
      </c>
      <c r="I661" s="100">
        <v>14294.55173</v>
      </c>
      <c r="J661" s="100">
        <v>15309.8293</v>
      </c>
      <c r="K661" s="100">
        <v>15388.39733</v>
      </c>
      <c r="L661" s="100">
        <v>16057.47111</v>
      </c>
      <c r="M661" s="100">
        <v>16329.37844</v>
      </c>
      <c r="N661" s="100" t="s">
        <v>163</v>
      </c>
    </row>
    <row r="662" spans="1:14" ht="12">
      <c r="A662" t="s">
        <v>146</v>
      </c>
      <c r="B662" s="100">
        <v>126840.17122</v>
      </c>
      <c r="C662" s="100">
        <v>135604.84401</v>
      </c>
      <c r="D662" s="100">
        <v>143209.01621</v>
      </c>
      <c r="E662" s="100">
        <v>146988.39002</v>
      </c>
      <c r="F662" s="100">
        <v>164199.05594</v>
      </c>
      <c r="G662" s="100">
        <v>168913.47919</v>
      </c>
      <c r="H662" s="100">
        <v>165821.14078</v>
      </c>
      <c r="I662" s="100">
        <v>166645.68617</v>
      </c>
      <c r="J662" s="100">
        <v>170012.15483</v>
      </c>
      <c r="K662" s="100">
        <v>186584.74033</v>
      </c>
      <c r="L662" s="100">
        <v>197766.49588</v>
      </c>
      <c r="M662" s="100">
        <v>199894.36258</v>
      </c>
      <c r="N662" s="100">
        <v>204101.3985</v>
      </c>
    </row>
    <row r="663" spans="1:14" ht="12">
      <c r="A663" t="s">
        <v>145</v>
      </c>
      <c r="B663" s="100">
        <v>100850.12919</v>
      </c>
      <c r="C663" s="100">
        <v>105359.10898</v>
      </c>
      <c r="D663" s="100">
        <v>111212.17011</v>
      </c>
      <c r="E663" s="100">
        <v>116194.17509</v>
      </c>
      <c r="F663" s="100">
        <v>134808.47929</v>
      </c>
      <c r="G663" s="100">
        <v>137553.93279</v>
      </c>
      <c r="H663" s="100">
        <v>134394.86626</v>
      </c>
      <c r="I663" s="100">
        <v>132926.53466</v>
      </c>
      <c r="J663" s="100">
        <v>136852.00017</v>
      </c>
      <c r="K663" s="100">
        <v>151795.46471</v>
      </c>
      <c r="L663" s="100">
        <v>159584.5393</v>
      </c>
      <c r="M663" s="100">
        <v>161420.84627</v>
      </c>
      <c r="N663" s="100">
        <v>162939.3445</v>
      </c>
    </row>
    <row r="664" spans="1:14" ht="12">
      <c r="A664" t="s">
        <v>114</v>
      </c>
      <c r="B664" s="100">
        <v>6734.7</v>
      </c>
      <c r="C664" s="100">
        <v>7969.3</v>
      </c>
      <c r="D664" s="100">
        <v>9272.4</v>
      </c>
      <c r="E664" s="100">
        <v>10291.3</v>
      </c>
      <c r="F664" s="100">
        <v>10694.9</v>
      </c>
      <c r="G664" s="100">
        <v>12371.5</v>
      </c>
      <c r="H664" s="100">
        <v>13375.1</v>
      </c>
      <c r="I664" s="100">
        <v>13308.2</v>
      </c>
      <c r="J664" s="100">
        <v>13590.5</v>
      </c>
      <c r="K664" s="100">
        <v>14005.1</v>
      </c>
      <c r="L664" s="100">
        <v>14058.2</v>
      </c>
      <c r="M664" s="100">
        <v>14258.2</v>
      </c>
      <c r="N664" s="100">
        <v>14704.7</v>
      </c>
    </row>
    <row r="665" spans="1:14" ht="12">
      <c r="A665" t="s">
        <v>115</v>
      </c>
      <c r="B665" s="100">
        <v>347.906</v>
      </c>
      <c r="C665" s="100">
        <v>373.698</v>
      </c>
      <c r="D665" s="100">
        <v>500.186</v>
      </c>
      <c r="E665" s="100">
        <v>796.746</v>
      </c>
      <c r="F665" s="100">
        <v>807.16</v>
      </c>
      <c r="G665" s="100">
        <v>849.241</v>
      </c>
      <c r="H665" s="100">
        <v>726.374</v>
      </c>
      <c r="I665" s="100">
        <v>729.857</v>
      </c>
      <c r="J665" s="100">
        <v>1065.671</v>
      </c>
      <c r="K665" s="100">
        <v>1118.627</v>
      </c>
      <c r="L665" s="100">
        <v>1624.259</v>
      </c>
      <c r="M665" s="100">
        <v>1329.489</v>
      </c>
      <c r="N665" s="100">
        <v>1085.039</v>
      </c>
    </row>
    <row r="666" spans="1:14" ht="12">
      <c r="A666" t="s">
        <v>116</v>
      </c>
      <c r="B666" s="100">
        <v>49284</v>
      </c>
      <c r="C666" s="100">
        <v>55169</v>
      </c>
      <c r="D666" s="100">
        <v>56419</v>
      </c>
      <c r="E666" s="100">
        <v>57662</v>
      </c>
      <c r="F666" s="100">
        <v>68974</v>
      </c>
      <c r="G666" s="100">
        <v>70544</v>
      </c>
      <c r="H666" s="100">
        <v>91141</v>
      </c>
      <c r="I666" s="100">
        <v>91121</v>
      </c>
      <c r="J666" s="100">
        <v>95779</v>
      </c>
      <c r="K666" s="100">
        <v>99399</v>
      </c>
      <c r="L666" s="100">
        <v>104995</v>
      </c>
      <c r="M666" s="100">
        <v>107836</v>
      </c>
      <c r="N666" s="100">
        <v>111248</v>
      </c>
    </row>
    <row r="667" spans="1:14" ht="12">
      <c r="A667" t="s">
        <v>117</v>
      </c>
      <c r="B667" s="100">
        <v>29523</v>
      </c>
      <c r="C667" s="100">
        <v>29730</v>
      </c>
      <c r="D667" s="100">
        <v>32768</v>
      </c>
      <c r="E667" s="100">
        <v>31720</v>
      </c>
      <c r="F667" s="100">
        <v>36893</v>
      </c>
      <c r="G667" s="100">
        <v>36692</v>
      </c>
      <c r="H667" s="100">
        <v>38958</v>
      </c>
      <c r="I667" s="100">
        <v>41018</v>
      </c>
      <c r="J667" s="100">
        <v>41424</v>
      </c>
      <c r="K667" s="100">
        <v>40989</v>
      </c>
      <c r="L667" s="100">
        <v>40996</v>
      </c>
      <c r="M667" s="100">
        <v>38564</v>
      </c>
      <c r="N667" s="100">
        <v>39078</v>
      </c>
    </row>
    <row r="668" spans="1:14" ht="12">
      <c r="A668" t="s">
        <v>118</v>
      </c>
      <c r="B668" s="100">
        <v>25084</v>
      </c>
      <c r="C668" s="100">
        <v>25349</v>
      </c>
      <c r="D668" s="100">
        <v>24552</v>
      </c>
      <c r="E668" s="100">
        <v>24268</v>
      </c>
      <c r="F668" s="100">
        <v>32313</v>
      </c>
      <c r="G668" s="100">
        <v>29666</v>
      </c>
      <c r="H668" s="100">
        <v>27422</v>
      </c>
      <c r="I668" s="100">
        <v>24561</v>
      </c>
      <c r="J668" s="100">
        <v>25808</v>
      </c>
      <c r="K668" s="100">
        <v>26399</v>
      </c>
      <c r="L668" s="100">
        <v>26991</v>
      </c>
      <c r="M668" s="100">
        <v>27807</v>
      </c>
      <c r="N668" s="100">
        <v>27626</v>
      </c>
    </row>
    <row r="669" spans="1:14" ht="12">
      <c r="A669" t="s">
        <v>119</v>
      </c>
      <c r="B669" s="100">
        <v>81.4</v>
      </c>
      <c r="C669" s="100">
        <v>114.5</v>
      </c>
      <c r="D669" s="100">
        <v>138.3</v>
      </c>
      <c r="E669" s="100">
        <v>157.7</v>
      </c>
      <c r="F669" s="100">
        <v>133.6</v>
      </c>
      <c r="G669" s="100">
        <v>156.4</v>
      </c>
      <c r="H669" s="100">
        <v>163.6</v>
      </c>
      <c r="I669" s="100">
        <v>164.5</v>
      </c>
      <c r="J669" s="100">
        <v>124.8</v>
      </c>
      <c r="K669" s="100">
        <v>94.4</v>
      </c>
      <c r="L669" s="100">
        <v>98.5</v>
      </c>
      <c r="M669" s="100">
        <v>100.5</v>
      </c>
      <c r="N669" s="100">
        <v>101</v>
      </c>
    </row>
    <row r="670" spans="1:14" ht="12">
      <c r="A670" t="s">
        <v>120</v>
      </c>
      <c r="B670" s="100">
        <v>1726.04</v>
      </c>
      <c r="C670" s="100">
        <v>1677.32</v>
      </c>
      <c r="D670" s="100">
        <v>1798.07</v>
      </c>
      <c r="E670" s="100">
        <v>1921.76</v>
      </c>
      <c r="F670" s="100">
        <v>1889.5</v>
      </c>
      <c r="G670" s="100">
        <v>1828.42</v>
      </c>
      <c r="H670" s="100">
        <v>1724.59</v>
      </c>
      <c r="I670" s="100">
        <v>1910.02</v>
      </c>
      <c r="J670" s="100">
        <v>1905.94</v>
      </c>
      <c r="K670" s="100">
        <v>1863.02</v>
      </c>
      <c r="L670" s="100">
        <v>1747.95</v>
      </c>
      <c r="M670" s="100">
        <v>1727.06</v>
      </c>
      <c r="N670" s="100">
        <v>1833.26</v>
      </c>
    </row>
    <row r="671" spans="1:14" ht="12">
      <c r="A671" t="s">
        <v>121</v>
      </c>
      <c r="B671" s="100">
        <v>169</v>
      </c>
      <c r="C671" s="100">
        <v>80</v>
      </c>
      <c r="D671" s="100">
        <v>195</v>
      </c>
      <c r="E671" s="100">
        <v>99</v>
      </c>
      <c r="F671" s="100">
        <v>234</v>
      </c>
      <c r="G671" s="100">
        <v>343</v>
      </c>
      <c r="H671" s="100">
        <v>1330</v>
      </c>
      <c r="I671" s="100">
        <v>1511</v>
      </c>
      <c r="J671" s="100">
        <v>2104</v>
      </c>
      <c r="K671" s="100">
        <v>1754</v>
      </c>
      <c r="L671" s="100">
        <v>1739</v>
      </c>
      <c r="M671" s="100">
        <v>1802</v>
      </c>
      <c r="N671" s="100">
        <v>1668</v>
      </c>
    </row>
    <row r="672" spans="1:14" ht="12">
      <c r="A672" t="s">
        <v>122</v>
      </c>
      <c r="B672" s="100">
        <v>9728</v>
      </c>
      <c r="C672" s="100">
        <v>10429</v>
      </c>
      <c r="D672" s="100">
        <v>11857</v>
      </c>
      <c r="E672" s="100">
        <v>12364</v>
      </c>
      <c r="F672" s="100">
        <v>12438</v>
      </c>
      <c r="G672" s="100">
        <v>12302</v>
      </c>
      <c r="H672" s="100">
        <v>12117</v>
      </c>
      <c r="I672" s="100">
        <v>9907</v>
      </c>
      <c r="J672" s="100">
        <v>10755</v>
      </c>
      <c r="K672" s="100">
        <v>11326</v>
      </c>
      <c r="L672" s="100">
        <v>12272</v>
      </c>
      <c r="M672" s="100">
        <v>11299</v>
      </c>
      <c r="N672" s="100">
        <v>11930</v>
      </c>
    </row>
    <row r="673" spans="1:14" ht="12">
      <c r="A673" t="s">
        <v>123</v>
      </c>
      <c r="B673" s="100">
        <v>24013</v>
      </c>
      <c r="C673" s="100">
        <v>25094</v>
      </c>
      <c r="D673" s="100">
        <v>26867</v>
      </c>
      <c r="E673" s="100">
        <v>29051</v>
      </c>
      <c r="F673" s="100">
        <v>34500</v>
      </c>
      <c r="G673" s="100">
        <v>36411</v>
      </c>
      <c r="H673" s="100">
        <v>34734</v>
      </c>
      <c r="I673" s="100">
        <v>36289</v>
      </c>
      <c r="J673" s="100">
        <v>36437</v>
      </c>
      <c r="K673" s="100">
        <v>47201</v>
      </c>
      <c r="L673" s="100">
        <v>56094</v>
      </c>
      <c r="M673" s="100">
        <v>55931</v>
      </c>
      <c r="N673" s="100">
        <v>58697</v>
      </c>
    </row>
    <row r="674" spans="1:14" ht="12">
      <c r="A674" t="s">
        <v>124</v>
      </c>
      <c r="B674" s="100">
        <v>6356.26422</v>
      </c>
      <c r="C674" s="100">
        <v>6920.00646</v>
      </c>
      <c r="D674" s="100">
        <v>7872.4537</v>
      </c>
      <c r="E674" s="100">
        <v>8516.71689</v>
      </c>
      <c r="F674" s="100">
        <v>8375.40137</v>
      </c>
      <c r="G674" s="100">
        <v>8189.09533</v>
      </c>
      <c r="H674" s="100">
        <v>7924.54962</v>
      </c>
      <c r="I674" s="100">
        <v>7176.91886</v>
      </c>
      <c r="J674" s="100">
        <v>6759.84924</v>
      </c>
      <c r="K674" s="100">
        <v>5695.87608</v>
      </c>
      <c r="L674" s="100">
        <v>4840.44791</v>
      </c>
      <c r="M674" s="100">
        <v>5344.09348</v>
      </c>
      <c r="N674" s="100">
        <v>6208.4574</v>
      </c>
    </row>
    <row r="675" spans="1:14" ht="12">
      <c r="A675" t="s">
        <v>125</v>
      </c>
      <c r="B675" s="100">
        <v>17306</v>
      </c>
      <c r="C675" s="100">
        <v>17990</v>
      </c>
      <c r="D675" s="100">
        <v>18570</v>
      </c>
      <c r="E675" s="100">
        <v>18801</v>
      </c>
      <c r="F675" s="100">
        <v>21612</v>
      </c>
      <c r="G675" s="100">
        <v>23237</v>
      </c>
      <c r="H675" s="100">
        <v>23521</v>
      </c>
      <c r="I675" s="100">
        <v>25864</v>
      </c>
      <c r="J675" s="100">
        <v>27547</v>
      </c>
      <c r="K675" s="100">
        <v>30413</v>
      </c>
      <c r="L675" s="100">
        <v>28177</v>
      </c>
      <c r="M675" s="100">
        <v>29359</v>
      </c>
      <c r="N675" s="100">
        <v>26387</v>
      </c>
    </row>
    <row r="676" spans="1:14" ht="12">
      <c r="A676" t="s">
        <v>126</v>
      </c>
      <c r="B676" s="100">
        <v>94.5</v>
      </c>
      <c r="C676" s="100">
        <v>76.7</v>
      </c>
      <c r="D676" s="100">
        <v>65.4</v>
      </c>
      <c r="E676" s="100">
        <v>70</v>
      </c>
      <c r="F676" s="100">
        <v>32</v>
      </c>
      <c r="G676" s="100">
        <v>61.5</v>
      </c>
      <c r="H676" s="100">
        <v>85.2</v>
      </c>
      <c r="I676" s="100">
        <v>94.9</v>
      </c>
      <c r="J676" s="100">
        <v>95.1</v>
      </c>
      <c r="K676" s="100">
        <v>79.6</v>
      </c>
      <c r="L676" s="100">
        <v>71.5</v>
      </c>
      <c r="M676" s="100">
        <v>97.2</v>
      </c>
      <c r="N676" s="100">
        <v>55.1</v>
      </c>
    </row>
    <row r="677" spans="1:14" ht="12">
      <c r="A677" t="s">
        <v>127</v>
      </c>
      <c r="B677" s="100">
        <v>70.32</v>
      </c>
      <c r="C677" s="100">
        <v>105.6</v>
      </c>
      <c r="D677" s="100">
        <v>196.43</v>
      </c>
      <c r="E677" s="100">
        <v>334.47</v>
      </c>
      <c r="F677" s="100">
        <v>309.94</v>
      </c>
      <c r="G677" s="100">
        <v>247.79</v>
      </c>
      <c r="H677" s="100">
        <v>212.54</v>
      </c>
      <c r="I677" s="100">
        <v>310.02</v>
      </c>
      <c r="J677" s="100">
        <v>344.3</v>
      </c>
      <c r="K677" s="100">
        <v>409.07</v>
      </c>
      <c r="L677" s="100">
        <v>309.51</v>
      </c>
      <c r="M677" s="100">
        <v>300.8</v>
      </c>
      <c r="N677" s="100">
        <v>352.65</v>
      </c>
    </row>
    <row r="678" spans="1:14" ht="12">
      <c r="A678" t="s">
        <v>128</v>
      </c>
      <c r="B678" s="100">
        <v>141.76324</v>
      </c>
      <c r="C678" s="100">
        <v>161.90306</v>
      </c>
      <c r="D678" s="100">
        <v>255.574</v>
      </c>
      <c r="E678" s="100">
        <v>220.84135</v>
      </c>
      <c r="F678" s="100">
        <v>170.43594</v>
      </c>
      <c r="G678" s="100">
        <v>137.98882</v>
      </c>
      <c r="H678" s="100">
        <v>122.57064</v>
      </c>
      <c r="I678" s="100">
        <v>104.823</v>
      </c>
      <c r="J678" s="100">
        <v>115.63317</v>
      </c>
      <c r="K678" s="100">
        <v>118.7382</v>
      </c>
      <c r="L678" s="100">
        <v>147.57131</v>
      </c>
      <c r="M678" s="100">
        <v>162.03366</v>
      </c>
      <c r="N678" s="100">
        <v>144.14203</v>
      </c>
    </row>
    <row r="679" spans="1:14" ht="12">
      <c r="A679" t="s">
        <v>129</v>
      </c>
      <c r="B679" s="100">
        <v>378.74191</v>
      </c>
      <c r="C679" s="100">
        <v>399.06582</v>
      </c>
      <c r="D679" s="100">
        <v>460.20062</v>
      </c>
      <c r="E679" s="100">
        <v>471.99191</v>
      </c>
      <c r="F679" s="100">
        <v>480.94535</v>
      </c>
      <c r="G679" s="100">
        <v>503.67661</v>
      </c>
      <c r="H679" s="100">
        <v>527.06797</v>
      </c>
      <c r="I679" s="100">
        <v>606.53461</v>
      </c>
      <c r="J679" s="100">
        <v>671.91385</v>
      </c>
      <c r="K679" s="100">
        <v>714.88953</v>
      </c>
      <c r="L679" s="100">
        <v>724.17603</v>
      </c>
      <c r="M679" s="100">
        <v>676.28712</v>
      </c>
      <c r="N679" s="100">
        <v>728.3661</v>
      </c>
    </row>
    <row r="680" spans="1:14" ht="12">
      <c r="A680" t="s">
        <v>130</v>
      </c>
      <c r="B680" s="100">
        <v>297976</v>
      </c>
      <c r="C680" s="100">
        <v>340035</v>
      </c>
      <c r="D680" s="100">
        <v>354863</v>
      </c>
      <c r="E680" s="100">
        <v>300121</v>
      </c>
      <c r="F680" s="100">
        <v>248674</v>
      </c>
      <c r="G680" s="100">
        <v>292695</v>
      </c>
      <c r="H680" s="100">
        <v>348101</v>
      </c>
      <c r="I680" s="100">
        <v>397146</v>
      </c>
      <c r="J680" s="100">
        <v>389353</v>
      </c>
      <c r="K680" s="100">
        <v>421881.114</v>
      </c>
      <c r="L680" s="100">
        <v>427233.613</v>
      </c>
      <c r="M680" s="100">
        <v>479002.93468</v>
      </c>
      <c r="N680" s="100">
        <v>499514.05</v>
      </c>
    </row>
    <row r="681" spans="1:14" ht="12">
      <c r="A681" t="s">
        <v>131</v>
      </c>
      <c r="B681" s="100">
        <v>85.2202</v>
      </c>
      <c r="C681" s="100">
        <v>93.83533</v>
      </c>
      <c r="D681" s="100">
        <v>97.87991</v>
      </c>
      <c r="E681" s="100">
        <v>115.05336</v>
      </c>
      <c r="F681" s="100">
        <v>49.99101</v>
      </c>
      <c r="G681" s="100">
        <v>52.84877</v>
      </c>
      <c r="H681" s="100">
        <v>51.0196</v>
      </c>
      <c r="I681" s="100">
        <v>76.88195</v>
      </c>
      <c r="J681" s="100">
        <v>80.27115</v>
      </c>
      <c r="K681" s="100">
        <v>104.99299</v>
      </c>
      <c r="L681" s="100">
        <v>111.69996</v>
      </c>
      <c r="M681" s="100">
        <v>132.0025</v>
      </c>
      <c r="N681" s="100">
        <v>132.18638</v>
      </c>
    </row>
    <row r="682" spans="1:14" ht="12">
      <c r="A682" t="s">
        <v>132</v>
      </c>
      <c r="B682" s="100">
        <v>6827</v>
      </c>
      <c r="C682" s="100">
        <v>6938</v>
      </c>
      <c r="D682" s="100">
        <v>7974</v>
      </c>
      <c r="E682" s="100">
        <v>8305</v>
      </c>
      <c r="F682" s="100">
        <v>10110</v>
      </c>
      <c r="G682" s="100">
        <v>10398</v>
      </c>
      <c r="H682" s="100">
        <v>9674</v>
      </c>
      <c r="I682" s="100">
        <v>8929</v>
      </c>
      <c r="J682" s="100">
        <v>8211</v>
      </c>
      <c r="K682" s="100">
        <v>8021</v>
      </c>
      <c r="L682" s="100">
        <v>7804</v>
      </c>
      <c r="M682" s="100">
        <v>8406</v>
      </c>
      <c r="N682" s="100">
        <v>9061</v>
      </c>
    </row>
    <row r="683" spans="1:14" ht="12">
      <c r="A683" t="s">
        <v>133</v>
      </c>
      <c r="B683" s="100">
        <v>4102.31</v>
      </c>
      <c r="C683" s="100">
        <v>4273.44</v>
      </c>
      <c r="D683" s="100">
        <v>4234.23</v>
      </c>
      <c r="E683" s="100">
        <v>4626.33</v>
      </c>
      <c r="F683" s="100">
        <v>4706.49</v>
      </c>
      <c r="G683" s="100">
        <v>4621.63</v>
      </c>
      <c r="H683" s="100">
        <v>4568.21</v>
      </c>
      <c r="I683" s="100">
        <v>4709.11</v>
      </c>
      <c r="J683" s="100">
        <v>4378.88</v>
      </c>
      <c r="K683" s="100">
        <v>4524.02</v>
      </c>
      <c r="L683" s="100">
        <v>4499.13</v>
      </c>
      <c r="M683" s="100">
        <v>4985.55</v>
      </c>
      <c r="N683" s="100">
        <v>5312.3</v>
      </c>
    </row>
    <row r="684" spans="1:14" ht="12">
      <c r="A684" t="s">
        <v>134</v>
      </c>
      <c r="B684" s="100">
        <v>7608</v>
      </c>
      <c r="C684" s="100">
        <v>9167</v>
      </c>
      <c r="D684" s="100">
        <v>10934</v>
      </c>
      <c r="E684" s="100">
        <v>12897</v>
      </c>
      <c r="F684" s="100">
        <v>12044</v>
      </c>
      <c r="G684" s="100">
        <v>13001</v>
      </c>
      <c r="H684" s="100">
        <v>11772</v>
      </c>
      <c r="I684" s="100">
        <v>11379</v>
      </c>
      <c r="J684" s="100">
        <v>11032</v>
      </c>
      <c r="K684" s="100">
        <v>11277.8</v>
      </c>
      <c r="L684" s="100">
        <v>8641.7</v>
      </c>
      <c r="M684" s="100">
        <v>9867</v>
      </c>
      <c r="N684" s="100">
        <v>10086</v>
      </c>
    </row>
    <row r="685" spans="1:14" ht="12">
      <c r="A685" t="s">
        <v>135</v>
      </c>
      <c r="B685" s="100">
        <v>1437.693</v>
      </c>
      <c r="C685" s="100">
        <v>1435.429</v>
      </c>
      <c r="D685" s="100">
        <v>1337.045</v>
      </c>
      <c r="E685" s="100">
        <v>1154.136</v>
      </c>
      <c r="F685" s="100">
        <v>1258.351</v>
      </c>
      <c r="G685" s="100">
        <v>1295.421</v>
      </c>
      <c r="H685" s="100">
        <v>1168.459</v>
      </c>
      <c r="I685" s="100">
        <v>1018.372</v>
      </c>
      <c r="J685" s="100">
        <v>1031.491</v>
      </c>
      <c r="K685" s="100">
        <v>1229.866</v>
      </c>
      <c r="L685" s="100">
        <v>1123.806</v>
      </c>
      <c r="M685" s="100">
        <v>974.972</v>
      </c>
      <c r="N685" s="100">
        <v>866.35</v>
      </c>
    </row>
    <row r="686" spans="1:14" ht="12">
      <c r="A686" t="s">
        <v>136</v>
      </c>
      <c r="B686" s="100">
        <v>4953.2</v>
      </c>
      <c r="C686" s="100">
        <v>6801.4</v>
      </c>
      <c r="D686" s="100">
        <v>6403.5</v>
      </c>
      <c r="E686" s="100">
        <v>5727.2</v>
      </c>
      <c r="F686" s="100">
        <v>5582.6</v>
      </c>
      <c r="G686" s="100">
        <v>5366.4</v>
      </c>
      <c r="H686" s="100">
        <v>4806.7</v>
      </c>
      <c r="I686" s="100">
        <v>3885.9</v>
      </c>
      <c r="J686" s="100">
        <v>3449.6</v>
      </c>
      <c r="K686" s="100">
        <v>3159.2</v>
      </c>
      <c r="L686" s="100">
        <v>3499.2</v>
      </c>
      <c r="M686" s="100">
        <v>3199.9</v>
      </c>
      <c r="N686" s="100">
        <v>3651.5</v>
      </c>
    </row>
    <row r="687" spans="1:14" ht="12">
      <c r="A687" t="s">
        <v>137</v>
      </c>
      <c r="B687" s="100">
        <v>435.29</v>
      </c>
      <c r="C687" s="100">
        <v>490.93</v>
      </c>
      <c r="D687" s="100">
        <v>550.23</v>
      </c>
      <c r="E687" s="100">
        <v>593.1</v>
      </c>
      <c r="F687" s="100">
        <v>665.34</v>
      </c>
      <c r="G687" s="100">
        <v>648.46</v>
      </c>
      <c r="H687" s="100">
        <v>377.01</v>
      </c>
      <c r="I687" s="100">
        <v>329.21</v>
      </c>
      <c r="J687" s="100">
        <v>379.53</v>
      </c>
      <c r="K687" s="100">
        <v>328.95</v>
      </c>
      <c r="L687" s="100">
        <v>319.76</v>
      </c>
      <c r="M687" s="100">
        <v>314.84</v>
      </c>
      <c r="N687" s="100">
        <v>322.63</v>
      </c>
    </row>
    <row r="688" spans="1:14" ht="12">
      <c r="A688" t="s">
        <v>138</v>
      </c>
      <c r="B688" s="100">
        <v>458.802</v>
      </c>
      <c r="C688" s="100">
        <v>522.469</v>
      </c>
      <c r="D688" s="100">
        <v>528.448</v>
      </c>
      <c r="E688" s="100">
        <v>919.869</v>
      </c>
      <c r="F688" s="100">
        <v>734.258</v>
      </c>
      <c r="G688" s="100">
        <v>623.359</v>
      </c>
      <c r="H688" s="100">
        <v>498.551</v>
      </c>
      <c r="I688" s="100">
        <v>490.516</v>
      </c>
      <c r="J688" s="100">
        <v>574.001</v>
      </c>
      <c r="K688" s="100">
        <v>519.818</v>
      </c>
      <c r="L688" s="100">
        <v>463.736</v>
      </c>
      <c r="M688" s="100">
        <v>376.401</v>
      </c>
      <c r="N688" s="100">
        <v>362.66</v>
      </c>
    </row>
    <row r="689" spans="1:14" ht="12">
      <c r="A689" t="s">
        <v>139</v>
      </c>
      <c r="B689" s="100">
        <v>2075</v>
      </c>
      <c r="C689" s="100">
        <v>2256</v>
      </c>
      <c r="D689" s="100">
        <v>2319</v>
      </c>
      <c r="E689" s="100">
        <v>2463</v>
      </c>
      <c r="F689" s="100">
        <v>2477</v>
      </c>
      <c r="G689" s="100">
        <v>2650</v>
      </c>
      <c r="H689" s="100">
        <v>2724</v>
      </c>
      <c r="I689" s="100">
        <v>2740</v>
      </c>
      <c r="J689" s="100">
        <v>2697</v>
      </c>
      <c r="K689" s="100">
        <v>2689</v>
      </c>
      <c r="L689" s="100">
        <v>2832</v>
      </c>
      <c r="M689" s="100">
        <v>2711</v>
      </c>
      <c r="N689" s="100">
        <v>2655</v>
      </c>
    </row>
    <row r="690" spans="1:14" ht="12">
      <c r="A690" t="s">
        <v>140</v>
      </c>
      <c r="B690" s="100">
        <v>40715</v>
      </c>
      <c r="C690" s="100">
        <v>45211</v>
      </c>
      <c r="D690" s="100">
        <v>46546</v>
      </c>
      <c r="E690" s="100">
        <v>49337</v>
      </c>
      <c r="F690" s="100">
        <v>50597</v>
      </c>
      <c r="G690" s="100">
        <v>55412</v>
      </c>
      <c r="H690" s="100">
        <v>59750</v>
      </c>
      <c r="I690" s="100">
        <v>61974</v>
      </c>
      <c r="J690" s="100">
        <v>62900</v>
      </c>
      <c r="K690" s="100">
        <v>66605</v>
      </c>
      <c r="L690" s="100">
        <v>66426</v>
      </c>
      <c r="M690" s="100">
        <v>69662</v>
      </c>
      <c r="N690" s="100">
        <v>71810</v>
      </c>
    </row>
    <row r="691" spans="1:14" ht="12">
      <c r="A691" t="s">
        <v>141</v>
      </c>
      <c r="B691" s="100">
        <v>7173</v>
      </c>
      <c r="C691" s="100">
        <v>8674</v>
      </c>
      <c r="D691" s="100">
        <v>8886</v>
      </c>
      <c r="E691" s="100">
        <v>8831</v>
      </c>
      <c r="F691" s="100">
        <v>9374</v>
      </c>
      <c r="G691" s="100">
        <v>9165</v>
      </c>
      <c r="H691" s="100">
        <v>7985</v>
      </c>
      <c r="I691" s="100">
        <v>9061</v>
      </c>
      <c r="J691" s="100">
        <v>8910</v>
      </c>
      <c r="K691" s="100">
        <v>9891</v>
      </c>
      <c r="L691" s="100">
        <v>11641</v>
      </c>
      <c r="M691" s="100">
        <v>13150</v>
      </c>
      <c r="N691" s="100">
        <v>15832</v>
      </c>
    </row>
    <row r="692" spans="1:14" ht="12">
      <c r="A692" t="s">
        <v>142</v>
      </c>
      <c r="B692" s="100">
        <v>20808.01169</v>
      </c>
      <c r="C692" s="100">
        <v>20348.0214</v>
      </c>
      <c r="D692" s="100">
        <v>23517.79538</v>
      </c>
      <c r="E692" s="100">
        <v>27593.71661</v>
      </c>
      <c r="F692" s="100">
        <v>28285.91194</v>
      </c>
      <c r="G692" s="100">
        <v>27761.83294</v>
      </c>
      <c r="H692" s="100">
        <v>29154.48254</v>
      </c>
      <c r="I692" s="100">
        <v>30485.01964</v>
      </c>
      <c r="J692" s="100">
        <v>31070.15854</v>
      </c>
      <c r="K692" s="100">
        <v>29476.55539</v>
      </c>
      <c r="L692" s="100">
        <v>29884.929</v>
      </c>
      <c r="M692" s="100">
        <v>34555.77166</v>
      </c>
      <c r="N692" s="100">
        <v>37867.61012</v>
      </c>
    </row>
    <row r="693" spans="1:14" ht="12">
      <c r="A693" t="s">
        <v>143</v>
      </c>
      <c r="B693" s="100">
        <v>39903</v>
      </c>
      <c r="C693" s="100">
        <v>40591</v>
      </c>
      <c r="D693" s="100">
        <v>40693</v>
      </c>
      <c r="E693" s="100">
        <v>44989</v>
      </c>
      <c r="F693" s="100">
        <v>49311</v>
      </c>
      <c r="G693" s="100">
        <v>52383</v>
      </c>
      <c r="H693" s="100">
        <v>53311</v>
      </c>
      <c r="I693" s="100">
        <v>55603</v>
      </c>
      <c r="J693" s="100">
        <v>57378</v>
      </c>
      <c r="K693" s="100">
        <v>59849</v>
      </c>
      <c r="L693" s="100">
        <v>64200</v>
      </c>
      <c r="M693" s="100">
        <v>67212</v>
      </c>
      <c r="N693" s="100">
        <v>70422</v>
      </c>
    </row>
    <row r="694" spans="1:14" ht="12">
      <c r="A694" t="s">
        <v>144</v>
      </c>
      <c r="B694" s="100">
        <v>16572.35697</v>
      </c>
      <c r="C694" s="100">
        <v>16542.70396</v>
      </c>
      <c r="D694" s="100">
        <v>15490.00567</v>
      </c>
      <c r="E694" s="100">
        <v>15638.3735</v>
      </c>
      <c r="F694" s="100">
        <v>16612.44427</v>
      </c>
      <c r="G694" s="100">
        <v>16736.88382</v>
      </c>
      <c r="H694" s="100">
        <v>17734.47637</v>
      </c>
      <c r="I694" s="100">
        <v>19056.80577</v>
      </c>
      <c r="J694" s="100">
        <v>19175.0261</v>
      </c>
      <c r="K694" s="100">
        <v>19198.82639</v>
      </c>
      <c r="L694" s="100">
        <v>19709.40957</v>
      </c>
      <c r="M694" s="100">
        <v>20352.52424</v>
      </c>
      <c r="N694" s="100" t="s">
        <v>163</v>
      </c>
    </row>
    <row r="695" spans="1:14" ht="12">
      <c r="A695" t="s">
        <v>689</v>
      </c>
      <c r="B695" s="100">
        <v>310948.43651</v>
      </c>
      <c r="C695" s="100">
        <v>317491.91684</v>
      </c>
      <c r="D695" s="100">
        <v>343285.56026</v>
      </c>
      <c r="E695" s="100">
        <v>352778.46361</v>
      </c>
      <c r="F695" s="100">
        <v>320250.34502</v>
      </c>
      <c r="G695" s="100">
        <v>345728.32714</v>
      </c>
      <c r="H695" s="100">
        <v>383973.45417</v>
      </c>
      <c r="I695" s="100">
        <v>388087.41716</v>
      </c>
      <c r="J695" s="100">
        <v>367295.61642</v>
      </c>
      <c r="K695" s="100">
        <v>350275.21401</v>
      </c>
      <c r="L695" s="100">
        <v>328462.93292</v>
      </c>
      <c r="M695" s="100">
        <v>310863.98656</v>
      </c>
      <c r="N695" s="100">
        <v>304977.15906</v>
      </c>
    </row>
    <row r="696" spans="1:14" ht="12">
      <c r="A696" t="s">
        <v>690</v>
      </c>
      <c r="B696" s="100">
        <v>247915.72065</v>
      </c>
      <c r="C696" s="100">
        <v>252177.54816</v>
      </c>
      <c r="D696" s="100">
        <v>270250.81338</v>
      </c>
      <c r="E696" s="100">
        <v>284333.5634</v>
      </c>
      <c r="F696" s="100">
        <v>263029.34806</v>
      </c>
      <c r="G696" s="100">
        <v>265354.37463</v>
      </c>
      <c r="H696" s="100">
        <v>294545.71008</v>
      </c>
      <c r="I696" s="100">
        <v>297964.78755</v>
      </c>
      <c r="J696" s="100">
        <v>279540.89206</v>
      </c>
      <c r="K696" s="100">
        <v>263305.31905</v>
      </c>
      <c r="L696" s="100">
        <v>243134.33535</v>
      </c>
      <c r="M696" s="100">
        <v>228826.36181</v>
      </c>
      <c r="N696" s="100">
        <v>220002.34581</v>
      </c>
    </row>
    <row r="697" spans="1:14" ht="12">
      <c r="A697" t="s">
        <v>691</v>
      </c>
      <c r="B697" s="100">
        <v>13580</v>
      </c>
      <c r="C697" s="100">
        <v>13382.2</v>
      </c>
      <c r="D697" s="100">
        <v>13728.8</v>
      </c>
      <c r="E697" s="100">
        <v>14035.1</v>
      </c>
      <c r="F697" s="100">
        <v>13341.6</v>
      </c>
      <c r="G697" s="100">
        <v>13175.5</v>
      </c>
      <c r="H697" s="100">
        <v>13645.2</v>
      </c>
      <c r="I697" s="100">
        <v>13976.2</v>
      </c>
      <c r="J697" s="100">
        <v>12978.2</v>
      </c>
      <c r="K697" s="100">
        <v>13058.2</v>
      </c>
      <c r="L697" s="100">
        <v>12418.8</v>
      </c>
      <c r="M697" s="100">
        <v>12116.2</v>
      </c>
      <c r="N697" s="100">
        <v>10776.1</v>
      </c>
    </row>
    <row r="698" spans="1:14" ht="12">
      <c r="A698" t="s">
        <v>692</v>
      </c>
      <c r="B698" s="100">
        <v>731.8</v>
      </c>
      <c r="C698" s="100">
        <v>690.955</v>
      </c>
      <c r="D698" s="100">
        <v>708.894</v>
      </c>
      <c r="E698" s="100">
        <v>610.514</v>
      </c>
      <c r="F698" s="100">
        <v>530.606</v>
      </c>
      <c r="G698" s="100">
        <v>520.685</v>
      </c>
      <c r="H698" s="100">
        <v>581.786</v>
      </c>
      <c r="I698" s="100">
        <v>653.598</v>
      </c>
      <c r="J698" s="100">
        <v>602.688</v>
      </c>
      <c r="K698" s="100">
        <v>723.149</v>
      </c>
      <c r="L698" s="100">
        <v>823.111</v>
      </c>
      <c r="M698" s="100">
        <v>840.966</v>
      </c>
      <c r="N698" s="100">
        <v>785.605</v>
      </c>
    </row>
    <row r="699" spans="1:14" ht="12">
      <c r="A699" t="s">
        <v>693</v>
      </c>
      <c r="B699" s="100">
        <v>35364</v>
      </c>
      <c r="C699" s="100">
        <v>36382</v>
      </c>
      <c r="D699" s="100">
        <v>41174</v>
      </c>
      <c r="E699" s="100">
        <v>40329</v>
      </c>
      <c r="F699" s="100">
        <v>48724</v>
      </c>
      <c r="G699" s="100">
        <v>52329</v>
      </c>
      <c r="H699" s="100">
        <v>53425</v>
      </c>
      <c r="I699" s="100">
        <v>58704</v>
      </c>
      <c r="J699" s="100">
        <v>55284</v>
      </c>
      <c r="K699" s="100">
        <v>56721</v>
      </c>
      <c r="L699" s="100">
        <v>49327</v>
      </c>
      <c r="M699" s="100">
        <v>44112</v>
      </c>
      <c r="N699" s="100">
        <v>37819</v>
      </c>
    </row>
    <row r="700" spans="1:14" ht="12">
      <c r="A700" t="s">
        <v>694</v>
      </c>
      <c r="B700" s="100">
        <v>32600</v>
      </c>
      <c r="C700" s="100">
        <v>30122</v>
      </c>
      <c r="D700" s="100">
        <v>28154</v>
      </c>
      <c r="E700" s="100">
        <v>25847</v>
      </c>
      <c r="F700" s="100">
        <v>33029</v>
      </c>
      <c r="G700" s="100">
        <v>34411</v>
      </c>
      <c r="H700" s="100">
        <v>36401</v>
      </c>
      <c r="I700" s="100">
        <v>34287</v>
      </c>
      <c r="J700" s="100">
        <v>32099</v>
      </c>
      <c r="K700" s="100">
        <v>29159</v>
      </c>
      <c r="L700" s="100">
        <v>31866</v>
      </c>
      <c r="M700" s="100">
        <v>28029</v>
      </c>
      <c r="N700" s="100">
        <v>22928</v>
      </c>
    </row>
    <row r="701" spans="1:14" ht="12">
      <c r="A701" t="s">
        <v>695</v>
      </c>
      <c r="B701" s="100">
        <v>63118</v>
      </c>
      <c r="C701" s="100">
        <v>64684</v>
      </c>
      <c r="D701" s="100">
        <v>66994</v>
      </c>
      <c r="E701" s="100">
        <v>68469</v>
      </c>
      <c r="F701" s="100">
        <v>64962</v>
      </c>
      <c r="G701" s="100">
        <v>63850</v>
      </c>
      <c r="H701" s="100">
        <v>67500</v>
      </c>
      <c r="I701" s="100">
        <v>63088</v>
      </c>
      <c r="J701" s="100">
        <v>55517</v>
      </c>
      <c r="K701" s="100">
        <v>45259</v>
      </c>
      <c r="L701" s="100">
        <v>40406</v>
      </c>
      <c r="M701" s="100">
        <v>35407</v>
      </c>
      <c r="N701" s="100">
        <v>34303</v>
      </c>
    </row>
    <row r="702" spans="1:14" ht="12">
      <c r="A702" t="s">
        <v>696</v>
      </c>
      <c r="B702" s="100">
        <v>21.4</v>
      </c>
      <c r="C702" s="100">
        <v>22.5</v>
      </c>
      <c r="D702" s="100">
        <v>26.9</v>
      </c>
      <c r="E702" s="100">
        <v>34.1</v>
      </c>
      <c r="F702" s="100">
        <v>26.8</v>
      </c>
      <c r="G702" s="100">
        <v>19.4</v>
      </c>
      <c r="H702" s="100">
        <v>21.5</v>
      </c>
      <c r="I702" s="100">
        <v>26</v>
      </c>
      <c r="J702" s="100">
        <v>21.4</v>
      </c>
      <c r="K702" s="100">
        <v>20.6</v>
      </c>
      <c r="L702" s="100">
        <v>18.7</v>
      </c>
      <c r="M702" s="100">
        <v>10.9</v>
      </c>
      <c r="N702" s="100">
        <v>9.1</v>
      </c>
    </row>
    <row r="703" spans="1:14" ht="12">
      <c r="A703" t="s">
        <v>697</v>
      </c>
      <c r="B703" s="100">
        <v>1741.62</v>
      </c>
      <c r="C703" s="100">
        <v>1850.29</v>
      </c>
      <c r="D703" s="100">
        <v>1985.08</v>
      </c>
      <c r="E703" s="100">
        <v>2402.97</v>
      </c>
      <c r="F703" s="100">
        <v>3416.44</v>
      </c>
      <c r="G703" s="100">
        <v>4747.62</v>
      </c>
      <c r="H703" s="100">
        <v>5768.33</v>
      </c>
      <c r="I703" s="100">
        <v>7297.71</v>
      </c>
      <c r="J703" s="100">
        <v>7759.99</v>
      </c>
      <c r="K703" s="100">
        <v>7588.8</v>
      </c>
      <c r="L703" s="100">
        <v>6848.78</v>
      </c>
      <c r="M703" s="100">
        <v>6165.07</v>
      </c>
      <c r="N703" s="100">
        <v>5810.84</v>
      </c>
    </row>
    <row r="704" spans="1:14" ht="12">
      <c r="A704" t="s">
        <v>698</v>
      </c>
      <c r="B704" s="100">
        <v>9369</v>
      </c>
      <c r="C704" s="100">
        <v>9650</v>
      </c>
      <c r="D704" s="100">
        <v>10491</v>
      </c>
      <c r="E704" s="100">
        <v>11699</v>
      </c>
      <c r="F704" s="100">
        <v>11993</v>
      </c>
      <c r="G704" s="100">
        <v>13258</v>
      </c>
      <c r="H704" s="100">
        <v>15078</v>
      </c>
      <c r="I704" s="100">
        <v>9749</v>
      </c>
      <c r="J704" s="100">
        <v>7282</v>
      </c>
      <c r="K704" s="100">
        <v>7101</v>
      </c>
      <c r="L704" s="100">
        <v>6255</v>
      </c>
      <c r="M704" s="100">
        <v>5618</v>
      </c>
      <c r="N704" s="100">
        <v>5629</v>
      </c>
    </row>
    <row r="705" spans="1:14" ht="12">
      <c r="A705" t="s">
        <v>699</v>
      </c>
      <c r="B705" s="100">
        <v>16236</v>
      </c>
      <c r="C705" s="100">
        <v>16118</v>
      </c>
      <c r="D705" s="100">
        <v>16915</v>
      </c>
      <c r="E705" s="100">
        <v>17298</v>
      </c>
      <c r="F705" s="100">
        <v>18393</v>
      </c>
      <c r="G705" s="100">
        <v>20289</v>
      </c>
      <c r="H705" s="100">
        <v>26365</v>
      </c>
      <c r="I705" s="100">
        <v>30973</v>
      </c>
      <c r="J705" s="100">
        <v>35668</v>
      </c>
      <c r="K705" s="100">
        <v>36065</v>
      </c>
      <c r="L705" s="100">
        <v>33292</v>
      </c>
      <c r="M705" s="100">
        <v>31415</v>
      </c>
      <c r="N705" s="100">
        <v>29847</v>
      </c>
    </row>
    <row r="706" spans="1:14" ht="12">
      <c r="A706" t="s">
        <v>700</v>
      </c>
      <c r="B706" s="100">
        <v>47807</v>
      </c>
      <c r="C706" s="100">
        <v>48186</v>
      </c>
      <c r="D706" s="100">
        <v>52333</v>
      </c>
      <c r="E706" s="100">
        <v>57448</v>
      </c>
      <c r="F706" s="100">
        <v>49370</v>
      </c>
      <c r="G706" s="100">
        <v>50548</v>
      </c>
      <c r="H706" s="100">
        <v>55833</v>
      </c>
      <c r="I706" s="100">
        <v>54821</v>
      </c>
      <c r="J706" s="100">
        <v>49002</v>
      </c>
      <c r="K706" s="100">
        <v>46572</v>
      </c>
      <c r="L706" s="100">
        <v>43942</v>
      </c>
      <c r="M706" s="100">
        <v>42119</v>
      </c>
      <c r="N706" s="100">
        <v>40424</v>
      </c>
    </row>
    <row r="707" spans="1:14" ht="12">
      <c r="A707" t="s">
        <v>701</v>
      </c>
      <c r="B707" s="100">
        <v>5257.52758</v>
      </c>
      <c r="C707" s="100">
        <v>5542.81066</v>
      </c>
      <c r="D707" s="100">
        <v>6008.42229</v>
      </c>
      <c r="E707" s="100">
        <v>6837.9646</v>
      </c>
      <c r="F707" s="100">
        <v>7693.39723</v>
      </c>
      <c r="G707" s="100">
        <v>8120.40826</v>
      </c>
      <c r="H707" s="100">
        <v>9236.56399</v>
      </c>
      <c r="I707" s="100">
        <v>10417.01388</v>
      </c>
      <c r="J707" s="100">
        <v>10598.84437</v>
      </c>
      <c r="K707" s="100">
        <v>11427.04925</v>
      </c>
      <c r="L707" s="100">
        <v>11800.85636</v>
      </c>
      <c r="M707" s="100">
        <v>10817.53169</v>
      </c>
      <c r="N707" s="100">
        <v>9774.11264</v>
      </c>
    </row>
    <row r="708" spans="1:14" ht="12">
      <c r="A708" t="s">
        <v>702</v>
      </c>
      <c r="B708" s="100">
        <v>67214</v>
      </c>
      <c r="C708" s="100">
        <v>68909</v>
      </c>
      <c r="D708" s="100">
        <v>76690</v>
      </c>
      <c r="E708" s="100">
        <v>80502</v>
      </c>
      <c r="F708" s="100">
        <v>69497</v>
      </c>
      <c r="G708" s="100">
        <v>68877</v>
      </c>
      <c r="H708" s="100">
        <v>76456</v>
      </c>
      <c r="I708" s="100">
        <v>83611</v>
      </c>
      <c r="J708" s="100">
        <v>77654</v>
      </c>
      <c r="K708" s="100">
        <v>74426</v>
      </c>
      <c r="L708" s="100">
        <v>68064</v>
      </c>
      <c r="M708" s="100">
        <v>66501</v>
      </c>
      <c r="N708" s="100">
        <v>65699</v>
      </c>
    </row>
    <row r="709" spans="1:14" ht="12">
      <c r="A709" t="s">
        <v>703</v>
      </c>
      <c r="B709" s="100">
        <v>469.3</v>
      </c>
      <c r="C709" s="100">
        <v>472.2</v>
      </c>
      <c r="D709" s="100">
        <v>492.8</v>
      </c>
      <c r="E709" s="100">
        <v>499.2</v>
      </c>
      <c r="F709" s="100">
        <v>432</v>
      </c>
      <c r="G709" s="100">
        <v>379.9</v>
      </c>
      <c r="H709" s="100">
        <v>401.6</v>
      </c>
      <c r="I709" s="100">
        <v>564.4</v>
      </c>
      <c r="J709" s="100">
        <v>695.7</v>
      </c>
      <c r="K709" s="100">
        <v>606.5</v>
      </c>
      <c r="L709" s="100">
        <v>674</v>
      </c>
      <c r="M709" s="100">
        <v>603.6</v>
      </c>
      <c r="N709" s="100">
        <v>611</v>
      </c>
    </row>
    <row r="710" spans="1:14" ht="12">
      <c r="A710" t="s">
        <v>704</v>
      </c>
      <c r="B710" s="100">
        <v>69.76</v>
      </c>
      <c r="C710" s="100">
        <v>73.01</v>
      </c>
      <c r="D710" s="100">
        <v>79.53</v>
      </c>
      <c r="E710" s="100">
        <v>134.1</v>
      </c>
      <c r="F710" s="100">
        <v>285.58</v>
      </c>
      <c r="G710" s="100">
        <v>313.17</v>
      </c>
      <c r="H710" s="100">
        <v>361.54</v>
      </c>
      <c r="I710" s="100">
        <v>362.47</v>
      </c>
      <c r="J710" s="100">
        <v>337.93</v>
      </c>
      <c r="K710" s="100">
        <v>338.15</v>
      </c>
      <c r="L710" s="100">
        <v>324.73</v>
      </c>
      <c r="M710" s="100">
        <v>255.52</v>
      </c>
      <c r="N710" s="100">
        <v>251.77</v>
      </c>
    </row>
    <row r="711" spans="1:14" ht="12">
      <c r="A711" t="s">
        <v>705</v>
      </c>
      <c r="B711" s="100">
        <v>160.72932</v>
      </c>
      <c r="C711" s="100">
        <v>168.01624</v>
      </c>
      <c r="D711" s="100">
        <v>192.32218</v>
      </c>
      <c r="E711" s="100">
        <v>214.11726</v>
      </c>
      <c r="F711" s="100">
        <v>333.22092</v>
      </c>
      <c r="G711" s="100">
        <v>509.87506</v>
      </c>
      <c r="H711" s="100">
        <v>575.6661</v>
      </c>
      <c r="I711" s="100">
        <v>658.58256</v>
      </c>
      <c r="J711" s="100">
        <v>614.81965</v>
      </c>
      <c r="K711" s="100">
        <v>586.76613</v>
      </c>
      <c r="L711" s="100">
        <v>568.68865</v>
      </c>
      <c r="M711" s="100">
        <v>516.77588</v>
      </c>
      <c r="N711" s="100">
        <v>470.71188</v>
      </c>
    </row>
    <row r="712" spans="1:14" ht="12">
      <c r="A712" t="s">
        <v>706</v>
      </c>
      <c r="B712" s="100">
        <v>66.95279</v>
      </c>
      <c r="C712" s="100">
        <v>84.16488</v>
      </c>
      <c r="D712" s="100">
        <v>118.0133</v>
      </c>
      <c r="E712" s="100">
        <v>145.43157</v>
      </c>
      <c r="F712" s="100">
        <v>149.25422</v>
      </c>
      <c r="G712" s="100">
        <v>166.63651</v>
      </c>
      <c r="H712" s="100">
        <v>202.08319</v>
      </c>
      <c r="I712" s="100">
        <v>231.06543</v>
      </c>
      <c r="J712" s="100">
        <v>252.98626</v>
      </c>
      <c r="K712" s="100">
        <v>215.47</v>
      </c>
      <c r="L712" s="100">
        <v>187.62965</v>
      </c>
      <c r="M712" s="100">
        <v>174.68122</v>
      </c>
      <c r="N712" s="100">
        <v>192.01924</v>
      </c>
    </row>
    <row r="713" spans="1:14" ht="12">
      <c r="A713" t="s">
        <v>707</v>
      </c>
      <c r="B713" s="100">
        <v>915916</v>
      </c>
      <c r="C713" s="100">
        <v>934705</v>
      </c>
      <c r="D713" s="100">
        <v>1035290</v>
      </c>
      <c r="E713" s="100">
        <v>1100330</v>
      </c>
      <c r="F713" s="100">
        <v>1185246</v>
      </c>
      <c r="G713" s="100">
        <v>1115254</v>
      </c>
      <c r="H713" s="100">
        <v>1172418</v>
      </c>
      <c r="I713" s="100">
        <v>1314429</v>
      </c>
      <c r="J713" s="100">
        <v>1367287</v>
      </c>
      <c r="K713" s="100">
        <v>1310293.42</v>
      </c>
      <c r="L713" s="100">
        <v>1217653.802</v>
      </c>
      <c r="M713" s="100">
        <v>1142141.66941</v>
      </c>
      <c r="N713" s="100">
        <v>1067378.33784</v>
      </c>
    </row>
    <row r="714" spans="1:14" ht="12">
      <c r="A714" t="s">
        <v>708</v>
      </c>
      <c r="B714" s="100">
        <v>194.54634</v>
      </c>
      <c r="C714" s="100">
        <v>199.64115</v>
      </c>
      <c r="D714" s="100">
        <v>200.57275</v>
      </c>
      <c r="E714" s="100">
        <v>205.21523</v>
      </c>
      <c r="F714" s="100">
        <v>212.51595</v>
      </c>
      <c r="G714" s="100">
        <v>204.27439</v>
      </c>
      <c r="H714" s="100">
        <v>217.1392</v>
      </c>
      <c r="I714" s="100">
        <v>216.13047</v>
      </c>
      <c r="J714" s="100">
        <v>221.001</v>
      </c>
      <c r="K714" s="100">
        <v>232.32092</v>
      </c>
      <c r="L714" s="100">
        <v>230.71105</v>
      </c>
      <c r="M714" s="100">
        <v>220.4017</v>
      </c>
      <c r="N714" s="100">
        <v>209.82169</v>
      </c>
    </row>
    <row r="715" spans="1:14" ht="12">
      <c r="A715" t="s">
        <v>709</v>
      </c>
      <c r="B715" s="100">
        <v>11852</v>
      </c>
      <c r="C715" s="100">
        <v>11681</v>
      </c>
      <c r="D715" s="100">
        <v>12037</v>
      </c>
      <c r="E715" s="100">
        <v>13028</v>
      </c>
      <c r="F715" s="100">
        <v>12523</v>
      </c>
      <c r="G715" s="100">
        <v>11197</v>
      </c>
      <c r="H715" s="100">
        <v>11329</v>
      </c>
      <c r="I715" s="100">
        <v>10636</v>
      </c>
      <c r="J715" s="100">
        <v>9940</v>
      </c>
      <c r="K715" s="100">
        <v>9452</v>
      </c>
      <c r="L715" s="100">
        <v>8509</v>
      </c>
      <c r="M715" s="100">
        <v>7576</v>
      </c>
      <c r="N715" s="100">
        <v>7055</v>
      </c>
    </row>
    <row r="716" spans="1:14" ht="12">
      <c r="A716" t="s">
        <v>710</v>
      </c>
      <c r="B716" s="100">
        <v>8187.05</v>
      </c>
      <c r="C716" s="100">
        <v>8398.19</v>
      </c>
      <c r="D716" s="100">
        <v>8902.44</v>
      </c>
      <c r="E716" s="100">
        <v>8656.7</v>
      </c>
      <c r="F716" s="100">
        <v>9051.76</v>
      </c>
      <c r="G716" s="100">
        <v>8567.89</v>
      </c>
      <c r="H716" s="100">
        <v>8643.21</v>
      </c>
      <c r="I716" s="100">
        <v>8655.98</v>
      </c>
      <c r="J716" s="100">
        <v>8434.99</v>
      </c>
      <c r="K716" s="100">
        <v>8119.44</v>
      </c>
      <c r="L716" s="100">
        <v>8068.95</v>
      </c>
      <c r="M716" s="100">
        <v>7439.25</v>
      </c>
      <c r="N716" s="100">
        <v>6775.28</v>
      </c>
    </row>
    <row r="717" spans="1:14" ht="12">
      <c r="A717" t="s">
        <v>711</v>
      </c>
      <c r="B717" s="100">
        <v>24638.7</v>
      </c>
      <c r="C717" s="100">
        <v>25330</v>
      </c>
      <c r="D717" s="100">
        <v>25861</v>
      </c>
      <c r="E717" s="100">
        <v>27190</v>
      </c>
      <c r="F717" s="100">
        <v>33641</v>
      </c>
      <c r="G717" s="100">
        <v>35979</v>
      </c>
      <c r="H717" s="100">
        <v>39654</v>
      </c>
      <c r="I717" s="100">
        <v>43303</v>
      </c>
      <c r="J717" s="100">
        <v>41509</v>
      </c>
      <c r="K717" s="100">
        <v>33510</v>
      </c>
      <c r="L717" s="100">
        <v>31550.6</v>
      </c>
      <c r="M717" s="100">
        <v>31669</v>
      </c>
      <c r="N717" s="100">
        <v>31127</v>
      </c>
    </row>
    <row r="718" spans="1:14" ht="12">
      <c r="A718" t="s">
        <v>712</v>
      </c>
      <c r="B718" s="100">
        <v>4048.052</v>
      </c>
      <c r="C718" s="100">
        <v>4614.686</v>
      </c>
      <c r="D718" s="100">
        <v>5184.191</v>
      </c>
      <c r="E718" s="100">
        <v>5567.599</v>
      </c>
      <c r="F718" s="100">
        <v>5231.014</v>
      </c>
      <c r="G718" s="100">
        <v>5279.33</v>
      </c>
      <c r="H718" s="100">
        <v>7618.76</v>
      </c>
      <c r="I718" s="100">
        <v>8230.271</v>
      </c>
      <c r="J718" s="100">
        <v>8271.459</v>
      </c>
      <c r="K718" s="100">
        <v>8496.251</v>
      </c>
      <c r="L718" s="100">
        <v>8224.149</v>
      </c>
      <c r="M718" s="100">
        <v>7776.145</v>
      </c>
      <c r="N718" s="100">
        <v>7488.437</v>
      </c>
    </row>
    <row r="719" spans="1:14" ht="12">
      <c r="A719" t="s">
        <v>713</v>
      </c>
      <c r="B719" s="100">
        <v>3567.2</v>
      </c>
      <c r="C719" s="100">
        <v>2876.7</v>
      </c>
      <c r="D719" s="100">
        <v>2890.8</v>
      </c>
      <c r="E719" s="100">
        <v>3644.8</v>
      </c>
      <c r="F719" s="100">
        <v>7604.3</v>
      </c>
      <c r="G719" s="100">
        <v>8125.7</v>
      </c>
      <c r="H719" s="100">
        <v>9355</v>
      </c>
      <c r="I719" s="100">
        <v>10414.8</v>
      </c>
      <c r="J719" s="100">
        <v>11159.6</v>
      </c>
      <c r="K719" s="100">
        <v>11000.8</v>
      </c>
      <c r="L719" s="100">
        <v>11613.7</v>
      </c>
      <c r="M719" s="100">
        <v>11461</v>
      </c>
      <c r="N719" s="100">
        <v>11466</v>
      </c>
    </row>
    <row r="720" spans="1:14" ht="12">
      <c r="A720" t="s">
        <v>714</v>
      </c>
      <c r="B720" s="100">
        <v>446.51</v>
      </c>
      <c r="C720" s="100">
        <v>431.69</v>
      </c>
      <c r="D720" s="100">
        <v>437.16</v>
      </c>
      <c r="E720" s="100">
        <v>415.87</v>
      </c>
      <c r="F720" s="100">
        <v>474.09</v>
      </c>
      <c r="G720" s="100">
        <v>591.1</v>
      </c>
      <c r="H720" s="100">
        <v>698.24</v>
      </c>
      <c r="I720" s="100">
        <v>729.85</v>
      </c>
      <c r="J720" s="100">
        <v>927.75</v>
      </c>
      <c r="K720" s="100">
        <v>1219.22</v>
      </c>
      <c r="L720" s="100">
        <v>1251.79</v>
      </c>
      <c r="M720" s="100">
        <v>1220.01</v>
      </c>
      <c r="N720" s="100">
        <v>1073.14</v>
      </c>
    </row>
    <row r="721" spans="1:14" ht="12">
      <c r="A721" t="s">
        <v>715</v>
      </c>
      <c r="B721" s="100">
        <v>852.553</v>
      </c>
      <c r="C721" s="100">
        <v>810.039</v>
      </c>
      <c r="D721" s="100">
        <v>876.115</v>
      </c>
      <c r="E721" s="100">
        <v>891.537</v>
      </c>
      <c r="F721" s="100">
        <v>916.245</v>
      </c>
      <c r="G721" s="100">
        <v>877.284</v>
      </c>
      <c r="H721" s="100">
        <v>1079.231</v>
      </c>
      <c r="I721" s="100">
        <v>1283.267</v>
      </c>
      <c r="J721" s="100">
        <v>1387.038</v>
      </c>
      <c r="K721" s="100">
        <v>1443.601</v>
      </c>
      <c r="L721" s="100">
        <v>1379.407</v>
      </c>
      <c r="M721" s="100">
        <v>1335.808</v>
      </c>
      <c r="N721" s="100">
        <v>1186.126</v>
      </c>
    </row>
    <row r="722" spans="1:14" ht="12">
      <c r="A722" t="s">
        <v>716</v>
      </c>
      <c r="B722" s="100">
        <v>2661</v>
      </c>
      <c r="C722" s="100">
        <v>2589</v>
      </c>
      <c r="D722" s="100">
        <v>2659</v>
      </c>
      <c r="E722" s="100">
        <v>2720</v>
      </c>
      <c r="F722" s="100">
        <v>2422</v>
      </c>
      <c r="G722" s="100">
        <v>2506</v>
      </c>
      <c r="H722" s="100">
        <v>2754</v>
      </c>
      <c r="I722" s="100">
        <v>2852</v>
      </c>
      <c r="J722" s="100">
        <v>2574</v>
      </c>
      <c r="K722" s="100">
        <v>2505</v>
      </c>
      <c r="L722" s="100">
        <v>2470</v>
      </c>
      <c r="M722" s="100">
        <v>2356</v>
      </c>
      <c r="N722" s="100">
        <v>2191</v>
      </c>
    </row>
    <row r="723" spans="1:14" ht="12">
      <c r="A723" t="s">
        <v>717</v>
      </c>
      <c r="B723" s="100">
        <v>54871</v>
      </c>
      <c r="C723" s="100">
        <v>54190</v>
      </c>
      <c r="D723" s="100">
        <v>58625</v>
      </c>
      <c r="E723" s="100">
        <v>57368</v>
      </c>
      <c r="F723" s="100">
        <v>42887</v>
      </c>
      <c r="G723" s="100">
        <v>41689</v>
      </c>
      <c r="H723" s="100">
        <v>46390</v>
      </c>
      <c r="I723" s="100">
        <v>39057</v>
      </c>
      <c r="J723" s="100">
        <v>35923</v>
      </c>
      <c r="K723" s="100">
        <v>32799</v>
      </c>
      <c r="L723" s="100">
        <v>25558</v>
      </c>
      <c r="M723" s="100">
        <v>25409</v>
      </c>
      <c r="N723" s="100">
        <v>24019</v>
      </c>
    </row>
    <row r="724" spans="1:14" ht="12">
      <c r="A724" t="s">
        <v>718</v>
      </c>
      <c r="B724" s="100">
        <v>27128</v>
      </c>
      <c r="C724" s="100">
        <v>28750</v>
      </c>
      <c r="D724" s="100">
        <v>33145</v>
      </c>
      <c r="E724" s="100">
        <v>34264</v>
      </c>
      <c r="F724" s="100">
        <v>28322</v>
      </c>
      <c r="G724" s="100">
        <v>45421</v>
      </c>
      <c r="H724" s="100">
        <v>51783</v>
      </c>
      <c r="I724" s="100">
        <v>48448</v>
      </c>
      <c r="J724" s="100">
        <v>49634</v>
      </c>
      <c r="K724" s="100">
        <v>49011</v>
      </c>
      <c r="L724" s="100">
        <v>43887</v>
      </c>
      <c r="M724" s="100">
        <v>48033</v>
      </c>
      <c r="N724" s="100">
        <v>55211</v>
      </c>
    </row>
    <row r="725" spans="1:14" ht="12">
      <c r="A725" t="s">
        <v>719</v>
      </c>
      <c r="B725" s="100">
        <v>22537.38464</v>
      </c>
      <c r="C725" s="100">
        <v>25235.42467</v>
      </c>
      <c r="D725" s="100">
        <v>32952.35477</v>
      </c>
      <c r="E725" s="100">
        <v>47518.4958</v>
      </c>
      <c r="F725" s="100">
        <v>95894.13522</v>
      </c>
      <c r="G725" s="100">
        <v>77238.24519</v>
      </c>
      <c r="H725" s="100">
        <v>70481.06898</v>
      </c>
      <c r="I725" s="100">
        <v>84066.20059</v>
      </c>
      <c r="J725" s="100">
        <v>86505.20608</v>
      </c>
      <c r="K725" s="100">
        <v>94411.27953</v>
      </c>
      <c r="L725" s="100">
        <v>101703.626</v>
      </c>
      <c r="M725" s="100">
        <v>98245.83788</v>
      </c>
      <c r="N725" s="100">
        <v>102018.76732</v>
      </c>
    </row>
    <row r="726" spans="1:14" ht="12">
      <c r="A726" t="s">
        <v>720</v>
      </c>
      <c r="B726" s="100">
        <v>31540</v>
      </c>
      <c r="C726" s="100">
        <v>52789</v>
      </c>
      <c r="D726" s="100">
        <v>60461</v>
      </c>
      <c r="E726" s="100">
        <v>51408</v>
      </c>
      <c r="F726" s="100">
        <v>31067</v>
      </c>
      <c r="G726" s="100">
        <v>26912</v>
      </c>
      <c r="H726" s="100">
        <v>25022</v>
      </c>
      <c r="I726" s="100">
        <v>21637</v>
      </c>
      <c r="J726" s="100">
        <v>20640</v>
      </c>
      <c r="K726" s="100">
        <v>21000</v>
      </c>
      <c r="L726" s="100">
        <v>20322</v>
      </c>
      <c r="M726" s="100">
        <v>17502</v>
      </c>
      <c r="N726" s="100">
        <v>16220</v>
      </c>
    </row>
    <row r="727" spans="1:14" ht="12">
      <c r="A727" t="s">
        <v>721</v>
      </c>
      <c r="B727" s="100">
        <v>6605.83056</v>
      </c>
      <c r="C727" s="100">
        <v>6858.70879</v>
      </c>
      <c r="D727" s="100">
        <v>6374.90031</v>
      </c>
      <c r="E727" s="100">
        <v>6084.65797</v>
      </c>
      <c r="F727" s="100">
        <v>5464.27428</v>
      </c>
      <c r="G727" s="100">
        <v>5174.90095</v>
      </c>
      <c r="H727" s="100">
        <v>4802.10058</v>
      </c>
      <c r="I727" s="100">
        <v>4435.41664</v>
      </c>
      <c r="J727" s="100">
        <v>3973.36686</v>
      </c>
      <c r="K727" s="100">
        <v>3699.57204</v>
      </c>
      <c r="L727" s="100">
        <v>3575.23301</v>
      </c>
      <c r="M727" s="100">
        <v>3207.93239</v>
      </c>
      <c r="N727" s="100" t="s">
        <v>163</v>
      </c>
    </row>
    <row r="728" spans="1:14" ht="12">
      <c r="A728" t="s">
        <v>722</v>
      </c>
      <c r="B728" s="100">
        <v>1504868.37758</v>
      </c>
      <c r="C728" s="100">
        <v>1597577.89629</v>
      </c>
      <c r="D728" s="100">
        <v>1687527.92246</v>
      </c>
      <c r="E728" s="100">
        <v>1643825.8554</v>
      </c>
      <c r="F728" s="100">
        <v>1532102.85136</v>
      </c>
      <c r="G728" s="100">
        <v>1644949.25524</v>
      </c>
      <c r="H728" s="100">
        <v>1720629.97204</v>
      </c>
      <c r="I728" s="100">
        <v>1786188.0156</v>
      </c>
      <c r="J728" s="100">
        <v>1811576.86444</v>
      </c>
      <c r="K728" s="100">
        <v>1884084.06689</v>
      </c>
      <c r="L728" s="100">
        <v>1978998.05732</v>
      </c>
      <c r="M728" s="100">
        <v>1992623.82012</v>
      </c>
      <c r="N728" s="100">
        <v>2049886.86882</v>
      </c>
    </row>
    <row r="729" spans="1:14" ht="12">
      <c r="A729" t="s">
        <v>723</v>
      </c>
      <c r="B729" s="100">
        <v>1081158.49807</v>
      </c>
      <c r="C729" s="100">
        <v>1145629.18437</v>
      </c>
      <c r="D729" s="100">
        <v>1202612.12068</v>
      </c>
      <c r="E729" s="100">
        <v>1185952.74</v>
      </c>
      <c r="F729" s="100">
        <v>1139980.22512</v>
      </c>
      <c r="G729" s="100">
        <v>1188123.55911</v>
      </c>
      <c r="H729" s="100">
        <v>1233025.47146</v>
      </c>
      <c r="I729" s="100">
        <v>1268179.89929</v>
      </c>
      <c r="J729" s="100">
        <v>1288753.95863</v>
      </c>
      <c r="K729" s="100">
        <v>1332778.62536</v>
      </c>
      <c r="L729" s="100">
        <v>1371273.23498</v>
      </c>
      <c r="M729" s="100">
        <v>1399683.61106</v>
      </c>
      <c r="N729" s="100">
        <v>1449747.88697</v>
      </c>
    </row>
    <row r="730" spans="1:14" ht="12">
      <c r="A730" t="s">
        <v>724</v>
      </c>
      <c r="B730" s="100">
        <v>39959.5</v>
      </c>
      <c r="C730" s="100">
        <v>41810.1</v>
      </c>
      <c r="D730" s="100">
        <v>43749.7</v>
      </c>
      <c r="E730" s="100">
        <v>44250.3</v>
      </c>
      <c r="F730" s="100">
        <v>43530.4</v>
      </c>
      <c r="G730" s="100">
        <v>46652.1</v>
      </c>
      <c r="H730" s="100">
        <v>48230.4</v>
      </c>
      <c r="I730" s="100">
        <v>50688.4</v>
      </c>
      <c r="J730" s="100">
        <v>51259.2</v>
      </c>
      <c r="K730" s="100">
        <v>52100.6</v>
      </c>
      <c r="L730" s="100">
        <v>52859.3</v>
      </c>
      <c r="M730" s="100">
        <v>55320.9</v>
      </c>
      <c r="N730" s="100">
        <v>57298.1</v>
      </c>
    </row>
    <row r="731" spans="1:14" ht="12">
      <c r="A731" t="s">
        <v>725</v>
      </c>
      <c r="B731" s="100">
        <v>7561.481</v>
      </c>
      <c r="C731" s="100">
        <v>8925.066</v>
      </c>
      <c r="D731" s="100">
        <v>10137.582</v>
      </c>
      <c r="E731" s="100">
        <v>12185.313</v>
      </c>
      <c r="F731" s="100">
        <v>10419.502</v>
      </c>
      <c r="G731" s="100">
        <v>10561.555</v>
      </c>
      <c r="H731" s="100">
        <v>11039.431</v>
      </c>
      <c r="I731" s="100">
        <v>12178.827</v>
      </c>
      <c r="J731" s="100">
        <v>12585.665</v>
      </c>
      <c r="K731" s="100">
        <v>12336.636</v>
      </c>
      <c r="L731" s="100">
        <v>13628.183</v>
      </c>
      <c r="M731" s="100">
        <v>14450.317</v>
      </c>
      <c r="N731" s="100">
        <v>14903.161</v>
      </c>
    </row>
    <row r="732" spans="1:14" ht="12">
      <c r="A732" t="s">
        <v>726</v>
      </c>
      <c r="B732" s="100">
        <v>351621</v>
      </c>
      <c r="C732" s="100">
        <v>361775</v>
      </c>
      <c r="D732" s="100">
        <v>405146</v>
      </c>
      <c r="E732" s="100">
        <v>417216</v>
      </c>
      <c r="F732" s="100">
        <v>424975</v>
      </c>
      <c r="G732" s="100">
        <v>441350</v>
      </c>
      <c r="H732" s="100">
        <v>481136</v>
      </c>
      <c r="I732" s="100">
        <v>501818</v>
      </c>
      <c r="J732" s="100">
        <v>521920</v>
      </c>
      <c r="K732" s="100">
        <v>510721</v>
      </c>
      <c r="L732" s="100">
        <v>562268</v>
      </c>
      <c r="M732" s="100">
        <v>586760</v>
      </c>
      <c r="N732" s="100">
        <v>629368</v>
      </c>
    </row>
    <row r="733" spans="1:14" ht="12">
      <c r="A733" t="s">
        <v>727</v>
      </c>
      <c r="B733" s="100">
        <v>275968</v>
      </c>
      <c r="C733" s="100">
        <v>291086</v>
      </c>
      <c r="D733" s="100">
        <v>303450</v>
      </c>
      <c r="E733" s="100">
        <v>296466</v>
      </c>
      <c r="F733" s="100">
        <v>281472</v>
      </c>
      <c r="G733" s="100">
        <v>293295</v>
      </c>
      <c r="H733" s="100">
        <v>300970</v>
      </c>
      <c r="I733" s="100">
        <v>309450</v>
      </c>
      <c r="J733" s="100">
        <v>317142</v>
      </c>
      <c r="K733" s="100">
        <v>321755</v>
      </c>
      <c r="L733" s="100">
        <v>330057</v>
      </c>
      <c r="M733" s="100">
        <v>338413</v>
      </c>
      <c r="N733" s="100">
        <v>344551</v>
      </c>
    </row>
    <row r="734" spans="1:14" ht="12">
      <c r="A734" t="s">
        <v>728</v>
      </c>
      <c r="B734" s="100">
        <v>236735</v>
      </c>
      <c r="C734" s="100">
        <v>245887</v>
      </c>
      <c r="D734" s="100">
        <v>269402</v>
      </c>
      <c r="E734" s="100">
        <v>273500</v>
      </c>
      <c r="F734" s="100">
        <v>275529</v>
      </c>
      <c r="G734" s="100">
        <v>277619</v>
      </c>
      <c r="H734" s="100">
        <v>295130</v>
      </c>
      <c r="I734" s="100">
        <v>300682</v>
      </c>
      <c r="J734" s="100">
        <v>305792</v>
      </c>
      <c r="K734" s="100">
        <v>314894</v>
      </c>
      <c r="L734" s="100">
        <v>325745</v>
      </c>
      <c r="M734" s="100">
        <v>334727</v>
      </c>
      <c r="N734" s="100">
        <v>344654</v>
      </c>
    </row>
    <row r="735" spans="1:14" ht="12">
      <c r="A735" t="s">
        <v>729</v>
      </c>
      <c r="B735" s="100">
        <v>1424.4</v>
      </c>
      <c r="C735" s="100">
        <v>1804.6</v>
      </c>
      <c r="D735" s="100">
        <v>2166.5</v>
      </c>
      <c r="E735" s="100">
        <v>1990.7</v>
      </c>
      <c r="F735" s="100">
        <v>2055.5</v>
      </c>
      <c r="G735" s="100">
        <v>2020</v>
      </c>
      <c r="H735" s="100">
        <v>2241.5</v>
      </c>
      <c r="I735" s="100">
        <v>2466.2</v>
      </c>
      <c r="J735" s="100">
        <v>2524.9</v>
      </c>
      <c r="K735" s="100">
        <v>2750.2</v>
      </c>
      <c r="L735" s="100">
        <v>2932.8</v>
      </c>
      <c r="M735" s="100">
        <v>3175.2</v>
      </c>
      <c r="N735" s="100">
        <v>3348.9</v>
      </c>
    </row>
    <row r="736" spans="1:14" ht="12">
      <c r="A736" t="s">
        <v>730</v>
      </c>
      <c r="B736" s="100">
        <v>22380.62</v>
      </c>
      <c r="C736" s="100">
        <v>25132.26</v>
      </c>
      <c r="D736" s="100">
        <v>25909.25</v>
      </c>
      <c r="E736" s="100">
        <v>22617.21</v>
      </c>
      <c r="F736" s="100">
        <v>18368.51</v>
      </c>
      <c r="G736" s="100">
        <v>18076.38</v>
      </c>
      <c r="H736" s="100">
        <v>17794.08</v>
      </c>
      <c r="I736" s="100">
        <v>18371.75</v>
      </c>
      <c r="J736" s="100">
        <v>19310.38</v>
      </c>
      <c r="K736" s="100">
        <v>21212.7</v>
      </c>
      <c r="L736" s="100">
        <v>22539.07</v>
      </c>
      <c r="M736" s="100">
        <v>23440.97</v>
      </c>
      <c r="N736" s="100">
        <v>24423.13</v>
      </c>
    </row>
    <row r="737" spans="1:14" ht="12">
      <c r="A737" t="s">
        <v>731</v>
      </c>
      <c r="B737" s="100">
        <v>23632</v>
      </c>
      <c r="C737" s="100">
        <v>26688</v>
      </c>
      <c r="D737" s="100">
        <v>29241</v>
      </c>
      <c r="E737" s="100">
        <v>30413</v>
      </c>
      <c r="F737" s="100">
        <v>27826</v>
      </c>
      <c r="G737" s="100">
        <v>28454</v>
      </c>
      <c r="H737" s="100">
        <v>27971</v>
      </c>
      <c r="I737" s="100">
        <v>26530</v>
      </c>
      <c r="J737" s="100">
        <v>25960</v>
      </c>
      <c r="K737" s="100">
        <v>28085</v>
      </c>
      <c r="L737" s="100">
        <v>28689</v>
      </c>
      <c r="M737" s="100">
        <v>30420</v>
      </c>
      <c r="N737" s="100">
        <v>30747</v>
      </c>
    </row>
    <row r="738" spans="1:14" ht="12">
      <c r="A738" t="s">
        <v>732</v>
      </c>
      <c r="B738" s="100">
        <v>113847</v>
      </c>
      <c r="C738" s="100">
        <v>123712</v>
      </c>
      <c r="D738" s="100">
        <v>124632</v>
      </c>
      <c r="E738" s="100">
        <v>108121</v>
      </c>
      <c r="F738" s="100">
        <v>92208</v>
      </c>
      <c r="G738" s="100">
        <v>110407</v>
      </c>
      <c r="H738" s="100">
        <v>106513</v>
      </c>
      <c r="I738" s="100">
        <v>108551</v>
      </c>
      <c r="J738" s="100">
        <v>115010</v>
      </c>
      <c r="K738" s="100">
        <v>119644</v>
      </c>
      <c r="L738" s="100">
        <v>127499</v>
      </c>
      <c r="M738" s="100">
        <v>129293</v>
      </c>
      <c r="N738" s="100">
        <v>134863</v>
      </c>
    </row>
    <row r="739" spans="1:14" ht="12">
      <c r="A739" t="s">
        <v>733</v>
      </c>
      <c r="B739" s="100">
        <v>269455</v>
      </c>
      <c r="C739" s="100">
        <v>279822</v>
      </c>
      <c r="D739" s="100">
        <v>290190</v>
      </c>
      <c r="E739" s="100">
        <v>293318</v>
      </c>
      <c r="F739" s="100">
        <v>289318</v>
      </c>
      <c r="G739" s="100">
        <v>293445</v>
      </c>
      <c r="H739" s="100">
        <v>310735</v>
      </c>
      <c r="I739" s="100">
        <v>319613</v>
      </c>
      <c r="J739" s="100">
        <v>328769</v>
      </c>
      <c r="K739" s="100">
        <v>337061</v>
      </c>
      <c r="L739" s="100">
        <v>347527</v>
      </c>
      <c r="M739" s="100">
        <v>355991</v>
      </c>
      <c r="N739" s="100">
        <v>372288</v>
      </c>
    </row>
    <row r="740" spans="1:14" ht="12">
      <c r="A740" t="s">
        <v>734</v>
      </c>
      <c r="B740" s="100">
        <v>50042.34039</v>
      </c>
      <c r="C740" s="100">
        <v>54513.20944</v>
      </c>
      <c r="D740" s="100">
        <v>58748.87055</v>
      </c>
      <c r="E740" s="100">
        <v>62534.50245</v>
      </c>
      <c r="F740" s="100">
        <v>56896.15106</v>
      </c>
      <c r="G740" s="100">
        <v>57821.14157</v>
      </c>
      <c r="H740" s="100">
        <v>57306.4541</v>
      </c>
      <c r="I740" s="100">
        <v>59891.76943</v>
      </c>
      <c r="J740" s="100">
        <v>61727.40742</v>
      </c>
      <c r="K740" s="100">
        <v>61289.5481</v>
      </c>
      <c r="L740" s="100">
        <v>64810.44279</v>
      </c>
      <c r="M740" s="100">
        <v>67895.93742</v>
      </c>
      <c r="N740" s="100">
        <v>71601.66291</v>
      </c>
    </row>
    <row r="741" spans="1:14" ht="12">
      <c r="A741" t="s">
        <v>735</v>
      </c>
      <c r="B741" s="100">
        <v>207669</v>
      </c>
      <c r="C741" s="100">
        <v>225056</v>
      </c>
      <c r="D741" s="100">
        <v>231452</v>
      </c>
      <c r="E741" s="100">
        <v>221557</v>
      </c>
      <c r="F741" s="100">
        <v>211462</v>
      </c>
      <c r="G741" s="100">
        <v>223855</v>
      </c>
      <c r="H741" s="100">
        <v>231100</v>
      </c>
      <c r="I741" s="100">
        <v>246746</v>
      </c>
      <c r="J741" s="100">
        <v>239813</v>
      </c>
      <c r="K741" s="100">
        <v>248849</v>
      </c>
      <c r="L741" s="100">
        <v>250202</v>
      </c>
      <c r="M741" s="100">
        <v>243097</v>
      </c>
      <c r="N741" s="100">
        <v>249922</v>
      </c>
    </row>
    <row r="742" spans="1:14" ht="12">
      <c r="A742" t="s">
        <v>736</v>
      </c>
      <c r="B742" s="100">
        <v>2219.1</v>
      </c>
      <c r="C742" s="100">
        <v>2489.7</v>
      </c>
      <c r="D742" s="100">
        <v>2979.5</v>
      </c>
      <c r="E742" s="100">
        <v>3107.7</v>
      </c>
      <c r="F742" s="100">
        <v>2634.4</v>
      </c>
      <c r="G742" s="100">
        <v>2754.6</v>
      </c>
      <c r="H742" s="100">
        <v>2687.6</v>
      </c>
      <c r="I742" s="100">
        <v>2702.5</v>
      </c>
      <c r="J742" s="100">
        <v>2474.6</v>
      </c>
      <c r="K742" s="100">
        <v>2599.7</v>
      </c>
      <c r="L742" s="100">
        <v>2607.8</v>
      </c>
      <c r="M742" s="100">
        <v>2739.5</v>
      </c>
      <c r="N742" s="100">
        <v>3041.4</v>
      </c>
    </row>
    <row r="743" spans="1:14" ht="12">
      <c r="A743" t="s">
        <v>737</v>
      </c>
      <c r="B743" s="100">
        <v>1674.21</v>
      </c>
      <c r="C743" s="100">
        <v>2153.68</v>
      </c>
      <c r="D743" s="100">
        <v>2713.21</v>
      </c>
      <c r="E743" s="100">
        <v>2638.72</v>
      </c>
      <c r="F743" s="100">
        <v>2114.1</v>
      </c>
      <c r="G743" s="100">
        <v>2201.72</v>
      </c>
      <c r="H743" s="100">
        <v>2478.46</v>
      </c>
      <c r="I743" s="100">
        <v>2758.48</v>
      </c>
      <c r="J743" s="100">
        <v>2955.21</v>
      </c>
      <c r="K743" s="100">
        <v>3148.77</v>
      </c>
      <c r="L743" s="100">
        <v>3314.74</v>
      </c>
      <c r="M743" s="100">
        <v>3554.35</v>
      </c>
      <c r="N743" s="100">
        <v>3758.58</v>
      </c>
    </row>
    <row r="744" spans="1:14" ht="12">
      <c r="A744" t="s">
        <v>738</v>
      </c>
      <c r="B744" s="100">
        <v>2354.55729</v>
      </c>
      <c r="C744" s="100">
        <v>2723.46923</v>
      </c>
      <c r="D744" s="100">
        <v>3377.34799</v>
      </c>
      <c r="E744" s="100">
        <v>3790.74442</v>
      </c>
      <c r="F744" s="100">
        <v>3114.44341</v>
      </c>
      <c r="G744" s="100">
        <v>3319.25779</v>
      </c>
      <c r="H744" s="100">
        <v>3628.59893</v>
      </c>
      <c r="I744" s="100">
        <v>3724.06846</v>
      </c>
      <c r="J744" s="100">
        <v>3841.34099</v>
      </c>
      <c r="K744" s="100">
        <v>4079.54313</v>
      </c>
      <c r="L744" s="100">
        <v>4343.63348</v>
      </c>
      <c r="M744" s="100">
        <v>4532.7604</v>
      </c>
      <c r="N744" s="100">
        <v>4914.6097</v>
      </c>
    </row>
    <row r="745" spans="1:14" ht="12">
      <c r="A745" t="s">
        <v>739</v>
      </c>
      <c r="B745" s="100">
        <v>4038.51972</v>
      </c>
      <c r="C745" s="100">
        <v>4272.20626</v>
      </c>
      <c r="D745" s="100">
        <v>4809.81625</v>
      </c>
      <c r="E745" s="100">
        <v>4704.04954</v>
      </c>
      <c r="F745" s="100">
        <v>4598.35457</v>
      </c>
      <c r="G745" s="100">
        <v>4914.66698</v>
      </c>
      <c r="H745" s="100">
        <v>5298.28465</v>
      </c>
      <c r="I745" s="100">
        <v>5660.73119</v>
      </c>
      <c r="J745" s="100">
        <v>5991.08159</v>
      </c>
      <c r="K745" s="100">
        <v>6531.60913</v>
      </c>
      <c r="L745" s="100">
        <v>6190.77851</v>
      </c>
      <c r="M745" s="100">
        <v>6309.78629</v>
      </c>
      <c r="N745" s="100">
        <v>6568.83022</v>
      </c>
    </row>
    <row r="746" spans="1:14" ht="12">
      <c r="A746" t="s">
        <v>740</v>
      </c>
      <c r="B746" s="100">
        <v>3452318</v>
      </c>
      <c r="C746" s="100">
        <v>3598065</v>
      </c>
      <c r="D746" s="100">
        <v>4017689</v>
      </c>
      <c r="E746" s="100">
        <v>4200805</v>
      </c>
      <c r="F746" s="100">
        <v>4300071</v>
      </c>
      <c r="G746" s="100">
        <v>4737851</v>
      </c>
      <c r="H746" s="100">
        <v>4880614</v>
      </c>
      <c r="I746" s="100">
        <v>5323813</v>
      </c>
      <c r="J746" s="100">
        <v>5556181</v>
      </c>
      <c r="K746" s="100">
        <v>5972255.49491</v>
      </c>
      <c r="L746" s="100">
        <v>6410410.93668</v>
      </c>
      <c r="M746" s="100">
        <v>6433593.087</v>
      </c>
      <c r="N746" s="100">
        <v>6891737.47083</v>
      </c>
    </row>
    <row r="747" spans="1:14" ht="12">
      <c r="A747" t="s">
        <v>741</v>
      </c>
      <c r="B747" s="100">
        <v>725.81477</v>
      </c>
      <c r="C747" s="100">
        <v>767.93898</v>
      </c>
      <c r="D747" s="100">
        <v>812.05277</v>
      </c>
      <c r="E747" s="100">
        <v>843.68282</v>
      </c>
      <c r="F747" s="100">
        <v>818.98749</v>
      </c>
      <c r="G747" s="100">
        <v>902.59591</v>
      </c>
      <c r="H747" s="100">
        <v>922.91275</v>
      </c>
      <c r="I747" s="100">
        <v>941.04005</v>
      </c>
      <c r="J747" s="100">
        <v>988.84684</v>
      </c>
      <c r="K747" s="100">
        <v>1106.9031</v>
      </c>
      <c r="L747" s="100">
        <v>1190.15</v>
      </c>
      <c r="M747" s="100">
        <v>1276.06336</v>
      </c>
      <c r="N747" s="100">
        <v>1408.07906</v>
      </c>
    </row>
    <row r="748" spans="1:14" ht="12">
      <c r="A748" t="s">
        <v>742</v>
      </c>
      <c r="B748" s="100">
        <v>64493</v>
      </c>
      <c r="C748" s="100">
        <v>68971</v>
      </c>
      <c r="D748" s="100">
        <v>72035</v>
      </c>
      <c r="E748" s="100">
        <v>73255</v>
      </c>
      <c r="F748" s="100">
        <v>68146</v>
      </c>
      <c r="G748" s="100">
        <v>71361</v>
      </c>
      <c r="H748" s="100">
        <v>69685</v>
      </c>
      <c r="I748" s="100">
        <v>68466</v>
      </c>
      <c r="J748" s="100">
        <v>71430</v>
      </c>
      <c r="K748" s="100">
        <v>75181</v>
      </c>
      <c r="L748" s="100">
        <v>76381</v>
      </c>
      <c r="M748" s="100">
        <v>81791</v>
      </c>
      <c r="N748" s="100">
        <v>84473</v>
      </c>
    </row>
    <row r="749" spans="1:14" ht="12">
      <c r="A749" t="s">
        <v>743</v>
      </c>
      <c r="B749" s="100">
        <v>36229.32</v>
      </c>
      <c r="C749" s="100">
        <v>37100.16</v>
      </c>
      <c r="D749" s="100">
        <v>38977.18</v>
      </c>
      <c r="E749" s="100">
        <v>40719.09</v>
      </c>
      <c r="F749" s="100">
        <v>41158.83</v>
      </c>
      <c r="G749" s="100">
        <v>42276.64</v>
      </c>
      <c r="H749" s="100">
        <v>44478.3</v>
      </c>
      <c r="I749" s="100">
        <v>46399.01</v>
      </c>
      <c r="J749" s="100">
        <v>46948.84</v>
      </c>
      <c r="K749" s="100">
        <v>47788.58</v>
      </c>
      <c r="L749" s="100">
        <v>49277.77</v>
      </c>
      <c r="M749" s="100">
        <v>51066.55</v>
      </c>
      <c r="N749" s="100">
        <v>52090.02</v>
      </c>
    </row>
    <row r="750" spans="1:14" ht="12">
      <c r="A750" t="s">
        <v>744</v>
      </c>
      <c r="B750" s="100">
        <v>136976</v>
      </c>
      <c r="C750" s="100">
        <v>151297</v>
      </c>
      <c r="D750" s="100">
        <v>171495</v>
      </c>
      <c r="E750" s="100">
        <v>185201</v>
      </c>
      <c r="F750" s="100">
        <v>176322</v>
      </c>
      <c r="G750" s="100">
        <v>199480</v>
      </c>
      <c r="H750" s="100">
        <v>217235</v>
      </c>
      <c r="I750" s="100">
        <v>212109</v>
      </c>
      <c r="J750" s="100">
        <v>213051</v>
      </c>
      <c r="K750" s="100">
        <v>220845.9</v>
      </c>
      <c r="L750" s="100">
        <v>231105.6</v>
      </c>
      <c r="M750" s="100">
        <v>250188</v>
      </c>
      <c r="N750" s="100">
        <v>270821</v>
      </c>
    </row>
    <row r="751" spans="1:14" ht="12">
      <c r="A751" t="s">
        <v>745</v>
      </c>
      <c r="B751" s="100">
        <v>23006.649</v>
      </c>
      <c r="C751" s="100">
        <v>24602.464</v>
      </c>
      <c r="D751" s="100">
        <v>25269.736</v>
      </c>
      <c r="E751" s="100">
        <v>24956.285</v>
      </c>
      <c r="F751" s="100">
        <v>22190.369</v>
      </c>
      <c r="G751" s="100">
        <v>23777.419</v>
      </c>
      <c r="H751" s="100">
        <v>24411.456</v>
      </c>
      <c r="I751" s="100">
        <v>23339.733</v>
      </c>
      <c r="J751" s="100">
        <v>23319.705</v>
      </c>
      <c r="K751" s="100">
        <v>24560.816</v>
      </c>
      <c r="L751" s="100">
        <v>26068.519</v>
      </c>
      <c r="M751" s="100">
        <v>27346.729</v>
      </c>
      <c r="N751" s="100">
        <v>29027.969</v>
      </c>
    </row>
    <row r="752" spans="1:14" ht="12">
      <c r="A752" t="s">
        <v>746</v>
      </c>
      <c r="B752" s="100">
        <v>37248.4</v>
      </c>
      <c r="C752" s="100">
        <v>44154.2</v>
      </c>
      <c r="D752" s="100">
        <v>51561.2</v>
      </c>
      <c r="E752" s="100">
        <v>60699</v>
      </c>
      <c r="F752" s="100">
        <v>54287.4</v>
      </c>
      <c r="G752" s="100">
        <v>62692.3</v>
      </c>
      <c r="H752" s="100">
        <v>73062.5</v>
      </c>
      <c r="I752" s="100">
        <v>77956.6</v>
      </c>
      <c r="J752" s="100">
        <v>80644.3</v>
      </c>
      <c r="K752" s="100">
        <v>84785.4</v>
      </c>
      <c r="L752" s="100">
        <v>94360.7</v>
      </c>
      <c r="M752" s="100">
        <v>86096.8</v>
      </c>
      <c r="N752" s="100">
        <v>88291.1</v>
      </c>
    </row>
    <row r="753" spans="1:14" ht="12">
      <c r="A753" t="s">
        <v>747</v>
      </c>
      <c r="B753" s="100">
        <v>4492.56</v>
      </c>
      <c r="C753" s="100">
        <v>4683.26</v>
      </c>
      <c r="D753" s="100">
        <v>5069.87</v>
      </c>
      <c r="E753" s="100">
        <v>5287.21</v>
      </c>
      <c r="F753" s="100">
        <v>4908</v>
      </c>
      <c r="G753" s="100">
        <v>5100.38</v>
      </c>
      <c r="H753" s="100">
        <v>5174.58</v>
      </c>
      <c r="I753" s="100">
        <v>5219.99</v>
      </c>
      <c r="J753" s="100">
        <v>5422.08</v>
      </c>
      <c r="K753" s="100">
        <v>5583.95</v>
      </c>
      <c r="L753" s="100">
        <v>5729.49</v>
      </c>
      <c r="M753" s="100">
        <v>5887.5</v>
      </c>
      <c r="N753" s="100">
        <v>6135.31</v>
      </c>
    </row>
    <row r="754" spans="1:14" ht="12">
      <c r="A754" t="s">
        <v>748</v>
      </c>
      <c r="B754" s="100">
        <v>6262.179</v>
      </c>
      <c r="C754" s="100">
        <v>6242.75</v>
      </c>
      <c r="D754" s="100">
        <v>6925.141</v>
      </c>
      <c r="E754" s="100">
        <v>7078.889</v>
      </c>
      <c r="F754" s="100">
        <v>6630.007</v>
      </c>
      <c r="G754" s="100">
        <v>6779.116</v>
      </c>
      <c r="H754" s="100">
        <v>7377.566</v>
      </c>
      <c r="I754" s="100">
        <v>7163.223</v>
      </c>
      <c r="J754" s="100">
        <v>7632.281</v>
      </c>
      <c r="K754" s="100">
        <v>8045.254</v>
      </c>
      <c r="L754" s="100">
        <v>8506.184</v>
      </c>
      <c r="M754" s="100">
        <v>8630.302</v>
      </c>
      <c r="N754" s="100">
        <v>9291.959</v>
      </c>
    </row>
    <row r="755" spans="1:14" ht="12">
      <c r="A755" t="s">
        <v>749</v>
      </c>
      <c r="B755" s="100">
        <v>21886</v>
      </c>
      <c r="C755" s="100">
        <v>22840</v>
      </c>
      <c r="D755" s="100">
        <v>23625</v>
      </c>
      <c r="E755" s="100">
        <v>24061</v>
      </c>
      <c r="F755" s="100">
        <v>23378</v>
      </c>
      <c r="G755" s="100">
        <v>24226</v>
      </c>
      <c r="H755" s="100">
        <v>27180</v>
      </c>
      <c r="I755" s="100">
        <v>28135</v>
      </c>
      <c r="J755" s="100">
        <v>29306</v>
      </c>
      <c r="K755" s="100">
        <v>29556</v>
      </c>
      <c r="L755" s="100">
        <v>29670</v>
      </c>
      <c r="M755" s="100">
        <v>31084</v>
      </c>
      <c r="N755" s="100">
        <v>31494</v>
      </c>
    </row>
    <row r="756" spans="1:14" ht="12">
      <c r="A756" t="s">
        <v>750</v>
      </c>
      <c r="B756" s="100">
        <v>654668</v>
      </c>
      <c r="C756" s="100">
        <v>683206</v>
      </c>
      <c r="D756" s="100">
        <v>724674</v>
      </c>
      <c r="E756" s="100">
        <v>756828</v>
      </c>
      <c r="F756" s="100">
        <v>744268</v>
      </c>
      <c r="G756" s="100">
        <v>781863</v>
      </c>
      <c r="H756" s="100">
        <v>801901</v>
      </c>
      <c r="I756" s="100">
        <v>816733</v>
      </c>
      <c r="J756" s="100">
        <v>835326</v>
      </c>
      <c r="K756" s="100">
        <v>859593</v>
      </c>
      <c r="L756" s="100">
        <v>915939</v>
      </c>
      <c r="M756" s="100">
        <v>987448</v>
      </c>
      <c r="N756" s="100">
        <v>1030909</v>
      </c>
    </row>
    <row r="757" spans="1:14" ht="12">
      <c r="A757" t="s">
        <v>751</v>
      </c>
      <c r="B757" s="100">
        <v>161007</v>
      </c>
      <c r="C757" s="100">
        <v>169993</v>
      </c>
      <c r="D757" s="100">
        <v>178815</v>
      </c>
      <c r="E757" s="100">
        <v>176671</v>
      </c>
      <c r="F757" s="100">
        <v>165886</v>
      </c>
      <c r="G757" s="100">
        <v>191004</v>
      </c>
      <c r="H757" s="100">
        <v>206611</v>
      </c>
      <c r="I757" s="100">
        <v>212355</v>
      </c>
      <c r="J757" s="100">
        <v>221958</v>
      </c>
      <c r="K757" s="100">
        <v>233436</v>
      </c>
      <c r="L757" s="100">
        <v>241209</v>
      </c>
      <c r="M757" s="100">
        <v>252339</v>
      </c>
      <c r="N757" s="100">
        <v>263415</v>
      </c>
    </row>
    <row r="758" spans="1:14" ht="12">
      <c r="A758" t="s">
        <v>752</v>
      </c>
      <c r="B758" s="100">
        <v>195760.9319</v>
      </c>
      <c r="C758" s="100">
        <v>227054.17147</v>
      </c>
      <c r="D758" s="100">
        <v>244088.40306</v>
      </c>
      <c r="E758" s="100">
        <v>231911.38828</v>
      </c>
      <c r="F758" s="100">
        <v>210406.15765</v>
      </c>
      <c r="G758" s="100">
        <v>220509.97213</v>
      </c>
      <c r="H758" s="100">
        <v>233055.40855</v>
      </c>
      <c r="I758" s="100">
        <v>254688.73073</v>
      </c>
      <c r="J758" s="100">
        <v>266921.58991</v>
      </c>
      <c r="K758" s="100">
        <v>314238.97998</v>
      </c>
      <c r="L758" s="100">
        <v>334900.11453</v>
      </c>
      <c r="M758" s="100">
        <v>349359.78611</v>
      </c>
      <c r="N758" s="100">
        <v>379328.18177</v>
      </c>
    </row>
    <row r="759" spans="1:14" ht="12">
      <c r="A759" t="s">
        <v>753</v>
      </c>
      <c r="B759" s="100">
        <v>238999</v>
      </c>
      <c r="C759" s="100">
        <v>265741</v>
      </c>
      <c r="D759" s="100">
        <v>287934</v>
      </c>
      <c r="E759" s="100">
        <v>287305</v>
      </c>
      <c r="F759" s="100">
        <v>286614</v>
      </c>
      <c r="G759" s="100">
        <v>307922</v>
      </c>
      <c r="H759" s="100">
        <v>319746</v>
      </c>
      <c r="I759" s="100">
        <v>333554</v>
      </c>
      <c r="J759" s="100">
        <v>348367</v>
      </c>
      <c r="K759" s="100">
        <v>361908</v>
      </c>
      <c r="L759" s="100">
        <v>374472</v>
      </c>
      <c r="M759" s="100">
        <v>392058</v>
      </c>
      <c r="N759" s="100">
        <v>410367</v>
      </c>
    </row>
    <row r="760" spans="1:14" ht="12">
      <c r="A760" t="s">
        <v>754</v>
      </c>
      <c r="B760" s="100">
        <v>32981.55603</v>
      </c>
      <c r="C760" s="100">
        <v>34532.60634</v>
      </c>
      <c r="D760" s="100">
        <v>35917.16227</v>
      </c>
      <c r="E760" s="100">
        <v>37196.75225</v>
      </c>
      <c r="F760" s="100">
        <v>36452.59143</v>
      </c>
      <c r="G760" s="100">
        <v>38216.84564</v>
      </c>
      <c r="H760" s="100">
        <v>38878.6169</v>
      </c>
      <c r="I760" s="100">
        <v>38827.33549</v>
      </c>
      <c r="J760" s="100">
        <v>39189.29393</v>
      </c>
      <c r="K760" s="100">
        <v>39331.91955</v>
      </c>
      <c r="L760" s="100">
        <v>39526.16725</v>
      </c>
      <c r="M760" s="100">
        <v>39406.51226</v>
      </c>
      <c r="N760" s="100" t="s">
        <v>163</v>
      </c>
    </row>
    <row r="761" spans="1:14" ht="12">
      <c r="A761" t="s">
        <v>755</v>
      </c>
      <c r="B761" s="100">
        <v>-2.50608</v>
      </c>
      <c r="C761" s="100">
        <v>-1.61231</v>
      </c>
      <c r="D761" s="100">
        <v>-0.8689</v>
      </c>
      <c r="E761" s="100">
        <v>-2.48863</v>
      </c>
      <c r="F761" s="100">
        <v>-6.61601</v>
      </c>
      <c r="G761" s="100">
        <v>-6.40149</v>
      </c>
      <c r="H761" s="100">
        <v>-4.55534</v>
      </c>
      <c r="I761" s="100">
        <v>-4.26595</v>
      </c>
      <c r="J761" s="100">
        <v>-3.29713</v>
      </c>
      <c r="K761" s="100">
        <v>-2.91015</v>
      </c>
      <c r="L761" s="100">
        <v>-2.33545</v>
      </c>
      <c r="M761" s="100">
        <v>-1.62184</v>
      </c>
      <c r="N761" s="100">
        <v>-0.95641</v>
      </c>
    </row>
    <row r="762" spans="1:14" ht="12">
      <c r="A762" t="s">
        <v>756</v>
      </c>
      <c r="B762" s="100">
        <v>-2.61658</v>
      </c>
      <c r="C762" s="100">
        <v>-1.49606</v>
      </c>
      <c r="D762" s="100">
        <v>-0.6524</v>
      </c>
      <c r="E762" s="100">
        <v>-2.16421</v>
      </c>
      <c r="F762" s="100">
        <v>-6.2568</v>
      </c>
      <c r="G762" s="100">
        <v>-6.1864</v>
      </c>
      <c r="H762" s="100">
        <v>-4.23304</v>
      </c>
      <c r="I762" s="100">
        <v>-3.67355</v>
      </c>
      <c r="J762" s="100">
        <v>-3.02592</v>
      </c>
      <c r="K762" s="100">
        <v>-2.49422</v>
      </c>
      <c r="L762" s="100">
        <v>-2.03018</v>
      </c>
      <c r="M762" s="100">
        <v>-1.47375</v>
      </c>
      <c r="N762" s="100">
        <v>-0.88575</v>
      </c>
    </row>
    <row r="763" spans="1:14" ht="12">
      <c r="A763" t="s">
        <v>757</v>
      </c>
      <c r="B763" s="100">
        <v>-2.7612</v>
      </c>
      <c r="C763" s="100">
        <v>0.21934</v>
      </c>
      <c r="D763" s="100">
        <v>0.06547</v>
      </c>
      <c r="E763" s="100">
        <v>-1.10324</v>
      </c>
      <c r="F763" s="100">
        <v>-5.38306</v>
      </c>
      <c r="G763" s="100">
        <v>-4.00139</v>
      </c>
      <c r="H763" s="100">
        <v>-4.1286</v>
      </c>
      <c r="I763" s="100">
        <v>-4.23468</v>
      </c>
      <c r="J763" s="100">
        <v>-3.13764</v>
      </c>
      <c r="K763" s="100">
        <v>-3.07896</v>
      </c>
      <c r="L763" s="100">
        <v>-2.48015</v>
      </c>
      <c r="M763" s="100">
        <v>-2.48017</v>
      </c>
      <c r="N763" s="100">
        <v>-1.03142</v>
      </c>
    </row>
    <row r="764" spans="1:14" ht="12">
      <c r="A764" t="s">
        <v>758</v>
      </c>
      <c r="B764" s="100">
        <v>1.01624</v>
      </c>
      <c r="C764" s="100">
        <v>1.82179</v>
      </c>
      <c r="D764" s="100">
        <v>1.10087</v>
      </c>
      <c r="E764" s="100">
        <v>1.58986</v>
      </c>
      <c r="F764" s="100">
        <v>-4.0564</v>
      </c>
      <c r="G764" s="100">
        <v>-3.11348</v>
      </c>
      <c r="H764" s="100">
        <v>-1.96848</v>
      </c>
      <c r="I764" s="100">
        <v>-0.31991</v>
      </c>
      <c r="J764" s="100">
        <v>-0.36067</v>
      </c>
      <c r="K764" s="100">
        <v>-5.45328</v>
      </c>
      <c r="L764" s="100">
        <v>-1.60397</v>
      </c>
      <c r="M764" s="100">
        <v>0.22185</v>
      </c>
      <c r="N764" s="100">
        <v>0.9331</v>
      </c>
    </row>
    <row r="765" spans="1:14" ht="12">
      <c r="A765" t="s">
        <v>759</v>
      </c>
      <c r="B765" s="100">
        <v>-2.99133</v>
      </c>
      <c r="C765" s="100">
        <v>-2.17152</v>
      </c>
      <c r="D765" s="100">
        <v>-0.65352</v>
      </c>
      <c r="E765" s="100">
        <v>-1.97969</v>
      </c>
      <c r="F765" s="100">
        <v>-5.45009</v>
      </c>
      <c r="G765" s="100">
        <v>-4.18974</v>
      </c>
      <c r="H765" s="100">
        <v>-2.72441</v>
      </c>
      <c r="I765" s="100">
        <v>-3.92994</v>
      </c>
      <c r="J765" s="100">
        <v>-1.24762</v>
      </c>
      <c r="K765" s="100">
        <v>-2.09934</v>
      </c>
      <c r="L765" s="100">
        <v>-0.60771</v>
      </c>
      <c r="M765" s="100">
        <v>0.72575</v>
      </c>
      <c r="N765" s="100">
        <v>1.59487</v>
      </c>
    </row>
    <row r="766" spans="1:14" ht="12">
      <c r="A766" t="s">
        <v>760</v>
      </c>
      <c r="B766" s="100">
        <v>4.95503</v>
      </c>
      <c r="C766" s="100">
        <v>4.9871</v>
      </c>
      <c r="D766" s="100">
        <v>5.02046</v>
      </c>
      <c r="E766" s="100">
        <v>3.17391</v>
      </c>
      <c r="F766" s="100">
        <v>-2.79814</v>
      </c>
      <c r="G766" s="100">
        <v>-2.71027</v>
      </c>
      <c r="H766" s="100">
        <v>-2.05577</v>
      </c>
      <c r="I766" s="100">
        <v>-3.49044</v>
      </c>
      <c r="J766" s="100">
        <v>-1.23565</v>
      </c>
      <c r="K766" s="100">
        <v>1.14443</v>
      </c>
      <c r="L766" s="100">
        <v>-1.47101</v>
      </c>
      <c r="M766" s="100">
        <v>-0.40877</v>
      </c>
      <c r="N766" s="100">
        <v>1.00042</v>
      </c>
    </row>
    <row r="767" spans="1:14" ht="12">
      <c r="A767" t="s">
        <v>761</v>
      </c>
      <c r="B767" s="100">
        <v>-3.41694</v>
      </c>
      <c r="C767" s="100">
        <v>-1.72151</v>
      </c>
      <c r="D767" s="100">
        <v>0.18725</v>
      </c>
      <c r="E767" s="100">
        <v>-0.17687</v>
      </c>
      <c r="F767" s="100">
        <v>-3.235</v>
      </c>
      <c r="G767" s="100">
        <v>-4.22099</v>
      </c>
      <c r="H767" s="100">
        <v>-0.95678</v>
      </c>
      <c r="I767" s="100">
        <v>-0.03368</v>
      </c>
      <c r="J767" s="100">
        <v>-0.14036</v>
      </c>
      <c r="K767" s="100">
        <v>0.5288</v>
      </c>
      <c r="L767" s="100">
        <v>0.83558</v>
      </c>
      <c r="M767" s="100">
        <v>1.01347</v>
      </c>
      <c r="N767" s="100">
        <v>1.26297</v>
      </c>
    </row>
    <row r="768" spans="1:14" ht="12">
      <c r="A768" t="s">
        <v>762</v>
      </c>
      <c r="B768" s="100">
        <v>1.12322</v>
      </c>
      <c r="C768" s="100">
        <v>2.90644</v>
      </c>
      <c r="D768" s="100">
        <v>2.71691</v>
      </c>
      <c r="E768" s="100">
        <v>-2.6663</v>
      </c>
      <c r="F768" s="100">
        <v>-2.18368</v>
      </c>
      <c r="G768" s="100">
        <v>0.18754</v>
      </c>
      <c r="H768" s="100">
        <v>1.15853</v>
      </c>
      <c r="I768" s="100">
        <v>-0.2576</v>
      </c>
      <c r="J768" s="100">
        <v>-0.17008</v>
      </c>
      <c r="K768" s="100">
        <v>0.67792</v>
      </c>
      <c r="L768" s="100">
        <v>0.07028</v>
      </c>
      <c r="M768" s="100">
        <v>-0.29007</v>
      </c>
      <c r="N768" s="100">
        <v>-0.28736</v>
      </c>
    </row>
    <row r="769" spans="1:14" ht="12">
      <c r="A769" t="s">
        <v>763</v>
      </c>
      <c r="B769" s="100">
        <v>1.61656</v>
      </c>
      <c r="C769" s="100">
        <v>2.82219</v>
      </c>
      <c r="D769" s="100">
        <v>0.31667</v>
      </c>
      <c r="E769" s="100">
        <v>-6.95546</v>
      </c>
      <c r="F769" s="100">
        <v>-13.79624</v>
      </c>
      <c r="G769" s="100">
        <v>-32.05097</v>
      </c>
      <c r="H769" s="100">
        <v>-12.72344</v>
      </c>
      <c r="I769" s="100">
        <v>-8.03441</v>
      </c>
      <c r="J769" s="100">
        <v>-6.10333</v>
      </c>
      <c r="K769" s="100">
        <v>-3.63029</v>
      </c>
      <c r="L769" s="100">
        <v>-1.88969</v>
      </c>
      <c r="M769" s="100">
        <v>-0.51605</v>
      </c>
      <c r="N769" s="100">
        <v>-0.34225</v>
      </c>
    </row>
    <row r="770" spans="1:14" ht="12">
      <c r="A770" t="s">
        <v>764</v>
      </c>
      <c r="B770" s="100">
        <v>-6.18794</v>
      </c>
      <c r="C770" s="100">
        <v>-5.94598</v>
      </c>
      <c r="D770" s="100">
        <v>-6.70707</v>
      </c>
      <c r="E770" s="100">
        <v>-10.17602</v>
      </c>
      <c r="F770" s="100">
        <v>-15.1414</v>
      </c>
      <c r="G770" s="100">
        <v>-11.19711</v>
      </c>
      <c r="H770" s="100">
        <v>-10.27875</v>
      </c>
      <c r="I770" s="100">
        <v>-8.8654</v>
      </c>
      <c r="J770" s="100">
        <v>-13.15498</v>
      </c>
      <c r="K770" s="100">
        <v>-3.61589</v>
      </c>
      <c r="L770" s="100">
        <v>-5.66609</v>
      </c>
      <c r="M770" s="100">
        <v>0.62802</v>
      </c>
      <c r="N770" s="100">
        <v>0.81807</v>
      </c>
    </row>
    <row r="771" spans="1:14" ht="12">
      <c r="A771" t="s">
        <v>765</v>
      </c>
      <c r="B771" s="100">
        <v>1.20959</v>
      </c>
      <c r="C771" s="100">
        <v>2.19996</v>
      </c>
      <c r="D771" s="100">
        <v>1.92375</v>
      </c>
      <c r="E771" s="100">
        <v>-4.42052</v>
      </c>
      <c r="F771" s="100">
        <v>-10.9535</v>
      </c>
      <c r="G771" s="100">
        <v>-9.38114</v>
      </c>
      <c r="H771" s="100">
        <v>-9.64212</v>
      </c>
      <c r="I771" s="100">
        <v>-10.46792</v>
      </c>
      <c r="J771" s="100">
        <v>-6.98913</v>
      </c>
      <c r="K771" s="100">
        <v>-5.96847</v>
      </c>
      <c r="L771" s="100">
        <v>-5.27816</v>
      </c>
      <c r="M771" s="100">
        <v>-4.50604</v>
      </c>
      <c r="N771" s="100">
        <v>-3.1137</v>
      </c>
    </row>
    <row r="772" spans="1:14" ht="12">
      <c r="A772" t="s">
        <v>766</v>
      </c>
      <c r="B772" s="100">
        <v>-3.35556</v>
      </c>
      <c r="C772" s="100">
        <v>-2.44369</v>
      </c>
      <c r="D772" s="100">
        <v>-2.6363</v>
      </c>
      <c r="E772" s="100">
        <v>-3.26373</v>
      </c>
      <c r="F772" s="100">
        <v>-7.17478</v>
      </c>
      <c r="G772" s="100">
        <v>-6.88672</v>
      </c>
      <c r="H772" s="100">
        <v>-5.15476</v>
      </c>
      <c r="I772" s="100">
        <v>-4.98098</v>
      </c>
      <c r="J772" s="100">
        <v>-4.08409</v>
      </c>
      <c r="K772" s="100">
        <v>-3.90466</v>
      </c>
      <c r="L772" s="100">
        <v>-3.62517</v>
      </c>
      <c r="M772" s="100">
        <v>-3.40752</v>
      </c>
      <c r="N772" s="100">
        <v>-2.59425</v>
      </c>
    </row>
    <row r="773" spans="1:14" ht="12">
      <c r="A773" t="s">
        <v>767</v>
      </c>
      <c r="B773" s="100">
        <v>-3.85413</v>
      </c>
      <c r="C773" s="100">
        <v>-3.38678</v>
      </c>
      <c r="D773" s="100">
        <v>-2.44505</v>
      </c>
      <c r="E773" s="100">
        <v>-2.76245</v>
      </c>
      <c r="F773" s="100">
        <v>-5.99579</v>
      </c>
      <c r="G773" s="100">
        <v>-6.46208</v>
      </c>
      <c r="H773" s="100">
        <v>-7.77921</v>
      </c>
      <c r="I773" s="100">
        <v>-5.21789</v>
      </c>
      <c r="J773" s="100">
        <v>-5.28604</v>
      </c>
      <c r="K773" s="100">
        <v>-5.14191</v>
      </c>
      <c r="L773" s="100">
        <v>-3.44769</v>
      </c>
      <c r="M773" s="100">
        <v>-0.93725</v>
      </c>
      <c r="N773" s="100">
        <v>0.75802</v>
      </c>
    </row>
    <row r="774" spans="1:14" ht="12">
      <c r="A774" t="s">
        <v>768</v>
      </c>
      <c r="B774" s="100">
        <v>-4.10519</v>
      </c>
      <c r="C774" s="100">
        <v>-3.52315</v>
      </c>
      <c r="D774" s="100">
        <v>-1.46482</v>
      </c>
      <c r="E774" s="100">
        <v>-2.63101</v>
      </c>
      <c r="F774" s="100">
        <v>-5.24821</v>
      </c>
      <c r="G774" s="100">
        <v>-4.21144</v>
      </c>
      <c r="H774" s="100">
        <v>-3.67831</v>
      </c>
      <c r="I774" s="100">
        <v>-2.91818</v>
      </c>
      <c r="J774" s="100">
        <v>-2.92241</v>
      </c>
      <c r="K774" s="100">
        <v>-2.98589</v>
      </c>
      <c r="L774" s="100">
        <v>-2.57572</v>
      </c>
      <c r="M774" s="100">
        <v>-2.47705</v>
      </c>
      <c r="N774" s="100">
        <v>-2.31174</v>
      </c>
    </row>
    <row r="775" spans="1:14" ht="12">
      <c r="A775" t="s">
        <v>769</v>
      </c>
      <c r="B775" s="100">
        <v>-2.16633</v>
      </c>
      <c r="C775" s="100">
        <v>-1.02625</v>
      </c>
      <c r="D775" s="100">
        <v>3.21787</v>
      </c>
      <c r="E775" s="100">
        <v>0.86603</v>
      </c>
      <c r="F775" s="100">
        <v>-5.4339</v>
      </c>
      <c r="G775" s="100">
        <v>-4.72344</v>
      </c>
      <c r="H775" s="100">
        <v>-5.68699</v>
      </c>
      <c r="I775" s="100">
        <v>-5.55268</v>
      </c>
      <c r="J775" s="100">
        <v>-5.13106</v>
      </c>
      <c r="K775" s="100">
        <v>-8.9595</v>
      </c>
      <c r="L775" s="100">
        <v>-1.3313</v>
      </c>
      <c r="M775" s="100">
        <v>0.32329</v>
      </c>
      <c r="N775" s="100">
        <v>1.7883</v>
      </c>
    </row>
    <row r="776" spans="1:14" ht="12">
      <c r="A776" t="s">
        <v>770</v>
      </c>
      <c r="B776" s="100">
        <v>-0.36427</v>
      </c>
      <c r="C776" s="100">
        <v>-0.48778</v>
      </c>
      <c r="D776" s="100">
        <v>-0.51266</v>
      </c>
      <c r="E776" s="100">
        <v>-4.20426</v>
      </c>
      <c r="F776" s="100">
        <v>-9.12688</v>
      </c>
      <c r="G776" s="100">
        <v>-8.68586</v>
      </c>
      <c r="H776" s="100">
        <v>-4.3067</v>
      </c>
      <c r="I776" s="100">
        <v>-1.20563</v>
      </c>
      <c r="J776" s="100">
        <v>-1.15915</v>
      </c>
      <c r="K776" s="100">
        <v>-1.48885</v>
      </c>
      <c r="L776" s="100">
        <v>-1.36014</v>
      </c>
      <c r="M776" s="100">
        <v>0.06267</v>
      </c>
      <c r="N776" s="100">
        <v>-0.48819</v>
      </c>
    </row>
    <row r="777" spans="1:14" ht="12">
      <c r="A777" t="s">
        <v>771</v>
      </c>
      <c r="B777" s="100">
        <v>-0.34306</v>
      </c>
      <c r="C777" s="100">
        <v>-0.27209</v>
      </c>
      <c r="D777" s="100">
        <v>-0.81532</v>
      </c>
      <c r="E777" s="100">
        <v>-3.08303</v>
      </c>
      <c r="F777" s="100">
        <v>-9.10565</v>
      </c>
      <c r="G777" s="100">
        <v>-6.90071</v>
      </c>
      <c r="H777" s="100">
        <v>-8.93975</v>
      </c>
      <c r="I777" s="100">
        <v>-3.14549</v>
      </c>
      <c r="J777" s="100">
        <v>-2.60992</v>
      </c>
      <c r="K777" s="100">
        <v>-0.61736</v>
      </c>
      <c r="L777" s="100">
        <v>-0.24477</v>
      </c>
      <c r="M777" s="100">
        <v>0.26637</v>
      </c>
      <c r="N777" s="100">
        <v>0.52847</v>
      </c>
    </row>
    <row r="778" spans="1:14" ht="12">
      <c r="A778" t="s">
        <v>772</v>
      </c>
      <c r="B778" s="100">
        <v>0.07761</v>
      </c>
      <c r="C778" s="100">
        <v>1.93591</v>
      </c>
      <c r="D778" s="100">
        <v>4.15119</v>
      </c>
      <c r="E778" s="100">
        <v>3.31988</v>
      </c>
      <c r="F778" s="100">
        <v>-0.67471</v>
      </c>
      <c r="G778" s="100">
        <v>-0.65824</v>
      </c>
      <c r="H778" s="100">
        <v>0.51285</v>
      </c>
      <c r="I778" s="100">
        <v>0.34497</v>
      </c>
      <c r="J778" s="100">
        <v>0.97544</v>
      </c>
      <c r="K778" s="100">
        <v>1.32608</v>
      </c>
      <c r="L778" s="100">
        <v>1.36263</v>
      </c>
      <c r="M778" s="100">
        <v>1.61441</v>
      </c>
      <c r="N778" s="100">
        <v>1.51544</v>
      </c>
    </row>
    <row r="779" spans="1:14" ht="12">
      <c r="A779" t="s">
        <v>773</v>
      </c>
      <c r="B779" s="100">
        <v>-7.77095</v>
      </c>
      <c r="C779" s="100">
        <v>-9.27292</v>
      </c>
      <c r="D779" s="100">
        <v>-5.0247</v>
      </c>
      <c r="E779" s="100">
        <v>-3.68095</v>
      </c>
      <c r="F779" s="100">
        <v>-4.53878</v>
      </c>
      <c r="G779" s="100">
        <v>-4.4742</v>
      </c>
      <c r="H779" s="100">
        <v>-5.41411</v>
      </c>
      <c r="I779" s="100">
        <v>-2.39935</v>
      </c>
      <c r="J779" s="100">
        <v>-2.61675</v>
      </c>
      <c r="K779" s="100">
        <v>-2.59873</v>
      </c>
      <c r="L779" s="100">
        <v>-1.90593</v>
      </c>
      <c r="M779" s="100">
        <v>-1.66413</v>
      </c>
      <c r="N779" s="100">
        <v>-1.95457</v>
      </c>
    </row>
    <row r="780" spans="1:14" ht="12">
      <c r="A780" t="s">
        <v>774</v>
      </c>
      <c r="B780" s="100">
        <v>-2.62199</v>
      </c>
      <c r="C780" s="100">
        <v>-2.51811</v>
      </c>
      <c r="D780" s="100">
        <v>-2.1441</v>
      </c>
      <c r="E780" s="100">
        <v>-4.18222</v>
      </c>
      <c r="F780" s="100">
        <v>-3.23892</v>
      </c>
      <c r="G780" s="100">
        <v>-2.39376</v>
      </c>
      <c r="H780" s="100">
        <v>-2.40698</v>
      </c>
      <c r="I780" s="100">
        <v>-3.48909</v>
      </c>
      <c r="J780" s="100">
        <v>-2.42581</v>
      </c>
      <c r="K780" s="100">
        <v>-1.75757</v>
      </c>
      <c r="L780" s="100">
        <v>-1.09498</v>
      </c>
      <c r="M780" s="100">
        <v>0.99072</v>
      </c>
      <c r="N780" s="100">
        <v>3.93066</v>
      </c>
    </row>
    <row r="781" spans="1:14" ht="12">
      <c r="A781" t="s">
        <v>775</v>
      </c>
      <c r="B781" s="100">
        <v>-0.25604</v>
      </c>
      <c r="C781" s="100">
        <v>0.21046</v>
      </c>
      <c r="D781" s="100">
        <v>0.21165</v>
      </c>
      <c r="E781" s="100">
        <v>0.22373</v>
      </c>
      <c r="F781" s="100">
        <v>-5.4309</v>
      </c>
      <c r="G781" s="100">
        <v>-4.99151</v>
      </c>
      <c r="H781" s="100">
        <v>-4.2885</v>
      </c>
      <c r="I781" s="100">
        <v>-3.8849</v>
      </c>
      <c r="J781" s="100">
        <v>-2.37412</v>
      </c>
      <c r="K781" s="100">
        <v>-2.26664</v>
      </c>
      <c r="L781" s="100">
        <v>-2.05119</v>
      </c>
      <c r="M781" s="100">
        <v>0.36619</v>
      </c>
      <c r="N781" s="100">
        <v>1.09306</v>
      </c>
    </row>
    <row r="782" spans="1:14" ht="12">
      <c r="A782" t="s">
        <v>776</v>
      </c>
      <c r="B782" s="100">
        <v>-2.50835</v>
      </c>
      <c r="C782" s="100">
        <v>-2.53544</v>
      </c>
      <c r="D782" s="100">
        <v>-1.35461</v>
      </c>
      <c r="E782" s="100">
        <v>-1.49527</v>
      </c>
      <c r="F782" s="100">
        <v>-5.32971</v>
      </c>
      <c r="G782" s="100">
        <v>-4.44128</v>
      </c>
      <c r="H782" s="100">
        <v>-2.55356</v>
      </c>
      <c r="I782" s="100">
        <v>-2.18906</v>
      </c>
      <c r="J782" s="100">
        <v>-1.95008</v>
      </c>
      <c r="K782" s="100">
        <v>-2.72983</v>
      </c>
      <c r="L782" s="100">
        <v>-1.04556</v>
      </c>
      <c r="M782" s="100">
        <v>-1.59143</v>
      </c>
      <c r="N782" s="100">
        <v>-0.70123</v>
      </c>
    </row>
    <row r="783" spans="1:14" ht="12">
      <c r="A783" t="s">
        <v>777</v>
      </c>
      <c r="B783" s="100">
        <v>-3.96184</v>
      </c>
      <c r="C783" s="100">
        <v>-3.55731</v>
      </c>
      <c r="D783" s="100">
        <v>-1.85297</v>
      </c>
      <c r="E783" s="100">
        <v>-3.60012</v>
      </c>
      <c r="F783" s="100">
        <v>-7.25269</v>
      </c>
      <c r="G783" s="100">
        <v>-7.34215</v>
      </c>
      <c r="H783" s="100">
        <v>-4.82722</v>
      </c>
      <c r="I783" s="100">
        <v>-3.71174</v>
      </c>
      <c r="J783" s="100">
        <v>-4.11287</v>
      </c>
      <c r="K783" s="100">
        <v>-3.6248</v>
      </c>
      <c r="L783" s="100">
        <v>-2.64709</v>
      </c>
      <c r="M783" s="100">
        <v>-2.34828</v>
      </c>
      <c r="N783" s="100">
        <v>-1.66255</v>
      </c>
    </row>
    <row r="784" spans="1:14" ht="12">
      <c r="A784" t="s">
        <v>778</v>
      </c>
      <c r="B784" s="100">
        <v>-6.19379</v>
      </c>
      <c r="C784" s="100">
        <v>-4.32756</v>
      </c>
      <c r="D784" s="100">
        <v>-3.00876</v>
      </c>
      <c r="E784" s="100">
        <v>-3.76566</v>
      </c>
      <c r="F784" s="100">
        <v>-9.80553</v>
      </c>
      <c r="G784" s="100">
        <v>-11.17114</v>
      </c>
      <c r="H784" s="100">
        <v>-7.38284</v>
      </c>
      <c r="I784" s="100">
        <v>-5.65867</v>
      </c>
      <c r="J784" s="100">
        <v>-4.84242</v>
      </c>
      <c r="K784" s="100">
        <v>-7.16566</v>
      </c>
      <c r="L784" s="100">
        <v>-4.40343</v>
      </c>
      <c r="M784" s="100">
        <v>-1.9759</v>
      </c>
      <c r="N784" s="100">
        <v>-2.9575</v>
      </c>
    </row>
    <row r="785" spans="1:14" ht="12">
      <c r="A785" t="s">
        <v>779</v>
      </c>
      <c r="B785" s="100">
        <v>-0.81624</v>
      </c>
      <c r="C785" s="100">
        <v>-2.12522</v>
      </c>
      <c r="D785" s="100">
        <v>-2.72088</v>
      </c>
      <c r="E785" s="100">
        <v>-5.38424</v>
      </c>
      <c r="F785" s="100">
        <v>-9.16454</v>
      </c>
      <c r="G785" s="100">
        <v>-6.92977</v>
      </c>
      <c r="H785" s="100">
        <v>-5.43379</v>
      </c>
      <c r="I785" s="100">
        <v>-3.66344</v>
      </c>
      <c r="J785" s="100">
        <v>-2.14368</v>
      </c>
      <c r="K785" s="100">
        <v>-1.33835</v>
      </c>
      <c r="L785" s="100">
        <v>-0.79324</v>
      </c>
      <c r="M785" s="100">
        <v>-2.97482</v>
      </c>
      <c r="N785" s="100">
        <v>-2.91467</v>
      </c>
    </row>
    <row r="786" spans="1:14" ht="12">
      <c r="A786" t="s">
        <v>780</v>
      </c>
      <c r="B786" s="100">
        <v>-1.3329</v>
      </c>
      <c r="C786" s="100">
        <v>-1.20433</v>
      </c>
      <c r="D786" s="100">
        <v>-0.08108</v>
      </c>
      <c r="E786" s="100">
        <v>-1.41316</v>
      </c>
      <c r="F786" s="100">
        <v>-5.84062</v>
      </c>
      <c r="G786" s="100">
        <v>-5.6349</v>
      </c>
      <c r="H786" s="100">
        <v>-6.67192</v>
      </c>
      <c r="I786" s="100">
        <v>-4.04356</v>
      </c>
      <c r="J786" s="100">
        <v>-14.67861</v>
      </c>
      <c r="K786" s="100">
        <v>-5.51518</v>
      </c>
      <c r="L786" s="100">
        <v>-2.85553</v>
      </c>
      <c r="M786" s="100">
        <v>-1.93178</v>
      </c>
      <c r="N786" s="100">
        <v>0.03099</v>
      </c>
    </row>
    <row r="787" spans="1:14" ht="12">
      <c r="A787" t="s">
        <v>781</v>
      </c>
      <c r="B787" s="100">
        <v>-2.88333</v>
      </c>
      <c r="C787" s="100">
        <v>-3.59197</v>
      </c>
      <c r="D787" s="100">
        <v>-1.94876</v>
      </c>
      <c r="E787" s="100">
        <v>-2.42775</v>
      </c>
      <c r="F787" s="100">
        <v>-7.80421</v>
      </c>
      <c r="G787" s="100">
        <v>-7.48492</v>
      </c>
      <c r="H787" s="100">
        <v>-4.27695</v>
      </c>
      <c r="I787" s="100">
        <v>-4.34489</v>
      </c>
      <c r="J787" s="100">
        <v>-2.71999</v>
      </c>
      <c r="K787" s="100">
        <v>-2.70229</v>
      </c>
      <c r="L787" s="100">
        <v>-2.72618</v>
      </c>
      <c r="M787" s="100">
        <v>-2.2065</v>
      </c>
      <c r="N787" s="100">
        <v>-1.04073</v>
      </c>
    </row>
    <row r="788" spans="1:14" ht="12">
      <c r="A788" t="s">
        <v>782</v>
      </c>
      <c r="B788" s="100">
        <v>2.59327</v>
      </c>
      <c r="C788" s="100">
        <v>3.93131</v>
      </c>
      <c r="D788" s="100">
        <v>5.13281</v>
      </c>
      <c r="E788" s="100">
        <v>4.18045</v>
      </c>
      <c r="F788" s="100">
        <v>-2.52832</v>
      </c>
      <c r="G788" s="100">
        <v>-2.60983</v>
      </c>
      <c r="H788" s="100">
        <v>-1.04435</v>
      </c>
      <c r="I788" s="100">
        <v>-2.18326</v>
      </c>
      <c r="J788" s="100">
        <v>-2.61387</v>
      </c>
      <c r="K788" s="100">
        <v>-3.21063</v>
      </c>
      <c r="L788" s="100">
        <v>-2.75854</v>
      </c>
      <c r="M788" s="100">
        <v>-1.79216</v>
      </c>
      <c r="N788" s="100">
        <v>-0.5722</v>
      </c>
    </row>
    <row r="789" spans="1:14" ht="12">
      <c r="A789" t="s">
        <v>783</v>
      </c>
      <c r="B789" s="100">
        <v>1.82957</v>
      </c>
      <c r="C789" s="100">
        <v>2.20604</v>
      </c>
      <c r="D789" s="100">
        <v>3.35457</v>
      </c>
      <c r="E789" s="100">
        <v>1.90046</v>
      </c>
      <c r="F789" s="100">
        <v>-0.71683</v>
      </c>
      <c r="G789" s="100">
        <v>-0.0323</v>
      </c>
      <c r="H789" s="100">
        <v>-0.20719</v>
      </c>
      <c r="I789" s="100">
        <v>-0.9819</v>
      </c>
      <c r="J789" s="100">
        <v>-1.36497</v>
      </c>
      <c r="K789" s="100">
        <v>-1.56057</v>
      </c>
      <c r="L789" s="100">
        <v>0.18317</v>
      </c>
      <c r="M789" s="100">
        <v>1.18582</v>
      </c>
      <c r="N789" s="100">
        <v>1.27032</v>
      </c>
    </row>
    <row r="790" spans="1:14" ht="12">
      <c r="A790" t="s">
        <v>784</v>
      </c>
      <c r="B790" s="100">
        <v>-3.14314</v>
      </c>
      <c r="C790" s="100">
        <v>-2.76145</v>
      </c>
      <c r="D790" s="100">
        <v>-2.63594</v>
      </c>
      <c r="E790" s="100">
        <v>-5.17308</v>
      </c>
      <c r="F790" s="100">
        <v>-10.12307</v>
      </c>
      <c r="G790" s="100">
        <v>-9.41744</v>
      </c>
      <c r="H790" s="100">
        <v>-7.47177</v>
      </c>
      <c r="I790" s="100">
        <v>-8.15197</v>
      </c>
      <c r="J790" s="100">
        <v>-5.4016</v>
      </c>
      <c r="K790" s="100">
        <v>-5.44826</v>
      </c>
      <c r="L790" s="100">
        <v>-4.26184</v>
      </c>
      <c r="M790" s="100">
        <v>-2.9707</v>
      </c>
      <c r="N790" s="100">
        <v>-1.9314</v>
      </c>
    </row>
    <row r="791" spans="1:14" ht="12">
      <c r="A791" t="s">
        <v>785</v>
      </c>
      <c r="B791" s="100">
        <v>4.47821</v>
      </c>
      <c r="C791" s="100">
        <v>5.86351</v>
      </c>
      <c r="D791" s="100">
        <v>4.91124</v>
      </c>
      <c r="E791" s="100">
        <v>-13.02998</v>
      </c>
      <c r="F791" s="100">
        <v>-9.63692</v>
      </c>
      <c r="G791" s="100">
        <v>-9.72057</v>
      </c>
      <c r="H791" s="100">
        <v>-5.56327</v>
      </c>
      <c r="I791" s="100">
        <v>-3.7177</v>
      </c>
      <c r="J791" s="100">
        <v>-1.83178</v>
      </c>
      <c r="K791" s="100">
        <v>-0.07406</v>
      </c>
      <c r="L791" s="100">
        <v>-0.81252</v>
      </c>
      <c r="M791" s="100">
        <v>12.57101</v>
      </c>
      <c r="N791" s="100">
        <v>1.51337</v>
      </c>
    </row>
    <row r="792" spans="1:14" ht="12">
      <c r="A792" t="s">
        <v>786</v>
      </c>
      <c r="B792" s="100">
        <v>14.81929</v>
      </c>
      <c r="C792" s="100">
        <v>18.02076</v>
      </c>
      <c r="D792" s="100">
        <v>17.11308</v>
      </c>
      <c r="E792" s="100">
        <v>18.67137</v>
      </c>
      <c r="F792" s="100">
        <v>10.33235</v>
      </c>
      <c r="G792" s="100">
        <v>10.99382</v>
      </c>
      <c r="H792" s="100">
        <v>13.43011</v>
      </c>
      <c r="I792" s="100">
        <v>13.83138</v>
      </c>
      <c r="J792" s="100">
        <v>10.77294</v>
      </c>
      <c r="K792" s="100">
        <v>8.74825</v>
      </c>
      <c r="L792" s="100">
        <v>6.05895</v>
      </c>
      <c r="M792" s="100">
        <v>3.99406</v>
      </c>
      <c r="N792" s="100">
        <v>4.44885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O63"/>
  <sheetViews>
    <sheetView workbookViewId="0" topLeftCell="A1">
      <selection activeCell="A2" sqref="A2:A792"/>
    </sheetView>
  </sheetViews>
  <sheetFormatPr defaultColWidth="9.140625" defaultRowHeight="12"/>
  <cols>
    <col min="1" max="1" width="42.28125" style="0" bestFit="1" customWidth="1"/>
    <col min="2" max="5" width="10.00390625" style="0" bestFit="1" customWidth="1"/>
    <col min="6" max="6" width="9.57421875" style="0" bestFit="1" customWidth="1"/>
    <col min="7" max="15" width="10.00390625" style="0" bestFit="1" customWidth="1"/>
    <col min="16" max="16384" width="9.140625" style="23" customWidth="1"/>
  </cols>
  <sheetData>
    <row r="1" spans="1:15" ht="12">
      <c r="A1" t="s">
        <v>849</v>
      </c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</row>
    <row r="2" spans="1:15" ht="12">
      <c r="A2" t="s">
        <v>162</v>
      </c>
      <c r="B2" s="100">
        <v>-2.84613</v>
      </c>
      <c r="C2" s="100">
        <v>-2.50608</v>
      </c>
      <c r="D2" s="100">
        <v>-1.61231</v>
      </c>
      <c r="E2" s="100">
        <v>-0.86891</v>
      </c>
      <c r="F2" s="100">
        <v>-2.48863</v>
      </c>
      <c r="G2" s="100">
        <v>-6.616</v>
      </c>
      <c r="H2" s="100">
        <v>-6.40149</v>
      </c>
      <c r="I2" s="100">
        <v>-4.55535</v>
      </c>
      <c r="J2" s="100">
        <v>-4.26595</v>
      </c>
      <c r="K2" s="100">
        <v>-3.29707</v>
      </c>
      <c r="L2" s="100">
        <v>-2.91014</v>
      </c>
      <c r="M2" s="100">
        <v>-2.33546</v>
      </c>
      <c r="N2" s="100">
        <v>-1.62184</v>
      </c>
      <c r="O2" s="100">
        <v>-0.95642</v>
      </c>
    </row>
    <row r="3" spans="1:15" ht="12">
      <c r="A3" t="s">
        <v>788</v>
      </c>
      <c r="B3" s="100">
        <v>-2.96291</v>
      </c>
      <c r="C3" s="100">
        <v>-2.61658</v>
      </c>
      <c r="D3" s="100">
        <v>-1.49606</v>
      </c>
      <c r="E3" s="100">
        <v>-0.6524</v>
      </c>
      <c r="F3" s="100">
        <v>-2.16421</v>
      </c>
      <c r="G3" s="100">
        <v>-6.2568</v>
      </c>
      <c r="H3" s="100">
        <v>-6.18641</v>
      </c>
      <c r="I3" s="100">
        <v>-4.23305</v>
      </c>
      <c r="J3" s="100">
        <v>-3.67356</v>
      </c>
      <c r="K3" s="100">
        <v>-3.02592</v>
      </c>
      <c r="L3" s="100">
        <v>-2.49421</v>
      </c>
      <c r="M3" s="100">
        <v>-2.03019</v>
      </c>
      <c r="N3" s="100">
        <v>-1.47375</v>
      </c>
      <c r="O3" s="100">
        <v>-0.88576</v>
      </c>
    </row>
    <row r="4" spans="1:15" ht="12">
      <c r="A4" t="s">
        <v>789</v>
      </c>
      <c r="B4" s="100">
        <v>-0.15708</v>
      </c>
      <c r="C4" s="100">
        <v>-2.76123</v>
      </c>
      <c r="D4" s="100">
        <v>0.21946</v>
      </c>
      <c r="E4" s="100">
        <v>0.06539</v>
      </c>
      <c r="F4" s="100">
        <v>-1.10316</v>
      </c>
      <c r="G4" s="100">
        <v>-5.383</v>
      </c>
      <c r="H4" s="100">
        <v>-4.0015</v>
      </c>
      <c r="I4" s="100">
        <v>-4.12863</v>
      </c>
      <c r="J4" s="100">
        <v>-4.23468</v>
      </c>
      <c r="K4" s="100">
        <v>-3.13759</v>
      </c>
      <c r="L4" s="100">
        <v>-3.07886</v>
      </c>
      <c r="M4" s="100">
        <v>-2.4802</v>
      </c>
      <c r="N4" s="100">
        <v>-2.48021</v>
      </c>
      <c r="O4" s="100">
        <v>-1.03155</v>
      </c>
    </row>
    <row r="5" spans="1:15" ht="12">
      <c r="A5" t="s">
        <v>790</v>
      </c>
      <c r="B5" s="100">
        <v>1.81036</v>
      </c>
      <c r="C5" s="100">
        <v>1.01624</v>
      </c>
      <c r="D5" s="100">
        <v>1.82179</v>
      </c>
      <c r="E5" s="100">
        <v>1.10087</v>
      </c>
      <c r="F5" s="100">
        <v>1.58986</v>
      </c>
      <c r="G5" s="100">
        <v>-4.0564</v>
      </c>
      <c r="H5" s="100">
        <v>-3.11348</v>
      </c>
      <c r="I5" s="100">
        <v>-1.96848</v>
      </c>
      <c r="J5" s="100">
        <v>-0.31991</v>
      </c>
      <c r="K5" s="100">
        <v>-0.36067</v>
      </c>
      <c r="L5" s="100">
        <v>-5.45323</v>
      </c>
      <c r="M5" s="100">
        <v>-1.60351</v>
      </c>
      <c r="N5" s="100">
        <v>0.22185</v>
      </c>
      <c r="O5" s="100">
        <v>0.9331</v>
      </c>
    </row>
    <row r="6" spans="1:15" ht="12">
      <c r="A6" t="s">
        <v>791</v>
      </c>
      <c r="B6" s="100">
        <v>-2.38127</v>
      </c>
      <c r="C6" s="100">
        <v>-2.99133</v>
      </c>
      <c r="D6" s="100">
        <v>-2.17152</v>
      </c>
      <c r="E6" s="100">
        <v>-0.65352</v>
      </c>
      <c r="F6" s="100">
        <v>-1.97969</v>
      </c>
      <c r="G6" s="100">
        <v>-5.45009</v>
      </c>
      <c r="H6" s="100">
        <v>-4.18974</v>
      </c>
      <c r="I6" s="100">
        <v>-2.72441</v>
      </c>
      <c r="J6" s="100">
        <v>-3.92994</v>
      </c>
      <c r="K6" s="100">
        <v>-1.24762</v>
      </c>
      <c r="L6" s="100">
        <v>-2.09934</v>
      </c>
      <c r="M6" s="100">
        <v>-0.60771</v>
      </c>
      <c r="N6" s="100">
        <v>0.72575</v>
      </c>
      <c r="O6" s="100">
        <v>1.59487</v>
      </c>
    </row>
    <row r="7" spans="1:15" ht="12">
      <c r="A7" t="s">
        <v>792</v>
      </c>
      <c r="B7" s="100">
        <v>2.07317</v>
      </c>
      <c r="C7" s="100">
        <v>4.95509</v>
      </c>
      <c r="D7" s="100">
        <v>4.9871</v>
      </c>
      <c r="E7" s="100">
        <v>5.02046</v>
      </c>
      <c r="F7" s="100">
        <v>3.17391</v>
      </c>
      <c r="G7" s="100">
        <v>-2.79814</v>
      </c>
      <c r="H7" s="100">
        <v>-2.71027</v>
      </c>
      <c r="I7" s="100">
        <v>-2.05577</v>
      </c>
      <c r="J7" s="100">
        <v>-3.49044</v>
      </c>
      <c r="K7" s="100">
        <v>-1.2357</v>
      </c>
      <c r="L7" s="100">
        <v>1.14443</v>
      </c>
      <c r="M7" s="100">
        <v>-1.47101</v>
      </c>
      <c r="N7" s="100">
        <v>-0.40877</v>
      </c>
      <c r="O7" s="100">
        <v>1.00044</v>
      </c>
    </row>
    <row r="8" spans="1:15" ht="12">
      <c r="A8" t="s">
        <v>793</v>
      </c>
      <c r="B8" s="100">
        <v>-3.74078</v>
      </c>
      <c r="C8" s="100">
        <v>-3.41694</v>
      </c>
      <c r="D8" s="100">
        <v>-1.72151</v>
      </c>
      <c r="E8" s="100">
        <v>0.18725</v>
      </c>
      <c r="F8" s="100">
        <v>-0.17687</v>
      </c>
      <c r="G8" s="100">
        <v>-3.235</v>
      </c>
      <c r="H8" s="100">
        <v>-4.22099</v>
      </c>
      <c r="I8" s="100">
        <v>-0.95678</v>
      </c>
      <c r="J8" s="100">
        <v>-0.03368</v>
      </c>
      <c r="K8" s="100">
        <v>-0.14036</v>
      </c>
      <c r="L8" s="100">
        <v>0.52881</v>
      </c>
      <c r="M8" s="100">
        <v>0.83557</v>
      </c>
      <c r="N8" s="100">
        <v>1.01348</v>
      </c>
      <c r="O8" s="100">
        <v>1.26296</v>
      </c>
    </row>
    <row r="9" spans="1:15" ht="12">
      <c r="A9" t="s">
        <v>794</v>
      </c>
      <c r="B9" s="100">
        <v>2.38884</v>
      </c>
      <c r="C9" s="100">
        <v>1.12322</v>
      </c>
      <c r="D9" s="100">
        <v>2.90644</v>
      </c>
      <c r="E9" s="100">
        <v>2.71691</v>
      </c>
      <c r="F9" s="100">
        <v>-2.6663</v>
      </c>
      <c r="G9" s="100">
        <v>-2.18368</v>
      </c>
      <c r="H9" s="100">
        <v>0.18754</v>
      </c>
      <c r="I9" s="100">
        <v>1.15853</v>
      </c>
      <c r="J9" s="100">
        <v>-0.25816</v>
      </c>
      <c r="K9" s="100">
        <v>-0.17008</v>
      </c>
      <c r="L9" s="100">
        <v>0.67792</v>
      </c>
      <c r="M9" s="100">
        <v>0.06979</v>
      </c>
      <c r="N9" s="100">
        <v>-0.29007</v>
      </c>
      <c r="O9" s="100">
        <v>-0.28736</v>
      </c>
    </row>
    <row r="10" spans="1:15" ht="12">
      <c r="A10" t="s">
        <v>795</v>
      </c>
      <c r="B10" s="100">
        <v>1.34141</v>
      </c>
      <c r="C10" s="100">
        <v>1.61656</v>
      </c>
      <c r="D10" s="100">
        <v>2.8222</v>
      </c>
      <c r="E10" s="100">
        <v>0.31667</v>
      </c>
      <c r="F10" s="100">
        <v>-6.95546</v>
      </c>
      <c r="G10" s="100">
        <v>-13.79624</v>
      </c>
      <c r="H10" s="100">
        <v>-32.05096</v>
      </c>
      <c r="I10" s="100">
        <v>-12.72344</v>
      </c>
      <c r="J10" s="100">
        <v>-8.03441</v>
      </c>
      <c r="K10" s="100">
        <v>-6.10333</v>
      </c>
      <c r="L10" s="100">
        <v>-3.62991</v>
      </c>
      <c r="M10" s="100">
        <v>-1.88966</v>
      </c>
      <c r="N10" s="100">
        <v>-0.5161</v>
      </c>
      <c r="O10" s="100">
        <v>-0.3425</v>
      </c>
    </row>
    <row r="11" spans="1:15" ht="12">
      <c r="A11" t="s">
        <v>796</v>
      </c>
      <c r="B11" s="100">
        <v>-8.82788</v>
      </c>
      <c r="C11" s="100">
        <v>-6.18794</v>
      </c>
      <c r="D11" s="100">
        <v>-5.94598</v>
      </c>
      <c r="E11" s="100">
        <v>-6.70707</v>
      </c>
      <c r="F11" s="100">
        <v>-10.17602</v>
      </c>
      <c r="G11" s="100">
        <v>-15.1414</v>
      </c>
      <c r="H11" s="100">
        <v>-11.19711</v>
      </c>
      <c r="I11" s="100">
        <v>-10.27875</v>
      </c>
      <c r="J11" s="100">
        <v>-8.8654</v>
      </c>
      <c r="K11" s="100">
        <v>-13.15498</v>
      </c>
      <c r="L11" s="100">
        <v>-3.61589</v>
      </c>
      <c r="M11" s="100">
        <v>-5.66609</v>
      </c>
      <c r="N11" s="100">
        <v>0.62802</v>
      </c>
      <c r="O11" s="100">
        <v>0.81807</v>
      </c>
    </row>
    <row r="12" spans="1:15" ht="12">
      <c r="A12" t="s">
        <v>797</v>
      </c>
      <c r="B12" s="100">
        <v>-0.03924</v>
      </c>
      <c r="C12" s="100">
        <v>1.20959</v>
      </c>
      <c r="D12" s="100">
        <v>2.19996</v>
      </c>
      <c r="E12" s="100">
        <v>1.92375</v>
      </c>
      <c r="F12" s="100">
        <v>-4.42052</v>
      </c>
      <c r="G12" s="100">
        <v>-10.9535</v>
      </c>
      <c r="H12" s="100">
        <v>-9.38114</v>
      </c>
      <c r="I12" s="100">
        <v>-9.64212</v>
      </c>
      <c r="J12" s="100">
        <v>-10.46792</v>
      </c>
      <c r="K12" s="100">
        <v>-6.98913</v>
      </c>
      <c r="L12" s="100">
        <v>-5.96847</v>
      </c>
      <c r="M12" s="100">
        <v>-5.27816</v>
      </c>
      <c r="N12" s="100">
        <v>-4.50604</v>
      </c>
      <c r="O12" s="100">
        <v>-3.1137</v>
      </c>
    </row>
    <row r="13" spans="1:15" ht="12">
      <c r="A13" t="s">
        <v>798</v>
      </c>
      <c r="B13" s="100">
        <v>-3.59057</v>
      </c>
      <c r="C13" s="100">
        <v>-3.35556</v>
      </c>
      <c r="D13" s="100">
        <v>-2.44369</v>
      </c>
      <c r="E13" s="100">
        <v>-2.6363</v>
      </c>
      <c r="F13" s="100">
        <v>-3.26373</v>
      </c>
      <c r="G13" s="100">
        <v>-7.17478</v>
      </c>
      <c r="H13" s="100">
        <v>-6.88672</v>
      </c>
      <c r="I13" s="100">
        <v>-5.15476</v>
      </c>
      <c r="J13" s="100">
        <v>-4.98098</v>
      </c>
      <c r="K13" s="100">
        <v>-4.08409</v>
      </c>
      <c r="L13" s="100">
        <v>-3.90466</v>
      </c>
      <c r="M13" s="100">
        <v>-3.62517</v>
      </c>
      <c r="N13" s="100">
        <v>-3.40752</v>
      </c>
      <c r="O13" s="100">
        <v>-2.59425</v>
      </c>
    </row>
    <row r="14" spans="1:15" ht="12">
      <c r="A14" t="s">
        <v>799</v>
      </c>
      <c r="B14" s="100">
        <v>-5.19725</v>
      </c>
      <c r="C14" s="100">
        <v>-3.85413</v>
      </c>
      <c r="D14" s="100">
        <v>-3.38678</v>
      </c>
      <c r="E14" s="100">
        <v>-2.44505</v>
      </c>
      <c r="F14" s="100">
        <v>-2.76245</v>
      </c>
      <c r="G14" s="100">
        <v>-5.99579</v>
      </c>
      <c r="H14" s="100">
        <v>-6.46208</v>
      </c>
      <c r="I14" s="100">
        <v>-7.77921</v>
      </c>
      <c r="J14" s="100">
        <v>-5.21789</v>
      </c>
      <c r="K14" s="100">
        <v>-5.28604</v>
      </c>
      <c r="L14" s="100">
        <v>-5.14191</v>
      </c>
      <c r="M14" s="100">
        <v>-3.44769</v>
      </c>
      <c r="N14" s="100">
        <v>-0.93725</v>
      </c>
      <c r="O14" s="100">
        <v>0.75802</v>
      </c>
    </row>
    <row r="15" spans="1:15" ht="12">
      <c r="A15" t="s">
        <v>800</v>
      </c>
      <c r="B15" s="100">
        <v>-3.49643</v>
      </c>
      <c r="C15" s="100">
        <v>-4.10519</v>
      </c>
      <c r="D15" s="100">
        <v>-3.52315</v>
      </c>
      <c r="E15" s="100">
        <v>-1.46482</v>
      </c>
      <c r="F15" s="100">
        <v>-2.63101</v>
      </c>
      <c r="G15" s="100">
        <v>-5.24821</v>
      </c>
      <c r="H15" s="100">
        <v>-4.21143</v>
      </c>
      <c r="I15" s="100">
        <v>-3.67837</v>
      </c>
      <c r="J15" s="100">
        <v>-2.91824</v>
      </c>
      <c r="K15" s="100">
        <v>-2.92241</v>
      </c>
      <c r="L15" s="100">
        <v>-2.98589</v>
      </c>
      <c r="M15" s="100">
        <v>-2.57572</v>
      </c>
      <c r="N15" s="100">
        <v>-2.47705</v>
      </c>
      <c r="O15" s="100">
        <v>-2.31174</v>
      </c>
    </row>
    <row r="16" spans="1:15" ht="12">
      <c r="A16" t="s">
        <v>801</v>
      </c>
      <c r="B16" s="100">
        <v>-3.68205</v>
      </c>
      <c r="C16" s="100">
        <v>-2.16633</v>
      </c>
      <c r="D16" s="100">
        <v>-1.02625</v>
      </c>
      <c r="E16" s="100">
        <v>3.21787</v>
      </c>
      <c r="F16" s="100">
        <v>0.86603</v>
      </c>
      <c r="G16" s="100">
        <v>-5.4339</v>
      </c>
      <c r="H16" s="100">
        <v>-4.72344</v>
      </c>
      <c r="I16" s="100">
        <v>-5.68699</v>
      </c>
      <c r="J16" s="100">
        <v>-5.55268</v>
      </c>
      <c r="K16" s="100">
        <v>-5.13161</v>
      </c>
      <c r="L16" s="100">
        <v>-8.9595</v>
      </c>
      <c r="M16" s="100">
        <v>-1.33243</v>
      </c>
      <c r="N16" s="100">
        <v>0.32329</v>
      </c>
      <c r="O16" s="100">
        <v>1.7883</v>
      </c>
    </row>
    <row r="17" spans="1:15" ht="12">
      <c r="A17" t="s">
        <v>802</v>
      </c>
      <c r="B17" s="100">
        <v>-0.91905</v>
      </c>
      <c r="C17" s="100">
        <v>-0.36424</v>
      </c>
      <c r="D17" s="100">
        <v>-0.48778</v>
      </c>
      <c r="E17" s="100">
        <v>-0.51265</v>
      </c>
      <c r="F17" s="100">
        <v>-4.20426</v>
      </c>
      <c r="G17" s="100">
        <v>-9.1269</v>
      </c>
      <c r="H17" s="100">
        <v>-8.68588</v>
      </c>
      <c r="I17" s="100">
        <v>-4.30671</v>
      </c>
      <c r="J17" s="100">
        <v>-1.20563</v>
      </c>
      <c r="K17" s="100">
        <v>-1.15915</v>
      </c>
      <c r="L17" s="100">
        <v>-1.48886</v>
      </c>
      <c r="M17" s="100">
        <v>-1.36014</v>
      </c>
      <c r="N17" s="100">
        <v>0.06268</v>
      </c>
      <c r="O17" s="100">
        <v>-0.48817</v>
      </c>
    </row>
    <row r="18" spans="1:15" ht="12">
      <c r="A18" t="s">
        <v>803</v>
      </c>
      <c r="B18" s="100">
        <v>-1.39217</v>
      </c>
      <c r="C18" s="100">
        <v>-0.34329</v>
      </c>
      <c r="D18" s="100">
        <v>-0.27202</v>
      </c>
      <c r="E18" s="100">
        <v>-0.81541</v>
      </c>
      <c r="F18" s="100">
        <v>-3.08292</v>
      </c>
      <c r="G18" s="100">
        <v>-9.10569</v>
      </c>
      <c r="H18" s="100">
        <v>-6.90067</v>
      </c>
      <c r="I18" s="100">
        <v>-8.93964</v>
      </c>
      <c r="J18" s="100">
        <v>-3.14557</v>
      </c>
      <c r="K18" s="100">
        <v>-2.60987</v>
      </c>
      <c r="L18" s="100">
        <v>-0.61747</v>
      </c>
      <c r="M18" s="100">
        <v>-0.24475</v>
      </c>
      <c r="N18" s="100">
        <v>0.26637</v>
      </c>
      <c r="O18" s="100">
        <v>0.52847</v>
      </c>
    </row>
    <row r="19" spans="1:15" ht="12">
      <c r="A19" t="s">
        <v>804</v>
      </c>
      <c r="B19" s="100">
        <v>-1.28311</v>
      </c>
      <c r="C19" s="100">
        <v>0.07762</v>
      </c>
      <c r="D19" s="100">
        <v>1.93591</v>
      </c>
      <c r="E19" s="100">
        <v>4.15119</v>
      </c>
      <c r="F19" s="100">
        <v>3.31988</v>
      </c>
      <c r="G19" s="100">
        <v>-0.67471</v>
      </c>
      <c r="H19" s="100">
        <v>-0.65824</v>
      </c>
      <c r="I19" s="100">
        <v>0.51285</v>
      </c>
      <c r="J19" s="100">
        <v>0.34497</v>
      </c>
      <c r="K19" s="100">
        <v>0.97544</v>
      </c>
      <c r="L19" s="100">
        <v>1.32608</v>
      </c>
      <c r="M19" s="100">
        <v>1.36263</v>
      </c>
      <c r="N19" s="100">
        <v>1.61441</v>
      </c>
      <c r="O19" s="100">
        <v>1.51544</v>
      </c>
    </row>
    <row r="20" spans="1:15" ht="12">
      <c r="A20" t="s">
        <v>805</v>
      </c>
      <c r="B20" s="100">
        <v>-6.53544</v>
      </c>
      <c r="C20" s="100">
        <v>-7.77095</v>
      </c>
      <c r="D20" s="100">
        <v>-9.27292</v>
      </c>
      <c r="E20" s="100">
        <v>-5.0247</v>
      </c>
      <c r="F20" s="100">
        <v>-3.68095</v>
      </c>
      <c r="G20" s="100">
        <v>-4.53878</v>
      </c>
      <c r="H20" s="100">
        <v>-4.4742</v>
      </c>
      <c r="I20" s="100">
        <v>-5.41411</v>
      </c>
      <c r="J20" s="100">
        <v>-2.39935</v>
      </c>
      <c r="K20" s="100">
        <v>-2.61675</v>
      </c>
      <c r="L20" s="100">
        <v>-2.59873</v>
      </c>
      <c r="M20" s="100">
        <v>-1.90594</v>
      </c>
      <c r="N20" s="100">
        <v>-1.66413</v>
      </c>
      <c r="O20" s="100">
        <v>-1.95457</v>
      </c>
    </row>
    <row r="21" spans="1:15" ht="12">
      <c r="A21" t="s">
        <v>806</v>
      </c>
      <c r="B21" s="100">
        <v>-4.31086</v>
      </c>
      <c r="C21" s="100">
        <v>-2.62201</v>
      </c>
      <c r="D21" s="100">
        <v>-2.51813</v>
      </c>
      <c r="E21" s="100">
        <v>-2.14409</v>
      </c>
      <c r="F21" s="100">
        <v>-4.18221</v>
      </c>
      <c r="G21" s="100">
        <v>-3.23893</v>
      </c>
      <c r="H21" s="100">
        <v>-2.39377</v>
      </c>
      <c r="I21" s="100">
        <v>-2.40696</v>
      </c>
      <c r="J21" s="100">
        <v>-3.48911</v>
      </c>
      <c r="K21" s="100">
        <v>-2.42581</v>
      </c>
      <c r="L21" s="100">
        <v>-1.75757</v>
      </c>
      <c r="M21" s="100">
        <v>-1.09498</v>
      </c>
      <c r="N21" s="100">
        <v>0.99072</v>
      </c>
      <c r="O21" s="100">
        <v>3.93066</v>
      </c>
    </row>
    <row r="22" spans="1:15" ht="12">
      <c r="A22" t="s">
        <v>807</v>
      </c>
      <c r="B22" s="100">
        <v>-1.72272</v>
      </c>
      <c r="C22" s="100">
        <v>-0.25604</v>
      </c>
      <c r="D22" s="100">
        <v>0.21046</v>
      </c>
      <c r="E22" s="100">
        <v>0.21165</v>
      </c>
      <c r="F22" s="100">
        <v>0.22373</v>
      </c>
      <c r="G22" s="100">
        <v>-5.4309</v>
      </c>
      <c r="H22" s="100">
        <v>-4.99151</v>
      </c>
      <c r="I22" s="100">
        <v>-4.2885</v>
      </c>
      <c r="J22" s="100">
        <v>-3.8849</v>
      </c>
      <c r="K22" s="100">
        <v>-2.37412</v>
      </c>
      <c r="L22" s="100">
        <v>-2.26664</v>
      </c>
      <c r="M22" s="100">
        <v>-2.05119</v>
      </c>
      <c r="N22" s="100">
        <v>0.36619</v>
      </c>
      <c r="O22" s="100">
        <v>1.09306</v>
      </c>
    </row>
    <row r="23" spans="1:15" ht="12">
      <c r="A23" t="s">
        <v>808</v>
      </c>
      <c r="B23" s="100">
        <v>-4.80499</v>
      </c>
      <c r="C23" s="100">
        <v>-2.50835</v>
      </c>
      <c r="D23" s="100">
        <v>-2.53544</v>
      </c>
      <c r="E23" s="100">
        <v>-1.35461</v>
      </c>
      <c r="F23" s="100">
        <v>-1.49526</v>
      </c>
      <c r="G23" s="100">
        <v>-5.32971</v>
      </c>
      <c r="H23" s="100">
        <v>-4.44128</v>
      </c>
      <c r="I23" s="100">
        <v>-2.55356</v>
      </c>
      <c r="J23" s="100">
        <v>-2.18906</v>
      </c>
      <c r="K23" s="100">
        <v>-1.95008</v>
      </c>
      <c r="L23" s="100">
        <v>-2.72983</v>
      </c>
      <c r="M23" s="100">
        <v>-1.04556</v>
      </c>
      <c r="N23" s="100">
        <v>-1.59143</v>
      </c>
      <c r="O23" s="100">
        <v>-0.70123</v>
      </c>
    </row>
    <row r="24" spans="1:15" ht="12">
      <c r="A24" t="s">
        <v>809</v>
      </c>
      <c r="B24" s="100">
        <v>-5.04382</v>
      </c>
      <c r="C24" s="100">
        <v>-3.96186</v>
      </c>
      <c r="D24" s="100">
        <v>-3.55731</v>
      </c>
      <c r="E24" s="100">
        <v>-1.85297</v>
      </c>
      <c r="F24" s="100">
        <v>-3.60012</v>
      </c>
      <c r="G24" s="100">
        <v>-7.25269</v>
      </c>
      <c r="H24" s="100">
        <v>-7.34215</v>
      </c>
      <c r="I24" s="100">
        <v>-4.82722</v>
      </c>
      <c r="J24" s="100">
        <v>-3.71174</v>
      </c>
      <c r="K24" s="100">
        <v>-4.11287</v>
      </c>
      <c r="L24" s="100">
        <v>-3.62479</v>
      </c>
      <c r="M24" s="100">
        <v>-2.64712</v>
      </c>
      <c r="N24" s="100">
        <v>-2.34828</v>
      </c>
      <c r="O24" s="100">
        <v>-1.66255</v>
      </c>
    </row>
    <row r="25" spans="1:15" ht="12">
      <c r="A25" t="s">
        <v>810</v>
      </c>
      <c r="B25" s="100">
        <v>-6.19453</v>
      </c>
      <c r="C25" s="100">
        <v>-6.19379</v>
      </c>
      <c r="D25" s="100">
        <v>-4.32756</v>
      </c>
      <c r="E25" s="100">
        <v>-3.00876</v>
      </c>
      <c r="F25" s="100">
        <v>-3.76566</v>
      </c>
      <c r="G25" s="100">
        <v>-9.80553</v>
      </c>
      <c r="H25" s="100">
        <v>-11.17114</v>
      </c>
      <c r="I25" s="100">
        <v>-7.38284</v>
      </c>
      <c r="J25" s="100">
        <v>-5.65867</v>
      </c>
      <c r="K25" s="100">
        <v>-4.84242</v>
      </c>
      <c r="L25" s="100">
        <v>-7.16566</v>
      </c>
      <c r="M25" s="100">
        <v>-4.40343</v>
      </c>
      <c r="N25" s="100">
        <v>-1.9759</v>
      </c>
      <c r="O25" s="100">
        <v>-2.9575</v>
      </c>
    </row>
    <row r="26" spans="1:15" ht="12">
      <c r="A26" t="s">
        <v>811</v>
      </c>
      <c r="B26" s="100">
        <v>-1.09271</v>
      </c>
      <c r="C26" s="100">
        <v>-0.81624</v>
      </c>
      <c r="D26" s="100">
        <v>-2.12522</v>
      </c>
      <c r="E26" s="100">
        <v>-2.72089</v>
      </c>
      <c r="F26" s="100">
        <v>-5.38424</v>
      </c>
      <c r="G26" s="100">
        <v>-9.16454</v>
      </c>
      <c r="H26" s="100">
        <v>-6.92977</v>
      </c>
      <c r="I26" s="100">
        <v>-5.4338</v>
      </c>
      <c r="J26" s="100">
        <v>-3.66344</v>
      </c>
      <c r="K26" s="100">
        <v>-2.14369</v>
      </c>
      <c r="L26" s="100">
        <v>-1.33835</v>
      </c>
      <c r="M26" s="100">
        <v>-0.79325</v>
      </c>
      <c r="N26" s="100">
        <v>-2.97482</v>
      </c>
      <c r="O26" s="100">
        <v>-2.91468</v>
      </c>
    </row>
    <row r="27" spans="1:15" ht="12">
      <c r="A27" t="s">
        <v>812</v>
      </c>
      <c r="B27" s="100">
        <v>-1.96481</v>
      </c>
      <c r="C27" s="100">
        <v>-1.3329</v>
      </c>
      <c r="D27" s="100">
        <v>-1.20431</v>
      </c>
      <c r="E27" s="100">
        <v>-0.08107</v>
      </c>
      <c r="F27" s="100">
        <v>-1.41317</v>
      </c>
      <c r="G27" s="100">
        <v>-5.84061</v>
      </c>
      <c r="H27" s="100">
        <v>-5.63489</v>
      </c>
      <c r="I27" s="100">
        <v>-6.67192</v>
      </c>
      <c r="J27" s="100">
        <v>-4.04356</v>
      </c>
      <c r="K27" s="100">
        <v>-14.67862</v>
      </c>
      <c r="L27" s="100">
        <v>-5.51519</v>
      </c>
      <c r="M27" s="100">
        <v>-2.85552</v>
      </c>
      <c r="N27" s="100">
        <v>-1.93177</v>
      </c>
      <c r="O27" s="100">
        <v>0.031</v>
      </c>
    </row>
    <row r="28" spans="1:15" ht="12">
      <c r="A28" t="s">
        <v>813</v>
      </c>
      <c r="B28" s="100">
        <v>-2.30847</v>
      </c>
      <c r="C28" s="100">
        <v>-2.88333</v>
      </c>
      <c r="D28" s="100">
        <v>-3.59197</v>
      </c>
      <c r="E28" s="100">
        <v>-1.94876</v>
      </c>
      <c r="F28" s="100">
        <v>-2.42775</v>
      </c>
      <c r="G28" s="100">
        <v>-7.80421</v>
      </c>
      <c r="H28" s="100">
        <v>-7.48492</v>
      </c>
      <c r="I28" s="100">
        <v>-4.27695</v>
      </c>
      <c r="J28" s="100">
        <v>-4.34489</v>
      </c>
      <c r="K28" s="100">
        <v>-2.71999</v>
      </c>
      <c r="L28" s="100">
        <v>-2.70229</v>
      </c>
      <c r="M28" s="100">
        <v>-2.72618</v>
      </c>
      <c r="N28" s="100">
        <v>-2.2065</v>
      </c>
      <c r="O28" s="100">
        <v>-1.04073</v>
      </c>
    </row>
    <row r="29" spans="1:15" ht="12">
      <c r="A29" t="s">
        <v>814</v>
      </c>
      <c r="B29" s="100">
        <v>2.20978</v>
      </c>
      <c r="C29" s="100">
        <v>2.59327</v>
      </c>
      <c r="D29" s="100">
        <v>3.93131</v>
      </c>
      <c r="E29" s="100">
        <v>5.13281</v>
      </c>
      <c r="F29" s="100">
        <v>4.18045</v>
      </c>
      <c r="G29" s="100">
        <v>-2.52832</v>
      </c>
      <c r="H29" s="100">
        <v>-2.60983</v>
      </c>
      <c r="I29" s="100">
        <v>-1.04435</v>
      </c>
      <c r="J29" s="100">
        <v>-2.18326</v>
      </c>
      <c r="K29" s="100">
        <v>-2.61387</v>
      </c>
      <c r="L29" s="100">
        <v>-3.21063</v>
      </c>
      <c r="M29" s="100">
        <v>-2.75854</v>
      </c>
      <c r="N29" s="100">
        <v>-1.79216</v>
      </c>
      <c r="O29" s="100">
        <v>-0.5722</v>
      </c>
    </row>
    <row r="30" spans="1:15" ht="12">
      <c r="A30" t="s">
        <v>815</v>
      </c>
      <c r="B30" s="100">
        <v>0.35111</v>
      </c>
      <c r="C30" s="100">
        <v>1.82957</v>
      </c>
      <c r="D30" s="100">
        <v>2.20604</v>
      </c>
      <c r="E30" s="100">
        <v>3.35457</v>
      </c>
      <c r="F30" s="100">
        <v>1.90046</v>
      </c>
      <c r="G30" s="100">
        <v>-0.71683</v>
      </c>
      <c r="H30" s="100">
        <v>-0.0323</v>
      </c>
      <c r="I30" s="100">
        <v>-0.20719</v>
      </c>
      <c r="J30" s="100">
        <v>-0.9819</v>
      </c>
      <c r="K30" s="100">
        <v>-1.36497</v>
      </c>
      <c r="L30" s="100">
        <v>-1.56057</v>
      </c>
      <c r="M30" s="100">
        <v>0.18317</v>
      </c>
      <c r="N30" s="100">
        <v>1.18582</v>
      </c>
      <c r="O30" s="100">
        <v>1.27032</v>
      </c>
    </row>
    <row r="31" spans="1:15" ht="12">
      <c r="A31" t="s">
        <v>816</v>
      </c>
      <c r="B31" s="100">
        <v>-3.07131</v>
      </c>
      <c r="C31" s="100">
        <v>-3.14314</v>
      </c>
      <c r="D31" s="100">
        <v>-2.76145</v>
      </c>
      <c r="E31" s="100">
        <v>-2.63594</v>
      </c>
      <c r="F31" s="100">
        <v>-5.17308</v>
      </c>
      <c r="G31" s="100">
        <v>-10.12307</v>
      </c>
      <c r="H31" s="100">
        <v>-9.41744</v>
      </c>
      <c r="I31" s="100">
        <v>-7.47177</v>
      </c>
      <c r="J31" s="100">
        <v>-8.15197</v>
      </c>
      <c r="K31" s="100">
        <v>-5.4016</v>
      </c>
      <c r="L31" s="100">
        <v>-5.44826</v>
      </c>
      <c r="M31" s="100">
        <v>-4.26184</v>
      </c>
      <c r="N31" s="100">
        <v>-2.9707</v>
      </c>
      <c r="O31" s="100">
        <v>-1.9314</v>
      </c>
    </row>
    <row r="32" spans="1:15" ht="12">
      <c r="A32" t="s">
        <v>817</v>
      </c>
      <c r="B32" s="100" t="s">
        <v>163</v>
      </c>
      <c r="C32" s="100" t="s">
        <v>163</v>
      </c>
      <c r="D32" s="100" t="s">
        <v>163</v>
      </c>
      <c r="E32" s="100" t="s">
        <v>163</v>
      </c>
      <c r="F32" s="100" t="s">
        <v>163</v>
      </c>
      <c r="G32" s="100" t="s">
        <v>163</v>
      </c>
      <c r="H32" s="100" t="s">
        <v>163</v>
      </c>
      <c r="I32" s="100" t="s">
        <v>163</v>
      </c>
      <c r="J32" s="100" t="s">
        <v>163</v>
      </c>
      <c r="K32" s="100" t="s">
        <v>163</v>
      </c>
      <c r="L32" s="100" t="s">
        <v>163</v>
      </c>
      <c r="M32" s="100" t="s">
        <v>163</v>
      </c>
      <c r="N32" s="100" t="s">
        <v>163</v>
      </c>
      <c r="O32" s="100" t="s">
        <v>163</v>
      </c>
    </row>
    <row r="33" spans="1:15" ht="12">
      <c r="A33" t="s">
        <v>818</v>
      </c>
      <c r="B33" s="100" t="s">
        <v>163</v>
      </c>
      <c r="C33" s="100" t="s">
        <v>163</v>
      </c>
      <c r="D33" s="100" t="s">
        <v>163</v>
      </c>
      <c r="E33" s="100" t="s">
        <v>163</v>
      </c>
      <c r="F33" s="100" t="s">
        <v>163</v>
      </c>
      <c r="G33" s="100">
        <v>73.3676</v>
      </c>
      <c r="H33" s="100">
        <v>78.87666</v>
      </c>
      <c r="I33" s="100">
        <v>81.46165</v>
      </c>
      <c r="J33" s="100">
        <v>83.87613</v>
      </c>
      <c r="K33" s="100">
        <v>85.7665</v>
      </c>
      <c r="L33" s="100">
        <v>86.50896</v>
      </c>
      <c r="M33" s="100">
        <v>84.52922</v>
      </c>
      <c r="N33" s="100">
        <v>83.25698</v>
      </c>
      <c r="O33" s="100">
        <v>81.58634</v>
      </c>
    </row>
    <row r="34" spans="1:15" ht="12">
      <c r="A34" t="s">
        <v>819</v>
      </c>
      <c r="B34" s="100" t="s">
        <v>163</v>
      </c>
      <c r="C34" s="100" t="s">
        <v>163</v>
      </c>
      <c r="D34" s="100" t="s">
        <v>163</v>
      </c>
      <c r="E34" s="100" t="s">
        <v>163</v>
      </c>
      <c r="F34" s="100" t="s">
        <v>163</v>
      </c>
      <c r="G34" s="100">
        <v>79.22668</v>
      </c>
      <c r="H34" s="100">
        <v>84.59234</v>
      </c>
      <c r="I34" s="100">
        <v>86.63422</v>
      </c>
      <c r="J34" s="100">
        <v>89.6707</v>
      </c>
      <c r="K34" s="100">
        <v>91.59651</v>
      </c>
      <c r="L34" s="100">
        <v>91.88039</v>
      </c>
      <c r="M34" s="100">
        <v>89.94204</v>
      </c>
      <c r="N34" s="100">
        <v>88.98751</v>
      </c>
      <c r="O34" s="100">
        <v>86.72239</v>
      </c>
    </row>
    <row r="35" spans="1:15" ht="12">
      <c r="A35" t="s">
        <v>820</v>
      </c>
      <c r="B35" s="100">
        <v>96.52493</v>
      </c>
      <c r="C35" s="100">
        <v>94.67824</v>
      </c>
      <c r="D35" s="100">
        <v>91.05028</v>
      </c>
      <c r="E35" s="100">
        <v>87.02851</v>
      </c>
      <c r="F35" s="100">
        <v>92.53168</v>
      </c>
      <c r="G35" s="100">
        <v>99.53745</v>
      </c>
      <c r="H35" s="100">
        <v>99.72065</v>
      </c>
      <c r="I35" s="100">
        <v>102.59317</v>
      </c>
      <c r="J35" s="100">
        <v>104.33342</v>
      </c>
      <c r="K35" s="100">
        <v>105.45268</v>
      </c>
      <c r="L35" s="100">
        <v>106.95356</v>
      </c>
      <c r="M35" s="100">
        <v>106.06117</v>
      </c>
      <c r="N35" s="100">
        <v>105.93609</v>
      </c>
      <c r="O35" s="100">
        <v>103.12115</v>
      </c>
    </row>
    <row r="36" spans="1:15" ht="12">
      <c r="A36" t="s">
        <v>821</v>
      </c>
      <c r="B36" s="100">
        <v>36.0032</v>
      </c>
      <c r="C36" s="100">
        <v>26.79052</v>
      </c>
      <c r="D36" s="100">
        <v>21.02476</v>
      </c>
      <c r="E36" s="100">
        <v>16.32378</v>
      </c>
      <c r="F36" s="100">
        <v>13.031</v>
      </c>
      <c r="G36" s="100">
        <v>13.68974</v>
      </c>
      <c r="H36" s="100">
        <v>15.31785</v>
      </c>
      <c r="I36" s="100">
        <v>15.21895</v>
      </c>
      <c r="J36" s="100">
        <v>16.6994</v>
      </c>
      <c r="K36" s="100">
        <v>17.01198</v>
      </c>
      <c r="L36" s="100">
        <v>26.96728</v>
      </c>
      <c r="M36" s="100">
        <v>25.9941</v>
      </c>
      <c r="N36" s="100">
        <v>29.02487</v>
      </c>
      <c r="O36" s="100">
        <v>25.41154</v>
      </c>
    </row>
    <row r="37" spans="1:15" ht="12">
      <c r="A37" t="s">
        <v>822</v>
      </c>
      <c r="B37" s="100">
        <v>28.53146</v>
      </c>
      <c r="C37" s="100">
        <v>27.88142</v>
      </c>
      <c r="D37" s="100">
        <v>27.70307</v>
      </c>
      <c r="E37" s="100">
        <v>27.46489</v>
      </c>
      <c r="F37" s="100">
        <v>28.25015</v>
      </c>
      <c r="G37" s="100">
        <v>33.56048</v>
      </c>
      <c r="H37" s="100">
        <v>37.35466</v>
      </c>
      <c r="I37" s="100">
        <v>39.82622</v>
      </c>
      <c r="J37" s="100">
        <v>44.46966</v>
      </c>
      <c r="K37" s="100">
        <v>44.9086</v>
      </c>
      <c r="L37" s="100">
        <v>42.16938</v>
      </c>
      <c r="M37" s="100">
        <v>39.95522</v>
      </c>
      <c r="N37" s="100">
        <v>36.76503</v>
      </c>
      <c r="O37" s="100">
        <v>34.602</v>
      </c>
    </row>
    <row r="38" spans="1:15" ht="12">
      <c r="A38" t="s">
        <v>823</v>
      </c>
      <c r="B38" s="100">
        <v>44.15595</v>
      </c>
      <c r="C38" s="100">
        <v>37.41223</v>
      </c>
      <c r="D38" s="100">
        <v>31.5494</v>
      </c>
      <c r="E38" s="100">
        <v>27.34597</v>
      </c>
      <c r="F38" s="100">
        <v>33.31318</v>
      </c>
      <c r="G38" s="100">
        <v>40.1818</v>
      </c>
      <c r="H38" s="100">
        <v>42.58788</v>
      </c>
      <c r="I38" s="100">
        <v>46.07089</v>
      </c>
      <c r="J38" s="100">
        <v>44.8942</v>
      </c>
      <c r="K38" s="100">
        <v>44.04561</v>
      </c>
      <c r="L38" s="100">
        <v>44.27029</v>
      </c>
      <c r="M38" s="100">
        <v>39.92615</v>
      </c>
      <c r="N38" s="100">
        <v>37.86838</v>
      </c>
      <c r="O38" s="100">
        <v>36.40557</v>
      </c>
    </row>
    <row r="39" spans="1:15" ht="12">
      <c r="A39" t="s">
        <v>824</v>
      </c>
      <c r="B39" s="100">
        <v>64.76584</v>
      </c>
      <c r="C39" s="100">
        <v>66.99234</v>
      </c>
      <c r="D39" s="100">
        <v>66.49261</v>
      </c>
      <c r="E39" s="100">
        <v>63.66374</v>
      </c>
      <c r="F39" s="100">
        <v>65.1524</v>
      </c>
      <c r="G39" s="100">
        <v>72.58053</v>
      </c>
      <c r="H39" s="100">
        <v>80.94598</v>
      </c>
      <c r="I39" s="100">
        <v>78.61651</v>
      </c>
      <c r="J39" s="100">
        <v>79.84407</v>
      </c>
      <c r="K39" s="100">
        <v>77.50565</v>
      </c>
      <c r="L39" s="100">
        <v>74.7494</v>
      </c>
      <c r="M39" s="100">
        <v>71.02575</v>
      </c>
      <c r="N39" s="100">
        <v>68.23916</v>
      </c>
      <c r="O39" s="100">
        <v>64.12561</v>
      </c>
    </row>
    <row r="40" spans="1:15" ht="12">
      <c r="A40" t="s">
        <v>825</v>
      </c>
      <c r="B40" s="100">
        <v>5.06198</v>
      </c>
      <c r="C40" s="100">
        <v>4.54881</v>
      </c>
      <c r="D40" s="100">
        <v>4.40403</v>
      </c>
      <c r="E40" s="100">
        <v>3.66358</v>
      </c>
      <c r="F40" s="100">
        <v>4.48682</v>
      </c>
      <c r="G40" s="100">
        <v>7.0381</v>
      </c>
      <c r="H40" s="100">
        <v>6.55317</v>
      </c>
      <c r="I40" s="100">
        <v>6.06625</v>
      </c>
      <c r="J40" s="100">
        <v>9.73243</v>
      </c>
      <c r="K40" s="100">
        <v>10.16094</v>
      </c>
      <c r="L40" s="100">
        <v>10.66664</v>
      </c>
      <c r="M40" s="100">
        <v>10.00113</v>
      </c>
      <c r="N40" s="100">
        <v>9.41687</v>
      </c>
      <c r="O40" s="100">
        <v>8.97954</v>
      </c>
    </row>
    <row r="41" spans="1:15" ht="12">
      <c r="A41" t="s">
        <v>826</v>
      </c>
      <c r="B41" s="100">
        <v>28.21499</v>
      </c>
      <c r="C41" s="100">
        <v>26.07659</v>
      </c>
      <c r="D41" s="100">
        <v>23.61808</v>
      </c>
      <c r="E41" s="100">
        <v>23.9084</v>
      </c>
      <c r="F41" s="100">
        <v>42.40585</v>
      </c>
      <c r="G41" s="100">
        <v>61.54391</v>
      </c>
      <c r="H41" s="100">
        <v>86.06295</v>
      </c>
      <c r="I41" s="100">
        <v>110.34429</v>
      </c>
      <c r="J41" s="100">
        <v>119.62533</v>
      </c>
      <c r="K41" s="100">
        <v>119.43422</v>
      </c>
      <c r="L41" s="100">
        <v>104.53304</v>
      </c>
      <c r="M41" s="100">
        <v>76.94748</v>
      </c>
      <c r="N41" s="100">
        <v>72.82894</v>
      </c>
      <c r="O41" s="100">
        <v>67.96971</v>
      </c>
    </row>
    <row r="42" spans="1:15" ht="12">
      <c r="A42" t="s">
        <v>827</v>
      </c>
      <c r="B42" s="100">
        <v>102.87027</v>
      </c>
      <c r="C42" s="100">
        <v>107.39185</v>
      </c>
      <c r="D42" s="100">
        <v>103.57403</v>
      </c>
      <c r="E42" s="100">
        <v>103.10295</v>
      </c>
      <c r="F42" s="100">
        <v>109.4155</v>
      </c>
      <c r="G42" s="100">
        <v>126.74471</v>
      </c>
      <c r="H42" s="100">
        <v>146.24956</v>
      </c>
      <c r="I42" s="100">
        <v>172.0701</v>
      </c>
      <c r="J42" s="100">
        <v>159.55995</v>
      </c>
      <c r="K42" s="100">
        <v>177.40986</v>
      </c>
      <c r="L42" s="100">
        <v>178.90751</v>
      </c>
      <c r="M42" s="100">
        <v>176.80249</v>
      </c>
      <c r="N42" s="100">
        <v>180.83284</v>
      </c>
      <c r="O42" s="100">
        <v>178.58441</v>
      </c>
    </row>
    <row r="43" spans="1:15" ht="12">
      <c r="A43" t="s">
        <v>828</v>
      </c>
      <c r="B43" s="100">
        <v>45.26108</v>
      </c>
      <c r="C43" s="100">
        <v>42.28384</v>
      </c>
      <c r="D43" s="100">
        <v>38.90299</v>
      </c>
      <c r="E43" s="100">
        <v>35.59026</v>
      </c>
      <c r="F43" s="100">
        <v>39.47421</v>
      </c>
      <c r="G43" s="100">
        <v>52.78105</v>
      </c>
      <c r="H43" s="100">
        <v>60.14043</v>
      </c>
      <c r="I43" s="100">
        <v>69.53372</v>
      </c>
      <c r="J43" s="100">
        <v>85.7366</v>
      </c>
      <c r="K43" s="100">
        <v>95.45069</v>
      </c>
      <c r="L43" s="100">
        <v>100.36654</v>
      </c>
      <c r="M43" s="100">
        <v>99.43852</v>
      </c>
      <c r="N43" s="100">
        <v>98.98956</v>
      </c>
      <c r="O43" s="100">
        <v>98.33594</v>
      </c>
    </row>
    <row r="44" spans="1:15" ht="12">
      <c r="A44" t="s">
        <v>829</v>
      </c>
      <c r="B44" s="100">
        <v>65.93913</v>
      </c>
      <c r="C44" s="100">
        <v>67.38296</v>
      </c>
      <c r="D44" s="100">
        <v>64.61086</v>
      </c>
      <c r="E44" s="100">
        <v>64.53553</v>
      </c>
      <c r="F44" s="100">
        <v>68.77835</v>
      </c>
      <c r="G44" s="100">
        <v>83.03695</v>
      </c>
      <c r="H44" s="100">
        <v>85.25507</v>
      </c>
      <c r="I44" s="100">
        <v>87.8327</v>
      </c>
      <c r="J44" s="100">
        <v>90.60169</v>
      </c>
      <c r="K44" s="100">
        <v>93.41171</v>
      </c>
      <c r="L44" s="100">
        <v>94.88721</v>
      </c>
      <c r="M44" s="100">
        <v>95.57952</v>
      </c>
      <c r="N44" s="100">
        <v>96.58773</v>
      </c>
      <c r="O44" s="100">
        <v>96.98494</v>
      </c>
    </row>
    <row r="45" spans="1:15" ht="12">
      <c r="A45" t="s">
        <v>830</v>
      </c>
      <c r="B45" s="100">
        <v>40.21911</v>
      </c>
      <c r="C45" s="100">
        <v>41.09017</v>
      </c>
      <c r="D45" s="100">
        <v>38.60582</v>
      </c>
      <c r="E45" s="100">
        <v>37.25442</v>
      </c>
      <c r="F45" s="100">
        <v>38.96874</v>
      </c>
      <c r="G45" s="100">
        <v>48.31174</v>
      </c>
      <c r="H45" s="100">
        <v>57.34028</v>
      </c>
      <c r="I45" s="100">
        <v>63.84974</v>
      </c>
      <c r="J45" s="100">
        <v>69.42343</v>
      </c>
      <c r="K45" s="100">
        <v>80.45976</v>
      </c>
      <c r="L45" s="100">
        <v>84.03075</v>
      </c>
      <c r="M45" s="100">
        <v>83.84182</v>
      </c>
      <c r="N45" s="100">
        <v>80.63237</v>
      </c>
      <c r="O45" s="100">
        <v>77.98118</v>
      </c>
    </row>
    <row r="46" spans="1:15" ht="12">
      <c r="A46" t="s">
        <v>831</v>
      </c>
      <c r="B46" s="100">
        <v>100.08934</v>
      </c>
      <c r="C46" s="100">
        <v>101.94091</v>
      </c>
      <c r="D46" s="100">
        <v>102.55728</v>
      </c>
      <c r="E46" s="100">
        <v>99.79202</v>
      </c>
      <c r="F46" s="100">
        <v>102.4048</v>
      </c>
      <c r="G46" s="100">
        <v>112.54715</v>
      </c>
      <c r="H46" s="100">
        <v>115.41291</v>
      </c>
      <c r="I46" s="100">
        <v>116.52195</v>
      </c>
      <c r="J46" s="100">
        <v>123.36037</v>
      </c>
      <c r="K46" s="100">
        <v>129.02001</v>
      </c>
      <c r="L46" s="100">
        <v>131.78467</v>
      </c>
      <c r="M46" s="100">
        <v>131.51143</v>
      </c>
      <c r="N46" s="100">
        <v>132.0413</v>
      </c>
      <c r="O46" s="100">
        <v>131.80791</v>
      </c>
    </row>
    <row r="47" spans="1:15" ht="12">
      <c r="A47" t="s">
        <v>832</v>
      </c>
      <c r="B47" s="100">
        <v>64.10436</v>
      </c>
      <c r="C47" s="100">
        <v>62.81848</v>
      </c>
      <c r="D47" s="100">
        <v>58.6876</v>
      </c>
      <c r="E47" s="100">
        <v>53.50824</v>
      </c>
      <c r="F47" s="100">
        <v>45.07423</v>
      </c>
      <c r="G47" s="100">
        <v>53.80523</v>
      </c>
      <c r="H47" s="100">
        <v>56.28124</v>
      </c>
      <c r="I47" s="100">
        <v>65.71498</v>
      </c>
      <c r="J47" s="100">
        <v>79.66643</v>
      </c>
      <c r="K47" s="100">
        <v>102.61404</v>
      </c>
      <c r="L47" s="100">
        <v>107.4759</v>
      </c>
      <c r="M47" s="100">
        <v>107.49803</v>
      </c>
      <c r="N47" s="100">
        <v>106.57771</v>
      </c>
      <c r="O47" s="100">
        <v>97.45495</v>
      </c>
    </row>
    <row r="48" spans="1:15" ht="12">
      <c r="A48" t="s">
        <v>833</v>
      </c>
      <c r="B48" s="100">
        <v>14.03583</v>
      </c>
      <c r="C48" s="100">
        <v>11.41432</v>
      </c>
      <c r="D48" s="100">
        <v>9.55761</v>
      </c>
      <c r="E48" s="100">
        <v>8.04656</v>
      </c>
      <c r="F48" s="100">
        <v>18.17883</v>
      </c>
      <c r="G48" s="100">
        <v>35.79352</v>
      </c>
      <c r="H48" s="100">
        <v>46.83683</v>
      </c>
      <c r="I48" s="100">
        <v>42.66796</v>
      </c>
      <c r="J48" s="100">
        <v>41.2145</v>
      </c>
      <c r="K48" s="100">
        <v>39.0261</v>
      </c>
      <c r="L48" s="100">
        <v>40.93691</v>
      </c>
      <c r="M48" s="100">
        <v>36.81425</v>
      </c>
      <c r="N48" s="100">
        <v>40.48695</v>
      </c>
      <c r="O48" s="100">
        <v>40.14754</v>
      </c>
    </row>
    <row r="49" spans="1:15" ht="12">
      <c r="A49" t="s">
        <v>834</v>
      </c>
      <c r="B49" s="100">
        <v>18.66738</v>
      </c>
      <c r="C49" s="100">
        <v>17.62608</v>
      </c>
      <c r="D49" s="100">
        <v>17.24268</v>
      </c>
      <c r="E49" s="100">
        <v>15.87324</v>
      </c>
      <c r="F49" s="100">
        <v>14.56464</v>
      </c>
      <c r="G49" s="100">
        <v>27.95083</v>
      </c>
      <c r="H49" s="100">
        <v>36.2156</v>
      </c>
      <c r="I49" s="100">
        <v>37.18334</v>
      </c>
      <c r="J49" s="100">
        <v>39.7742</v>
      </c>
      <c r="K49" s="100">
        <v>38.75897</v>
      </c>
      <c r="L49" s="100">
        <v>40.54058</v>
      </c>
      <c r="M49" s="100">
        <v>42.58869</v>
      </c>
      <c r="N49" s="100">
        <v>40.11994</v>
      </c>
      <c r="O49" s="100">
        <v>39.73457</v>
      </c>
    </row>
    <row r="50" spans="1:15" ht="12">
      <c r="A50" t="s">
        <v>835</v>
      </c>
      <c r="B50" s="100">
        <v>7.25256</v>
      </c>
      <c r="C50" s="100">
        <v>7.40194</v>
      </c>
      <c r="D50" s="100">
        <v>7.77549</v>
      </c>
      <c r="E50" s="100">
        <v>7.71256</v>
      </c>
      <c r="F50" s="100">
        <v>14.90727</v>
      </c>
      <c r="G50" s="100">
        <v>15.72632</v>
      </c>
      <c r="H50" s="100">
        <v>19.78792</v>
      </c>
      <c r="I50" s="100">
        <v>18.70495</v>
      </c>
      <c r="J50" s="100">
        <v>21.98744</v>
      </c>
      <c r="K50" s="100">
        <v>23.68526</v>
      </c>
      <c r="L50" s="100">
        <v>22.663</v>
      </c>
      <c r="M50" s="100">
        <v>21.96897</v>
      </c>
      <c r="N50" s="100">
        <v>20.79781</v>
      </c>
      <c r="O50" s="100">
        <v>22.95054</v>
      </c>
    </row>
    <row r="51" spans="1:15" ht="12">
      <c r="A51" t="s">
        <v>836</v>
      </c>
      <c r="B51" s="100">
        <v>58.7223</v>
      </c>
      <c r="C51" s="100">
        <v>60.47801</v>
      </c>
      <c r="D51" s="100">
        <v>64.45639</v>
      </c>
      <c r="E51" s="100">
        <v>65.47183</v>
      </c>
      <c r="F51" s="100">
        <v>71.58148</v>
      </c>
      <c r="G51" s="100">
        <v>77.84189</v>
      </c>
      <c r="H51" s="100">
        <v>80.24876</v>
      </c>
      <c r="I51" s="100">
        <v>80.48227</v>
      </c>
      <c r="J51" s="100">
        <v>78.37317</v>
      </c>
      <c r="K51" s="100">
        <v>77.14755</v>
      </c>
      <c r="L51" s="100">
        <v>76.62995</v>
      </c>
      <c r="M51" s="100">
        <v>76.72895</v>
      </c>
      <c r="N51" s="100">
        <v>75.97955</v>
      </c>
      <c r="O51" s="100">
        <v>73.58105</v>
      </c>
    </row>
    <row r="52" spans="1:15" ht="12">
      <c r="A52" t="s">
        <v>837</v>
      </c>
      <c r="B52" s="100">
        <v>71.91802</v>
      </c>
      <c r="C52" s="100">
        <v>70.03628</v>
      </c>
      <c r="D52" s="100">
        <v>64.47935</v>
      </c>
      <c r="E52" s="100">
        <v>62.25985</v>
      </c>
      <c r="F52" s="100">
        <v>62.60702</v>
      </c>
      <c r="G52" s="100">
        <v>67.64833</v>
      </c>
      <c r="H52" s="100">
        <v>67.46085</v>
      </c>
      <c r="I52" s="100">
        <v>70.14187</v>
      </c>
      <c r="J52" s="100">
        <v>67.76311</v>
      </c>
      <c r="K52" s="100">
        <v>68.38924</v>
      </c>
      <c r="L52" s="100">
        <v>63.7563</v>
      </c>
      <c r="M52" s="100">
        <v>58.68893</v>
      </c>
      <c r="N52" s="100">
        <v>56.20645</v>
      </c>
      <c r="O52" s="100">
        <v>50.79528</v>
      </c>
    </row>
    <row r="53" spans="1:15" ht="12">
      <c r="A53" t="s">
        <v>838</v>
      </c>
      <c r="B53" s="100">
        <v>49.77488</v>
      </c>
      <c r="C53" s="100">
        <v>49.19585</v>
      </c>
      <c r="D53" s="100">
        <v>44.73802</v>
      </c>
      <c r="E53" s="100">
        <v>42.6505</v>
      </c>
      <c r="F53" s="100">
        <v>54.7455</v>
      </c>
      <c r="G53" s="100">
        <v>56.79551</v>
      </c>
      <c r="H53" s="100">
        <v>59.27615</v>
      </c>
      <c r="I53" s="100">
        <v>61.55128</v>
      </c>
      <c r="J53" s="100">
        <v>66.30361</v>
      </c>
      <c r="K53" s="100">
        <v>67.79691</v>
      </c>
      <c r="L53" s="100">
        <v>67.96524</v>
      </c>
      <c r="M53" s="100">
        <v>64.58358</v>
      </c>
      <c r="N53" s="100">
        <v>61.79614</v>
      </c>
      <c r="O53" s="100">
        <v>56.7492</v>
      </c>
    </row>
    <row r="54" spans="1:15" ht="12">
      <c r="A54" t="s">
        <v>839</v>
      </c>
      <c r="B54" s="100">
        <v>65.18939</v>
      </c>
      <c r="C54" s="100">
        <v>68.64251</v>
      </c>
      <c r="D54" s="100">
        <v>67.30901</v>
      </c>
      <c r="E54" s="100">
        <v>65.03128</v>
      </c>
      <c r="F54" s="100">
        <v>68.69845</v>
      </c>
      <c r="G54" s="100">
        <v>79.85396</v>
      </c>
      <c r="H54" s="100">
        <v>82.69672</v>
      </c>
      <c r="I54" s="100">
        <v>82.44442</v>
      </c>
      <c r="J54" s="100">
        <v>81.92008</v>
      </c>
      <c r="K54" s="100">
        <v>81.2662</v>
      </c>
      <c r="L54" s="100">
        <v>84.02686</v>
      </c>
      <c r="M54" s="100">
        <v>84.58594</v>
      </c>
      <c r="N54" s="100">
        <v>83.55591</v>
      </c>
      <c r="O54" s="100">
        <v>78.40623</v>
      </c>
    </row>
    <row r="55" spans="1:15" ht="12">
      <c r="A55" t="s">
        <v>840</v>
      </c>
      <c r="B55" s="100">
        <v>45.04331</v>
      </c>
      <c r="C55" s="100">
        <v>46.44118</v>
      </c>
      <c r="D55" s="100">
        <v>46.948</v>
      </c>
      <c r="E55" s="100">
        <v>44.1561</v>
      </c>
      <c r="F55" s="100">
        <v>46.29456</v>
      </c>
      <c r="G55" s="100">
        <v>49.43332</v>
      </c>
      <c r="H55" s="100">
        <v>53.12704</v>
      </c>
      <c r="I55" s="100">
        <v>54.10359</v>
      </c>
      <c r="J55" s="100">
        <v>53.71588</v>
      </c>
      <c r="K55" s="100">
        <v>55.69182</v>
      </c>
      <c r="L55" s="100">
        <v>50.25326</v>
      </c>
      <c r="M55" s="100">
        <v>51.12221</v>
      </c>
      <c r="N55" s="100">
        <v>54.16208</v>
      </c>
      <c r="O55" s="100">
        <v>50.62354</v>
      </c>
    </row>
    <row r="56" spans="1:15" ht="12">
      <c r="A56" t="s">
        <v>841</v>
      </c>
      <c r="B56" s="100">
        <v>61.98933</v>
      </c>
      <c r="C56" s="100">
        <v>67.3922</v>
      </c>
      <c r="D56" s="100">
        <v>69.17479</v>
      </c>
      <c r="E56" s="100">
        <v>68.43908</v>
      </c>
      <c r="F56" s="100">
        <v>71.6663</v>
      </c>
      <c r="G56" s="100">
        <v>83.60945</v>
      </c>
      <c r="H56" s="100">
        <v>96.18331</v>
      </c>
      <c r="I56" s="100">
        <v>111.38969</v>
      </c>
      <c r="J56" s="100">
        <v>126.22243</v>
      </c>
      <c r="K56" s="100">
        <v>129.03954</v>
      </c>
      <c r="L56" s="100">
        <v>130.59958</v>
      </c>
      <c r="M56" s="100">
        <v>128.75468</v>
      </c>
      <c r="N56" s="100">
        <v>129.86002</v>
      </c>
      <c r="O56" s="100">
        <v>125.67835</v>
      </c>
    </row>
    <row r="57" spans="1:15" ht="12">
      <c r="A57" t="s">
        <v>842</v>
      </c>
      <c r="B57" s="100">
        <v>18.63608</v>
      </c>
      <c r="C57" s="100">
        <v>15.70653</v>
      </c>
      <c r="D57" s="100">
        <v>12.27172</v>
      </c>
      <c r="E57" s="100">
        <v>11.87806</v>
      </c>
      <c r="F57" s="100">
        <v>12.41794</v>
      </c>
      <c r="G57" s="100">
        <v>22.08157</v>
      </c>
      <c r="H57" s="100">
        <v>29.72119</v>
      </c>
      <c r="I57" s="100">
        <v>33.98827</v>
      </c>
      <c r="J57" s="100">
        <v>36.91191</v>
      </c>
      <c r="K57" s="100">
        <v>37.47432</v>
      </c>
      <c r="L57" s="100">
        <v>39.12353</v>
      </c>
      <c r="M57" s="100">
        <v>37.68915</v>
      </c>
      <c r="N57" s="100">
        <v>37.3793</v>
      </c>
      <c r="O57" s="100">
        <v>35.04203</v>
      </c>
    </row>
    <row r="58" spans="1:15" ht="12">
      <c r="A58" t="s">
        <v>843</v>
      </c>
      <c r="B58" s="100">
        <v>26.84638</v>
      </c>
      <c r="C58" s="100">
        <v>26.28711</v>
      </c>
      <c r="D58" s="100">
        <v>25.99995</v>
      </c>
      <c r="E58" s="100">
        <v>22.82934</v>
      </c>
      <c r="F58" s="100">
        <v>21.80309</v>
      </c>
      <c r="G58" s="100">
        <v>34.63764</v>
      </c>
      <c r="H58" s="100">
        <v>38.36256</v>
      </c>
      <c r="I58" s="100">
        <v>46.62698</v>
      </c>
      <c r="J58" s="100">
        <v>53.78641</v>
      </c>
      <c r="K58" s="100">
        <v>70.37936</v>
      </c>
      <c r="L58" s="100">
        <v>80.3403</v>
      </c>
      <c r="M58" s="100">
        <v>82.62152</v>
      </c>
      <c r="N58" s="100">
        <v>78.56215</v>
      </c>
      <c r="O58" s="100">
        <v>73.61737</v>
      </c>
    </row>
    <row r="59" spans="1:15" ht="12">
      <c r="A59" t="s">
        <v>844</v>
      </c>
      <c r="B59" s="100">
        <v>40.63924</v>
      </c>
      <c r="C59" s="100">
        <v>34.1191</v>
      </c>
      <c r="D59" s="100">
        <v>30.97515</v>
      </c>
      <c r="E59" s="100">
        <v>30.10093</v>
      </c>
      <c r="F59" s="100">
        <v>28.46144</v>
      </c>
      <c r="G59" s="100">
        <v>36.29449</v>
      </c>
      <c r="H59" s="100">
        <v>41.20064</v>
      </c>
      <c r="I59" s="100">
        <v>43.67562</v>
      </c>
      <c r="J59" s="100">
        <v>52.16489</v>
      </c>
      <c r="K59" s="100">
        <v>54.73922</v>
      </c>
      <c r="L59" s="100">
        <v>53.52372</v>
      </c>
      <c r="M59" s="100">
        <v>52.34074</v>
      </c>
      <c r="N59" s="100">
        <v>51.81909</v>
      </c>
      <c r="O59" s="100">
        <v>50.86356</v>
      </c>
    </row>
    <row r="60" spans="1:15" ht="12">
      <c r="A60" t="s">
        <v>845</v>
      </c>
      <c r="B60" s="100">
        <v>42.71724</v>
      </c>
      <c r="C60" s="100">
        <v>40.00255</v>
      </c>
      <c r="D60" s="100">
        <v>38.17419</v>
      </c>
      <c r="E60" s="100">
        <v>33.99273</v>
      </c>
      <c r="F60" s="100">
        <v>32.6538</v>
      </c>
      <c r="G60" s="100">
        <v>41.69608</v>
      </c>
      <c r="H60" s="100">
        <v>47.11919</v>
      </c>
      <c r="I60" s="100">
        <v>48.50434</v>
      </c>
      <c r="J60" s="100">
        <v>53.9098</v>
      </c>
      <c r="K60" s="100">
        <v>56.45821</v>
      </c>
      <c r="L60" s="100">
        <v>60.20032</v>
      </c>
      <c r="M60" s="100">
        <v>63.53648</v>
      </c>
      <c r="N60" s="100">
        <v>63.04774</v>
      </c>
      <c r="O60" s="100">
        <v>61.41946</v>
      </c>
    </row>
    <row r="61" spans="1:15" ht="12">
      <c r="A61" t="s">
        <v>846</v>
      </c>
      <c r="B61" s="100">
        <v>48.90962</v>
      </c>
      <c r="C61" s="100">
        <v>49.16618</v>
      </c>
      <c r="D61" s="100">
        <v>43.98485</v>
      </c>
      <c r="E61" s="100">
        <v>39.25148</v>
      </c>
      <c r="F61" s="100">
        <v>37.78352</v>
      </c>
      <c r="G61" s="100">
        <v>41.3914</v>
      </c>
      <c r="H61" s="100">
        <v>38.64509</v>
      </c>
      <c r="I61" s="100">
        <v>37.87375</v>
      </c>
      <c r="J61" s="100">
        <v>38.10885</v>
      </c>
      <c r="K61" s="100">
        <v>40.73979</v>
      </c>
      <c r="L61" s="100">
        <v>45.5243</v>
      </c>
      <c r="M61" s="100">
        <v>44.20747</v>
      </c>
      <c r="N61" s="100">
        <v>42.13427</v>
      </c>
      <c r="O61" s="100">
        <v>40.61366</v>
      </c>
    </row>
    <row r="62" spans="1:15" ht="12">
      <c r="A62" t="s">
        <v>847</v>
      </c>
      <c r="B62" s="100">
        <v>38.67586</v>
      </c>
      <c r="C62" s="100">
        <v>39.85838</v>
      </c>
      <c r="D62" s="100">
        <v>40.77878</v>
      </c>
      <c r="E62" s="100">
        <v>41.87633</v>
      </c>
      <c r="F62" s="100">
        <v>49.9192</v>
      </c>
      <c r="G62" s="100">
        <v>64.05845</v>
      </c>
      <c r="H62" s="100">
        <v>75.5969</v>
      </c>
      <c r="I62" s="100">
        <v>81.26781</v>
      </c>
      <c r="J62" s="100">
        <v>84.54646</v>
      </c>
      <c r="K62" s="100">
        <v>85.57733</v>
      </c>
      <c r="L62" s="100">
        <v>87.35601</v>
      </c>
      <c r="M62" s="100">
        <v>88.20593</v>
      </c>
      <c r="N62" s="100">
        <v>88.18735</v>
      </c>
      <c r="O62" s="100">
        <v>87.66395</v>
      </c>
    </row>
    <row r="63" spans="1:15" ht="12">
      <c r="A63" t="s">
        <v>848</v>
      </c>
      <c r="B63" s="100" t="s">
        <v>163</v>
      </c>
      <c r="C63" s="100" t="s">
        <v>163</v>
      </c>
      <c r="D63" s="100" t="s">
        <v>163</v>
      </c>
      <c r="E63" s="100" t="s">
        <v>163</v>
      </c>
      <c r="F63" s="100" t="s">
        <v>163</v>
      </c>
      <c r="G63" s="100" t="s">
        <v>163</v>
      </c>
      <c r="H63" s="100" t="s">
        <v>163</v>
      </c>
      <c r="I63" s="100" t="s">
        <v>163</v>
      </c>
      <c r="J63" s="100" t="s">
        <v>163</v>
      </c>
      <c r="K63" s="100" t="s">
        <v>163</v>
      </c>
      <c r="L63" s="100" t="s">
        <v>163</v>
      </c>
      <c r="M63" s="100" t="s">
        <v>163</v>
      </c>
      <c r="N63" s="100" t="s">
        <v>163</v>
      </c>
      <c r="O63" s="100" t="s">
        <v>163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B50"/>
  <sheetViews>
    <sheetView showGridLines="0" workbookViewId="0" topLeftCell="A1">
      <selection activeCell="A4" sqref="A4"/>
    </sheetView>
  </sheetViews>
  <sheetFormatPr defaultColWidth="9.140625" defaultRowHeight="12"/>
  <cols>
    <col min="1" max="2" width="9.28125" style="17" customWidth="1"/>
    <col min="3" max="3" width="17.28125" style="17" customWidth="1"/>
    <col min="4" max="4" width="9.421875" style="59" customWidth="1"/>
    <col min="5" max="5" width="9.421875" style="17" customWidth="1"/>
    <col min="6" max="22" width="9.140625" style="17" customWidth="1"/>
    <col min="23" max="23" width="4.421875" style="17" customWidth="1"/>
    <col min="24" max="16384" width="9.140625" style="17" customWidth="1"/>
  </cols>
  <sheetData>
    <row r="1" spans="1:4" s="1" customFormat="1" ht="11.25" customHeight="1">
      <c r="A1" s="38"/>
      <c r="D1" s="2"/>
    </row>
    <row r="2" spans="1:4" s="1" customFormat="1" ht="11.25" customHeight="1">
      <c r="A2" s="17"/>
      <c r="D2" s="2"/>
    </row>
    <row r="3" spans="3:4" s="1" customFormat="1" ht="11.25" customHeight="1">
      <c r="C3" s="1" t="s">
        <v>36</v>
      </c>
      <c r="D3" s="2"/>
    </row>
    <row r="4" spans="3:4" s="1" customFormat="1" ht="11.25" customHeight="1">
      <c r="C4" s="1" t="s">
        <v>37</v>
      </c>
      <c r="D4" s="2"/>
    </row>
    <row r="5" s="1" customFormat="1" ht="11.25" customHeight="1">
      <c r="D5" s="2"/>
    </row>
    <row r="6" spans="1:28" s="1" customFormat="1" ht="12">
      <c r="A6" s="17"/>
      <c r="C6" s="57" t="s">
        <v>854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3:24" s="1" customFormat="1" ht="11.25" customHeight="1">
      <c r="C7" s="31" t="s">
        <v>154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="1" customFormat="1" ht="12">
      <c r="D8" s="2"/>
    </row>
    <row r="9" ht="12"/>
    <row r="10" spans="4:7" ht="12">
      <c r="D10" s="17">
        <v>2016</v>
      </c>
      <c r="E10" s="17">
        <v>2017</v>
      </c>
      <c r="F10" s="34" t="s">
        <v>28</v>
      </c>
      <c r="G10" s="3"/>
    </row>
    <row r="11" spans="1:7" ht="12">
      <c r="A11" s="33"/>
      <c r="B11" s="33"/>
      <c r="C11" s="17" t="s">
        <v>54</v>
      </c>
      <c r="D11" s="55">
        <v>-1.62184</v>
      </c>
      <c r="E11" s="55">
        <v>-0.95642</v>
      </c>
      <c r="F11" s="35">
        <v>-3</v>
      </c>
      <c r="G11" s="4"/>
    </row>
    <row r="12" spans="1:7" ht="12">
      <c r="A12" s="33"/>
      <c r="B12" s="33"/>
      <c r="C12" s="17" t="s">
        <v>77</v>
      </c>
      <c r="D12" s="55">
        <v>-1.47375</v>
      </c>
      <c r="E12" s="55">
        <v>-0.88576</v>
      </c>
      <c r="F12" s="35">
        <v>-3</v>
      </c>
      <c r="G12" s="4"/>
    </row>
    <row r="13" spans="1:7" ht="12">
      <c r="A13" s="33"/>
      <c r="B13" s="33"/>
      <c r="C13" s="17" t="s">
        <v>16</v>
      </c>
      <c r="D13" s="55">
        <v>0.99072</v>
      </c>
      <c r="E13" s="55">
        <v>3.93066</v>
      </c>
      <c r="F13" s="35">
        <v>-3</v>
      </c>
      <c r="G13" s="3"/>
    </row>
    <row r="14" spans="1:7" ht="12">
      <c r="A14" s="33"/>
      <c r="B14" s="33"/>
      <c r="C14" s="17" t="s">
        <v>14</v>
      </c>
      <c r="D14" s="55">
        <v>0.32329</v>
      </c>
      <c r="E14" s="55">
        <v>1.7883</v>
      </c>
      <c r="F14" s="35">
        <v>-3</v>
      </c>
      <c r="G14" s="3"/>
    </row>
    <row r="15" spans="2:7" ht="12">
      <c r="B15" s="33"/>
      <c r="C15" s="17" t="s">
        <v>24</v>
      </c>
      <c r="D15" s="55">
        <v>0.72575</v>
      </c>
      <c r="E15" s="55">
        <v>1.59487</v>
      </c>
      <c r="F15" s="35">
        <v>-3</v>
      </c>
      <c r="G15" s="3"/>
    </row>
    <row r="16" spans="2:7" ht="12">
      <c r="B16" s="33"/>
      <c r="C16" s="17" t="s">
        <v>0</v>
      </c>
      <c r="D16" s="55">
        <v>1.61441</v>
      </c>
      <c r="E16" s="55">
        <v>1.51544</v>
      </c>
      <c r="F16" s="35">
        <v>-3</v>
      </c>
      <c r="G16" s="3"/>
    </row>
    <row r="17" spans="2:7" ht="12">
      <c r="B17" s="33"/>
      <c r="C17" s="17" t="s">
        <v>3</v>
      </c>
      <c r="D17" s="55">
        <v>1.18582</v>
      </c>
      <c r="E17" s="55">
        <v>1.27032</v>
      </c>
      <c r="F17" s="35">
        <v>-3</v>
      </c>
      <c r="G17" s="3"/>
    </row>
    <row r="18" spans="2:7" ht="12">
      <c r="B18" s="33"/>
      <c r="C18" s="17" t="s">
        <v>9</v>
      </c>
      <c r="D18" s="55">
        <v>1.01348</v>
      </c>
      <c r="E18" s="55">
        <v>1.26296</v>
      </c>
      <c r="F18" s="35">
        <v>-3</v>
      </c>
      <c r="G18" s="3"/>
    </row>
    <row r="19" spans="2:7" ht="12">
      <c r="B19" s="33"/>
      <c r="C19" s="17" t="s">
        <v>2</v>
      </c>
      <c r="D19" s="55">
        <v>0.36619</v>
      </c>
      <c r="E19" s="55">
        <v>1.09306</v>
      </c>
      <c r="F19" s="35">
        <v>-3</v>
      </c>
      <c r="G19" s="3"/>
    </row>
    <row r="20" spans="2:7" ht="12">
      <c r="B20" s="33"/>
      <c r="C20" s="17" t="s">
        <v>4</v>
      </c>
      <c r="D20" s="55">
        <v>-0.40877</v>
      </c>
      <c r="E20" s="55">
        <v>1.00044</v>
      </c>
      <c r="F20" s="35">
        <v>-3</v>
      </c>
      <c r="G20" s="3"/>
    </row>
    <row r="21" spans="2:7" ht="12">
      <c r="B21" s="33"/>
      <c r="C21" s="17" t="s">
        <v>22</v>
      </c>
      <c r="D21" s="55">
        <v>0.22185</v>
      </c>
      <c r="E21" s="55">
        <v>0.9331</v>
      </c>
      <c r="F21" s="35">
        <v>-3</v>
      </c>
      <c r="G21" s="3"/>
    </row>
    <row r="22" spans="2:7" ht="12">
      <c r="B22" s="33"/>
      <c r="C22" s="17" t="s">
        <v>13</v>
      </c>
      <c r="D22" s="55">
        <v>0.62802</v>
      </c>
      <c r="E22" s="55">
        <v>0.81807</v>
      </c>
      <c r="F22" s="35">
        <v>-3</v>
      </c>
      <c r="G22" s="3"/>
    </row>
    <row r="23" spans="2:7" ht="12">
      <c r="B23" s="33"/>
      <c r="C23" s="17" t="s">
        <v>23</v>
      </c>
      <c r="D23" s="55">
        <v>-0.93725</v>
      </c>
      <c r="E23" s="55">
        <v>0.75802</v>
      </c>
      <c r="F23" s="35">
        <v>-3</v>
      </c>
      <c r="G23" s="3"/>
    </row>
    <row r="24" spans="2:7" ht="12">
      <c r="B24" s="33"/>
      <c r="C24" s="17" t="s">
        <v>6</v>
      </c>
      <c r="D24" s="55">
        <v>0.26637</v>
      </c>
      <c r="E24" s="55">
        <v>0.52847</v>
      </c>
      <c r="F24" s="35">
        <v>-3</v>
      </c>
      <c r="G24" s="3"/>
    </row>
    <row r="25" spans="2:7" ht="12">
      <c r="B25" s="33"/>
      <c r="C25" s="17" t="s">
        <v>15</v>
      </c>
      <c r="D25" s="55">
        <v>-1.93177</v>
      </c>
      <c r="E25" s="55">
        <v>0.031</v>
      </c>
      <c r="F25" s="35">
        <v>-3</v>
      </c>
      <c r="G25" s="3"/>
    </row>
    <row r="26" spans="2:7" ht="12">
      <c r="B26" s="33"/>
      <c r="C26" s="17" t="s">
        <v>18</v>
      </c>
      <c r="D26" s="55">
        <v>-0.29007</v>
      </c>
      <c r="E26" s="55">
        <v>-0.28736</v>
      </c>
      <c r="F26" s="35">
        <v>-3</v>
      </c>
      <c r="G26" s="3"/>
    </row>
    <row r="27" spans="2:7" ht="12">
      <c r="B27" s="33"/>
      <c r="C27" s="17" t="s">
        <v>25</v>
      </c>
      <c r="D27" s="55">
        <v>-0.5161</v>
      </c>
      <c r="E27" s="55">
        <v>-0.3425</v>
      </c>
      <c r="F27" s="35">
        <v>-3</v>
      </c>
      <c r="G27" s="3"/>
    </row>
    <row r="28" spans="2:7" ht="12">
      <c r="B28" s="33"/>
      <c r="C28" s="17" t="s">
        <v>7</v>
      </c>
      <c r="D28" s="55">
        <v>0.06268</v>
      </c>
      <c r="E28" s="55">
        <v>-0.48817</v>
      </c>
      <c r="F28" s="35">
        <v>-3</v>
      </c>
      <c r="G28" s="3"/>
    </row>
    <row r="29" spans="2:7" ht="12">
      <c r="B29" s="33"/>
      <c r="C29" s="17" t="s">
        <v>5</v>
      </c>
      <c r="D29" s="55">
        <v>-1.79216</v>
      </c>
      <c r="E29" s="55">
        <v>-0.5722</v>
      </c>
      <c r="F29" s="35">
        <v>-3</v>
      </c>
      <c r="G29" s="3"/>
    </row>
    <row r="30" spans="2:7" ht="12">
      <c r="B30" s="33"/>
      <c r="C30" s="17" t="s">
        <v>26</v>
      </c>
      <c r="D30" s="55">
        <v>-1.59143</v>
      </c>
      <c r="E30" s="55">
        <v>-0.70123</v>
      </c>
      <c r="F30" s="35">
        <v>-3</v>
      </c>
      <c r="G30" s="3"/>
    </row>
    <row r="31" spans="1:7" ht="12">
      <c r="A31" s="33"/>
      <c r="B31" s="33"/>
      <c r="C31" s="17" t="s">
        <v>1</v>
      </c>
      <c r="D31" s="55">
        <v>-2.48021</v>
      </c>
      <c r="E31" s="55">
        <v>-1.03155</v>
      </c>
      <c r="F31" s="35">
        <v>-3</v>
      </c>
      <c r="G31" s="3"/>
    </row>
    <row r="32" spans="1:7" ht="12">
      <c r="A32" s="33"/>
      <c r="B32" s="33"/>
      <c r="C32" s="17" t="s">
        <v>19</v>
      </c>
      <c r="D32" s="55">
        <v>-2.2065</v>
      </c>
      <c r="E32" s="55">
        <v>-1.04073</v>
      </c>
      <c r="F32" s="35">
        <v>-3</v>
      </c>
      <c r="G32" s="3"/>
    </row>
    <row r="33" spans="1:7" ht="12">
      <c r="A33" s="33"/>
      <c r="B33" s="33"/>
      <c r="C33" s="17" t="s">
        <v>21</v>
      </c>
      <c r="D33" s="55">
        <v>-2.34828</v>
      </c>
      <c r="E33" s="55">
        <v>-1.66255</v>
      </c>
      <c r="F33" s="35">
        <v>-3</v>
      </c>
      <c r="G33" s="3"/>
    </row>
    <row r="34" spans="1:7" ht="12">
      <c r="A34" s="33"/>
      <c r="B34" s="33"/>
      <c r="C34" s="17" t="s">
        <v>8</v>
      </c>
      <c r="D34" s="55">
        <v>-2.9707</v>
      </c>
      <c r="E34" s="55">
        <v>-1.9314</v>
      </c>
      <c r="F34" s="35">
        <v>-3</v>
      </c>
      <c r="G34" s="3"/>
    </row>
    <row r="35" spans="1:7" ht="12">
      <c r="A35" s="33"/>
      <c r="B35" s="33"/>
      <c r="C35" s="17" t="s">
        <v>20</v>
      </c>
      <c r="D35" s="55">
        <v>-1.66413</v>
      </c>
      <c r="E35" s="55">
        <v>-1.95457</v>
      </c>
      <c r="F35" s="35">
        <v>-3</v>
      </c>
      <c r="G35" s="3"/>
    </row>
    <row r="36" spans="1:7" ht="12">
      <c r="A36" s="33"/>
      <c r="B36" s="33"/>
      <c r="C36" s="17" t="s">
        <v>12</v>
      </c>
      <c r="D36" s="55">
        <v>-2.47705</v>
      </c>
      <c r="E36" s="55">
        <v>-2.31174</v>
      </c>
      <c r="F36" s="35">
        <v>-3</v>
      </c>
      <c r="G36" s="3"/>
    </row>
    <row r="37" spans="1:7" ht="12">
      <c r="A37" s="33"/>
      <c r="B37" s="33"/>
      <c r="C37" s="17" t="s">
        <v>10</v>
      </c>
      <c r="D37" s="55">
        <v>-3.40752</v>
      </c>
      <c r="E37" s="55">
        <v>-2.59425</v>
      </c>
      <c r="F37" s="35">
        <v>-3</v>
      </c>
      <c r="G37" s="3"/>
    </row>
    <row r="38" spans="1:7" ht="12">
      <c r="A38" s="33"/>
      <c r="B38" s="33"/>
      <c r="C38" s="17" t="s">
        <v>27</v>
      </c>
      <c r="D38" s="55">
        <v>-2.97482</v>
      </c>
      <c r="E38" s="55">
        <v>-2.91468</v>
      </c>
      <c r="F38" s="35">
        <v>-3</v>
      </c>
      <c r="G38" s="3"/>
    </row>
    <row r="39" spans="1:7" ht="12">
      <c r="A39" s="33"/>
      <c r="B39" s="33"/>
      <c r="C39" s="17" t="s">
        <v>17</v>
      </c>
      <c r="D39" s="55">
        <v>-1.9759</v>
      </c>
      <c r="E39" s="55">
        <v>-2.9575</v>
      </c>
      <c r="F39" s="35">
        <v>-3</v>
      </c>
      <c r="G39" s="3"/>
    </row>
    <row r="40" spans="1:8" ht="12">
      <c r="A40" s="33"/>
      <c r="B40" s="33"/>
      <c r="C40" s="17" t="s">
        <v>11</v>
      </c>
      <c r="D40" s="55">
        <v>-4.50604</v>
      </c>
      <c r="E40" s="55">
        <v>-3.1137</v>
      </c>
      <c r="F40" s="35">
        <v>-3</v>
      </c>
      <c r="G40" s="4"/>
      <c r="H40" s="17" t="s">
        <v>158</v>
      </c>
    </row>
    <row r="41" spans="1:8" ht="12">
      <c r="A41" s="33"/>
      <c r="B41" s="33"/>
      <c r="D41" s="55"/>
      <c r="E41" s="55"/>
      <c r="F41" s="35">
        <v>-3</v>
      </c>
      <c r="G41" s="4"/>
      <c r="H41" s="28" t="s">
        <v>149</v>
      </c>
    </row>
    <row r="42" spans="4:11" ht="12">
      <c r="D42" s="58"/>
      <c r="E42" s="58"/>
      <c r="F42" s="3">
        <v>-3</v>
      </c>
      <c r="G42" s="5"/>
      <c r="H42" s="58"/>
      <c r="I42" s="58"/>
      <c r="J42" s="58"/>
      <c r="K42" s="58"/>
    </row>
    <row r="43" spans="1:5" ht="12">
      <c r="A43" s="6"/>
      <c r="C43" s="17" t="s">
        <v>158</v>
      </c>
      <c r="D43" s="55"/>
      <c r="E43" s="55"/>
    </row>
    <row r="44" spans="3:24" ht="12">
      <c r="C44" s="28" t="s">
        <v>149</v>
      </c>
      <c r="V44" s="28"/>
      <c r="X44" s="28"/>
    </row>
    <row r="45" ht="12">
      <c r="G45" s="6" t="s">
        <v>51</v>
      </c>
    </row>
    <row r="46" ht="12">
      <c r="D46" s="17"/>
    </row>
    <row r="47" spans="3:4" ht="12">
      <c r="C47" s="32"/>
      <c r="D47" s="17"/>
    </row>
    <row r="48" spans="4:5" ht="12">
      <c r="D48" s="22"/>
      <c r="E48" s="22"/>
    </row>
    <row r="49" spans="3:5" ht="12">
      <c r="C49" s="32"/>
      <c r="D49" s="22"/>
      <c r="E49" s="22"/>
    </row>
    <row r="50" spans="4:5" ht="12">
      <c r="D50" s="22"/>
      <c r="E50" s="22"/>
    </row>
  </sheetData>
  <printOptions/>
  <pageMargins left="0" right="0" top="0" bottom="0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O77"/>
  <sheetViews>
    <sheetView showGridLines="0" workbookViewId="0" topLeftCell="A1">
      <selection activeCell="A1" sqref="A1:A1048576"/>
    </sheetView>
  </sheetViews>
  <sheetFormatPr defaultColWidth="9.140625" defaultRowHeight="12"/>
  <cols>
    <col min="1" max="2" width="9.28125" style="17" customWidth="1"/>
    <col min="3" max="3" width="18.140625" style="17" customWidth="1"/>
    <col min="4" max="11" width="15.57421875" style="17" customWidth="1"/>
    <col min="12" max="16384" width="9.140625" style="17" customWidth="1"/>
  </cols>
  <sheetData>
    <row r="1" ht="11.25" customHeight="1">
      <c r="A1" s="38"/>
    </row>
    <row r="2" s="1" customFormat="1" ht="11.25" customHeight="1">
      <c r="A2" s="17"/>
    </row>
    <row r="3" s="1" customFormat="1" ht="11.25" customHeight="1">
      <c r="C3" s="1" t="s">
        <v>36</v>
      </c>
    </row>
    <row r="4" s="1" customFormat="1" ht="11.25" customHeight="1">
      <c r="C4" s="1" t="s">
        <v>37</v>
      </c>
    </row>
    <row r="5" s="1" customFormat="1" ht="11.25" customHeight="1"/>
    <row r="6" spans="1:12" s="1" customFormat="1" ht="12">
      <c r="A6" s="17"/>
      <c r="C6" s="57" t="s">
        <v>851</v>
      </c>
      <c r="D6" s="57"/>
      <c r="E6" s="57"/>
      <c r="F6" s="57"/>
      <c r="G6" s="57"/>
      <c r="H6" s="57"/>
      <c r="I6" s="57"/>
      <c r="J6" s="57"/>
      <c r="K6" s="57"/>
      <c r="L6" s="57"/>
    </row>
    <row r="7" spans="1:12" s="1" customFormat="1" ht="11.25" customHeight="1">
      <c r="A7" s="17"/>
      <c r="C7" s="31" t="s">
        <v>30</v>
      </c>
      <c r="D7" s="31"/>
      <c r="E7" s="31"/>
      <c r="F7" s="31"/>
      <c r="G7" s="31"/>
      <c r="H7" s="31"/>
      <c r="I7" s="31"/>
      <c r="J7" s="31"/>
      <c r="K7" s="31"/>
      <c r="L7" s="31"/>
    </row>
    <row r="9" spans="3:11" ht="24" customHeight="1">
      <c r="C9" s="27"/>
      <c r="D9" s="103" t="s">
        <v>71</v>
      </c>
      <c r="E9" s="104"/>
      <c r="F9" s="104"/>
      <c r="G9" s="104"/>
      <c r="H9" s="103" t="s">
        <v>53</v>
      </c>
      <c r="I9" s="104"/>
      <c r="J9" s="104"/>
      <c r="K9" s="104"/>
    </row>
    <row r="10" spans="3:11" s="39" customFormat="1" ht="12">
      <c r="C10" s="16"/>
      <c r="D10" s="84">
        <v>2014</v>
      </c>
      <c r="E10" s="85">
        <v>2015</v>
      </c>
      <c r="F10" s="85">
        <v>2016</v>
      </c>
      <c r="G10" s="85">
        <v>2017</v>
      </c>
      <c r="H10" s="84">
        <v>2014</v>
      </c>
      <c r="I10" s="85">
        <v>2015</v>
      </c>
      <c r="J10" s="85">
        <v>2016</v>
      </c>
      <c r="K10" s="85">
        <v>2017</v>
      </c>
    </row>
    <row r="11" spans="3:15" s="39" customFormat="1" ht="12">
      <c r="C11" s="13" t="s">
        <v>54</v>
      </c>
      <c r="D11" s="87">
        <v>-2.91014</v>
      </c>
      <c r="E11" s="88">
        <v>-2.33546</v>
      </c>
      <c r="F11" s="88">
        <v>-1.62184</v>
      </c>
      <c r="G11" s="88">
        <v>-0.95642</v>
      </c>
      <c r="H11" s="87">
        <v>86.50896</v>
      </c>
      <c r="I11" s="88">
        <v>84.52922</v>
      </c>
      <c r="J11" s="88">
        <v>83.25698</v>
      </c>
      <c r="K11" s="88">
        <v>81.58634</v>
      </c>
      <c r="L11" s="17"/>
      <c r="M11" s="60"/>
      <c r="N11" s="60"/>
      <c r="O11" s="60"/>
    </row>
    <row r="12" spans="3:15" s="39" customFormat="1" ht="12">
      <c r="C12" s="83" t="s">
        <v>73</v>
      </c>
      <c r="D12" s="89">
        <v>-2.49421</v>
      </c>
      <c r="E12" s="90">
        <v>-2.03019</v>
      </c>
      <c r="F12" s="90">
        <v>-1.47375</v>
      </c>
      <c r="G12" s="90">
        <v>-0.88576</v>
      </c>
      <c r="H12" s="89">
        <v>91.88039</v>
      </c>
      <c r="I12" s="90">
        <v>89.94204</v>
      </c>
      <c r="J12" s="90">
        <v>88.98751</v>
      </c>
      <c r="K12" s="90">
        <v>86.72239</v>
      </c>
      <c r="L12" s="17"/>
      <c r="M12" s="60"/>
      <c r="N12" s="60"/>
      <c r="O12" s="60"/>
    </row>
    <row r="13" spans="1:15" s="39" customFormat="1" ht="12">
      <c r="A13" s="99"/>
      <c r="C13" s="86" t="s">
        <v>1</v>
      </c>
      <c r="D13" s="91">
        <v>-3.07886</v>
      </c>
      <c r="E13" s="92">
        <v>-2.4802</v>
      </c>
      <c r="F13" s="92">
        <v>-2.48021</v>
      </c>
      <c r="G13" s="92">
        <v>-1.03155</v>
      </c>
      <c r="H13" s="91">
        <v>106.95356</v>
      </c>
      <c r="I13" s="92">
        <v>106.06117</v>
      </c>
      <c r="J13" s="92">
        <v>105.93609</v>
      </c>
      <c r="K13" s="92">
        <v>103.12115</v>
      </c>
      <c r="L13" s="61"/>
      <c r="M13" s="60"/>
      <c r="N13" s="60"/>
      <c r="O13" s="60"/>
    </row>
    <row r="14" spans="1:15" s="39" customFormat="1" ht="12">
      <c r="A14" s="99"/>
      <c r="C14" s="14" t="s">
        <v>22</v>
      </c>
      <c r="D14" s="93">
        <v>-5.45323</v>
      </c>
      <c r="E14" s="94">
        <v>-1.60351</v>
      </c>
      <c r="F14" s="94">
        <v>0.22185</v>
      </c>
      <c r="G14" s="94">
        <v>0.9331</v>
      </c>
      <c r="H14" s="93">
        <v>26.96728</v>
      </c>
      <c r="I14" s="94">
        <v>25.9941</v>
      </c>
      <c r="J14" s="94">
        <v>29.02487</v>
      </c>
      <c r="K14" s="94">
        <v>25.41154</v>
      </c>
      <c r="L14" s="61"/>
      <c r="M14" s="60"/>
      <c r="N14" s="60"/>
      <c r="O14" s="60"/>
    </row>
    <row r="15" spans="1:15" s="39" customFormat="1" ht="12">
      <c r="A15" s="99"/>
      <c r="C15" s="14" t="s">
        <v>24</v>
      </c>
      <c r="D15" s="93">
        <v>-2.09934</v>
      </c>
      <c r="E15" s="94">
        <v>-0.60771</v>
      </c>
      <c r="F15" s="94">
        <v>0.72575</v>
      </c>
      <c r="G15" s="94">
        <v>1.59487</v>
      </c>
      <c r="H15" s="93">
        <v>42.16938</v>
      </c>
      <c r="I15" s="94">
        <v>39.95522</v>
      </c>
      <c r="J15" s="94">
        <v>36.76503</v>
      </c>
      <c r="K15" s="94">
        <v>34.602</v>
      </c>
      <c r="L15" s="61"/>
      <c r="M15" s="60"/>
      <c r="N15" s="60"/>
      <c r="O15" s="60"/>
    </row>
    <row r="16" spans="1:15" s="39" customFormat="1" ht="12">
      <c r="A16" s="99"/>
      <c r="C16" s="14" t="s">
        <v>4</v>
      </c>
      <c r="D16" s="93">
        <v>1.14443</v>
      </c>
      <c r="E16" s="94">
        <v>-1.47101</v>
      </c>
      <c r="F16" s="94">
        <v>-0.40877</v>
      </c>
      <c r="G16" s="94">
        <v>1.00044</v>
      </c>
      <c r="H16" s="93">
        <v>44.27029</v>
      </c>
      <c r="I16" s="94">
        <v>39.92615</v>
      </c>
      <c r="J16" s="94">
        <v>37.86838</v>
      </c>
      <c r="K16" s="94">
        <v>36.40557</v>
      </c>
      <c r="L16" s="61"/>
      <c r="M16" s="60"/>
      <c r="N16" s="60"/>
      <c r="O16" s="60"/>
    </row>
    <row r="17" spans="1:15" s="39" customFormat="1" ht="12">
      <c r="A17" s="99"/>
      <c r="C17" s="14" t="s">
        <v>9</v>
      </c>
      <c r="D17" s="93">
        <v>0.52881</v>
      </c>
      <c r="E17" s="94">
        <v>0.83557</v>
      </c>
      <c r="F17" s="94">
        <v>1.01348</v>
      </c>
      <c r="G17" s="94">
        <v>1.26296</v>
      </c>
      <c r="H17" s="93">
        <v>74.7494</v>
      </c>
      <c r="I17" s="94">
        <v>71.02575</v>
      </c>
      <c r="J17" s="94">
        <v>68.23916</v>
      </c>
      <c r="K17" s="94">
        <v>64.12561</v>
      </c>
      <c r="L17" s="61"/>
      <c r="M17" s="60"/>
      <c r="N17" s="60"/>
      <c r="O17" s="60"/>
    </row>
    <row r="18" spans="1:15" s="39" customFormat="1" ht="12">
      <c r="A18" s="99"/>
      <c r="C18" s="14" t="s">
        <v>18</v>
      </c>
      <c r="D18" s="93">
        <v>0.67792</v>
      </c>
      <c r="E18" s="94">
        <v>0.06979</v>
      </c>
      <c r="F18" s="94">
        <v>-0.29007</v>
      </c>
      <c r="G18" s="94">
        <v>-0.28736</v>
      </c>
      <c r="H18" s="93">
        <v>10.66664</v>
      </c>
      <c r="I18" s="94">
        <v>10.00113</v>
      </c>
      <c r="J18" s="94">
        <v>9.41687</v>
      </c>
      <c r="K18" s="94">
        <v>8.97954</v>
      </c>
      <c r="L18" s="61"/>
      <c r="M18" s="60"/>
      <c r="N18" s="60"/>
      <c r="O18" s="60"/>
    </row>
    <row r="19" spans="1:15" s="39" customFormat="1" ht="12">
      <c r="A19" s="99"/>
      <c r="C19" s="14" t="s">
        <v>25</v>
      </c>
      <c r="D19" s="93">
        <v>-3.62991</v>
      </c>
      <c r="E19" s="94">
        <v>-1.88966</v>
      </c>
      <c r="F19" s="94">
        <v>-0.5161</v>
      </c>
      <c r="G19" s="94">
        <v>-0.3425</v>
      </c>
      <c r="H19" s="93">
        <v>104.53304</v>
      </c>
      <c r="I19" s="94">
        <v>76.94748</v>
      </c>
      <c r="J19" s="94">
        <v>72.82894</v>
      </c>
      <c r="K19" s="94">
        <v>67.96971</v>
      </c>
      <c r="L19" s="61"/>
      <c r="M19" s="60"/>
      <c r="N19" s="60"/>
      <c r="O19" s="60"/>
    </row>
    <row r="20" spans="1:15" s="39" customFormat="1" ht="12">
      <c r="A20" s="99"/>
      <c r="C20" s="14" t="s">
        <v>13</v>
      </c>
      <c r="D20" s="93">
        <v>-3.61589</v>
      </c>
      <c r="E20" s="94">
        <v>-5.66609</v>
      </c>
      <c r="F20" s="94">
        <v>0.62802</v>
      </c>
      <c r="G20" s="94">
        <v>0.81807</v>
      </c>
      <c r="H20" s="93">
        <v>178.90751</v>
      </c>
      <c r="I20" s="94">
        <v>176.80249</v>
      </c>
      <c r="J20" s="94">
        <v>180.83284</v>
      </c>
      <c r="K20" s="94">
        <v>178.58441</v>
      </c>
      <c r="L20" s="61"/>
      <c r="M20" s="60"/>
      <c r="N20" s="60"/>
      <c r="O20" s="60"/>
    </row>
    <row r="21" spans="1:15" s="39" customFormat="1" ht="12">
      <c r="A21" s="99"/>
      <c r="C21" s="14" t="s">
        <v>11</v>
      </c>
      <c r="D21" s="93">
        <v>-5.96847</v>
      </c>
      <c r="E21" s="94">
        <v>-5.27816</v>
      </c>
      <c r="F21" s="94">
        <v>-4.50604</v>
      </c>
      <c r="G21" s="94">
        <v>-3.1137</v>
      </c>
      <c r="H21" s="93">
        <v>100.36654</v>
      </c>
      <c r="I21" s="94">
        <v>99.43852</v>
      </c>
      <c r="J21" s="94">
        <v>98.98956</v>
      </c>
      <c r="K21" s="94">
        <v>98.33594</v>
      </c>
      <c r="L21" s="61"/>
      <c r="M21" s="60"/>
      <c r="N21" s="60"/>
      <c r="O21" s="60"/>
    </row>
    <row r="22" spans="1:15" s="39" customFormat="1" ht="12">
      <c r="A22" s="99"/>
      <c r="C22" s="14" t="s">
        <v>10</v>
      </c>
      <c r="D22" s="93">
        <v>-3.90466</v>
      </c>
      <c r="E22" s="94">
        <v>-3.62517</v>
      </c>
      <c r="F22" s="94">
        <v>-3.40752</v>
      </c>
      <c r="G22" s="94">
        <v>-2.59425</v>
      </c>
      <c r="H22" s="93">
        <v>94.88721</v>
      </c>
      <c r="I22" s="94">
        <v>95.57952</v>
      </c>
      <c r="J22" s="94">
        <v>96.58773</v>
      </c>
      <c r="K22" s="94">
        <v>96.98494</v>
      </c>
      <c r="L22" s="61"/>
      <c r="M22" s="60"/>
      <c r="N22" s="60"/>
      <c r="O22" s="60"/>
    </row>
    <row r="23" spans="1:15" s="39" customFormat="1" ht="12">
      <c r="A23" s="99"/>
      <c r="C23" s="14" t="s">
        <v>23</v>
      </c>
      <c r="D23" s="93">
        <v>-5.14191</v>
      </c>
      <c r="E23" s="94">
        <v>-3.44769</v>
      </c>
      <c r="F23" s="94">
        <v>-0.93725</v>
      </c>
      <c r="G23" s="94">
        <v>0.75802</v>
      </c>
      <c r="H23" s="93">
        <v>84.03075</v>
      </c>
      <c r="I23" s="94">
        <v>83.84182</v>
      </c>
      <c r="J23" s="94">
        <v>80.63237</v>
      </c>
      <c r="K23" s="94">
        <v>77.98118</v>
      </c>
      <c r="L23" s="61"/>
      <c r="M23" s="60"/>
      <c r="N23" s="60"/>
      <c r="O23" s="60"/>
    </row>
    <row r="24" spans="1:15" s="39" customFormat="1" ht="12">
      <c r="A24" s="99"/>
      <c r="C24" s="14" t="s">
        <v>12</v>
      </c>
      <c r="D24" s="93">
        <v>-2.98589</v>
      </c>
      <c r="E24" s="94">
        <v>-2.57572</v>
      </c>
      <c r="F24" s="94">
        <v>-2.47705</v>
      </c>
      <c r="G24" s="94">
        <v>-2.31174</v>
      </c>
      <c r="H24" s="93">
        <v>131.78467</v>
      </c>
      <c r="I24" s="94">
        <v>131.51143</v>
      </c>
      <c r="J24" s="94">
        <v>132.0413</v>
      </c>
      <c r="K24" s="94">
        <v>131.80791</v>
      </c>
      <c r="L24" s="61"/>
      <c r="M24" s="60"/>
      <c r="N24" s="60"/>
      <c r="O24" s="60"/>
    </row>
    <row r="25" spans="1:15" s="39" customFormat="1" ht="12">
      <c r="A25" s="99"/>
      <c r="C25" s="14" t="s">
        <v>14</v>
      </c>
      <c r="D25" s="93">
        <v>-8.9595</v>
      </c>
      <c r="E25" s="94">
        <v>-1.33243</v>
      </c>
      <c r="F25" s="94">
        <v>0.32329</v>
      </c>
      <c r="G25" s="94">
        <v>1.7883</v>
      </c>
      <c r="H25" s="93">
        <v>107.4759</v>
      </c>
      <c r="I25" s="94">
        <v>107.49803</v>
      </c>
      <c r="J25" s="94">
        <v>106.57771</v>
      </c>
      <c r="K25" s="94">
        <v>97.45495</v>
      </c>
      <c r="L25" s="61"/>
      <c r="M25" s="60"/>
      <c r="N25" s="60"/>
      <c r="O25" s="60"/>
    </row>
    <row r="26" spans="1:15" s="39" customFormat="1" ht="12">
      <c r="A26" s="99"/>
      <c r="C26" s="14" t="s">
        <v>7</v>
      </c>
      <c r="D26" s="93">
        <v>-1.48886</v>
      </c>
      <c r="E26" s="94">
        <v>-1.36014</v>
      </c>
      <c r="F26" s="94">
        <v>0.06268</v>
      </c>
      <c r="G26" s="94">
        <v>-0.48817</v>
      </c>
      <c r="H26" s="93">
        <v>40.93691</v>
      </c>
      <c r="I26" s="94">
        <v>36.81425</v>
      </c>
      <c r="J26" s="94">
        <v>40.48695</v>
      </c>
      <c r="K26" s="94">
        <v>40.14754</v>
      </c>
      <c r="L26" s="61"/>
      <c r="M26" s="60"/>
      <c r="N26" s="60"/>
      <c r="O26" s="60"/>
    </row>
    <row r="27" spans="1:15" s="39" customFormat="1" ht="12">
      <c r="A27" s="99"/>
      <c r="C27" s="14" t="s">
        <v>6</v>
      </c>
      <c r="D27" s="93">
        <v>-0.61747</v>
      </c>
      <c r="E27" s="94">
        <v>-0.24475</v>
      </c>
      <c r="F27" s="94">
        <v>0.26637</v>
      </c>
      <c r="G27" s="94">
        <v>0.52847</v>
      </c>
      <c r="H27" s="93">
        <v>40.54058</v>
      </c>
      <c r="I27" s="94">
        <v>42.58869</v>
      </c>
      <c r="J27" s="94">
        <v>40.11994</v>
      </c>
      <c r="K27" s="94">
        <v>39.73457</v>
      </c>
      <c r="L27" s="61"/>
      <c r="M27" s="60"/>
      <c r="N27" s="60"/>
      <c r="O27" s="60"/>
    </row>
    <row r="28" spans="1:15" s="39" customFormat="1" ht="12">
      <c r="A28" s="99"/>
      <c r="C28" s="14" t="s">
        <v>0</v>
      </c>
      <c r="D28" s="93">
        <v>1.32608</v>
      </c>
      <c r="E28" s="94">
        <v>1.36263</v>
      </c>
      <c r="F28" s="94">
        <v>1.61441</v>
      </c>
      <c r="G28" s="94">
        <v>1.51544</v>
      </c>
      <c r="H28" s="93">
        <v>22.663</v>
      </c>
      <c r="I28" s="94">
        <v>21.96897</v>
      </c>
      <c r="J28" s="94">
        <v>20.79781</v>
      </c>
      <c r="K28" s="94">
        <v>22.95054</v>
      </c>
      <c r="L28" s="61"/>
      <c r="M28" s="60"/>
      <c r="N28" s="60"/>
      <c r="O28" s="60"/>
    </row>
    <row r="29" spans="1:15" s="39" customFormat="1" ht="12">
      <c r="A29" s="99"/>
      <c r="C29" s="14" t="s">
        <v>20</v>
      </c>
      <c r="D29" s="93">
        <v>-2.59873</v>
      </c>
      <c r="E29" s="94">
        <v>-1.90594</v>
      </c>
      <c r="F29" s="94">
        <v>-1.66413</v>
      </c>
      <c r="G29" s="94">
        <v>-1.95457</v>
      </c>
      <c r="H29" s="93">
        <v>76.62995</v>
      </c>
      <c r="I29" s="94">
        <v>76.72895</v>
      </c>
      <c r="J29" s="94">
        <v>75.97955</v>
      </c>
      <c r="K29" s="94">
        <v>73.58105</v>
      </c>
      <c r="L29" s="61"/>
      <c r="M29" s="60"/>
      <c r="N29" s="60"/>
      <c r="O29" s="60"/>
    </row>
    <row r="30" spans="1:15" s="39" customFormat="1" ht="12">
      <c r="A30" s="99"/>
      <c r="C30" s="14" t="s">
        <v>16</v>
      </c>
      <c r="D30" s="93">
        <v>-1.75757</v>
      </c>
      <c r="E30" s="94">
        <v>-1.09498</v>
      </c>
      <c r="F30" s="94">
        <v>0.99072</v>
      </c>
      <c r="G30" s="94">
        <v>3.93066</v>
      </c>
      <c r="H30" s="93">
        <v>63.7563</v>
      </c>
      <c r="I30" s="94">
        <v>58.68893</v>
      </c>
      <c r="J30" s="94">
        <v>56.20645</v>
      </c>
      <c r="K30" s="94">
        <v>50.79528</v>
      </c>
      <c r="L30" s="61"/>
      <c r="M30" s="60"/>
      <c r="N30" s="60"/>
      <c r="O30" s="60"/>
    </row>
    <row r="31" spans="1:15" s="39" customFormat="1" ht="12">
      <c r="A31" s="99"/>
      <c r="C31" s="14" t="s">
        <v>2</v>
      </c>
      <c r="D31" s="93">
        <v>-2.26664</v>
      </c>
      <c r="E31" s="94">
        <v>-2.05119</v>
      </c>
      <c r="F31" s="94">
        <v>0.36619</v>
      </c>
      <c r="G31" s="94">
        <v>1.09306</v>
      </c>
      <c r="H31" s="93">
        <v>67.96524</v>
      </c>
      <c r="I31" s="94">
        <v>64.58358</v>
      </c>
      <c r="J31" s="94">
        <v>61.79614</v>
      </c>
      <c r="K31" s="94">
        <v>56.7492</v>
      </c>
      <c r="L31" s="61"/>
      <c r="M31" s="60"/>
      <c r="N31" s="60"/>
      <c r="O31" s="60"/>
    </row>
    <row r="32" spans="1:15" s="39" customFormat="1" ht="12">
      <c r="A32" s="99"/>
      <c r="C32" s="14" t="s">
        <v>26</v>
      </c>
      <c r="D32" s="93">
        <v>-2.72983</v>
      </c>
      <c r="E32" s="94">
        <v>-1.04556</v>
      </c>
      <c r="F32" s="94">
        <v>-1.59143</v>
      </c>
      <c r="G32" s="94">
        <v>-0.70123</v>
      </c>
      <c r="H32" s="93">
        <v>84.02686</v>
      </c>
      <c r="I32" s="94">
        <v>84.58594</v>
      </c>
      <c r="J32" s="94">
        <v>83.55591</v>
      </c>
      <c r="K32" s="94">
        <v>78.40623</v>
      </c>
      <c r="L32" s="61"/>
      <c r="M32" s="60"/>
      <c r="N32" s="60"/>
      <c r="O32" s="60"/>
    </row>
    <row r="33" spans="1:15" s="39" customFormat="1" ht="12">
      <c r="A33" s="99"/>
      <c r="C33" s="14" t="s">
        <v>21</v>
      </c>
      <c r="D33" s="93">
        <v>-3.62479</v>
      </c>
      <c r="E33" s="94">
        <v>-2.64712</v>
      </c>
      <c r="F33" s="94">
        <v>-2.34828</v>
      </c>
      <c r="G33" s="94">
        <v>-1.66255</v>
      </c>
      <c r="H33" s="93">
        <v>50.25326</v>
      </c>
      <c r="I33" s="94">
        <v>51.12221</v>
      </c>
      <c r="J33" s="94">
        <v>54.16208</v>
      </c>
      <c r="K33" s="94">
        <v>50.62354</v>
      </c>
      <c r="L33" s="61"/>
      <c r="M33" s="60"/>
      <c r="N33" s="60"/>
      <c r="O33" s="60"/>
    </row>
    <row r="34" spans="1:15" s="39" customFormat="1" ht="12">
      <c r="A34" s="99"/>
      <c r="C34" s="14" t="s">
        <v>17</v>
      </c>
      <c r="D34" s="93">
        <v>-7.16566</v>
      </c>
      <c r="E34" s="94">
        <v>-4.40343</v>
      </c>
      <c r="F34" s="94">
        <v>-1.9759</v>
      </c>
      <c r="G34" s="94">
        <v>-2.9575</v>
      </c>
      <c r="H34" s="93">
        <v>130.59958</v>
      </c>
      <c r="I34" s="94">
        <v>128.75468</v>
      </c>
      <c r="J34" s="94">
        <v>129.86002</v>
      </c>
      <c r="K34" s="94">
        <v>125.67835</v>
      </c>
      <c r="L34" s="61"/>
      <c r="M34" s="60"/>
      <c r="N34" s="60"/>
      <c r="O34" s="60"/>
    </row>
    <row r="35" spans="1:15" s="39" customFormat="1" ht="12">
      <c r="A35" s="99"/>
      <c r="C35" s="14" t="s">
        <v>27</v>
      </c>
      <c r="D35" s="93">
        <v>-1.33835</v>
      </c>
      <c r="E35" s="94">
        <v>-0.79325</v>
      </c>
      <c r="F35" s="94">
        <v>-2.97482</v>
      </c>
      <c r="G35" s="94">
        <v>-2.91468</v>
      </c>
      <c r="H35" s="93">
        <v>39.12353</v>
      </c>
      <c r="I35" s="94">
        <v>37.68915</v>
      </c>
      <c r="J35" s="94">
        <v>37.3793</v>
      </c>
      <c r="K35" s="94">
        <v>35.04203</v>
      </c>
      <c r="L35" s="61"/>
      <c r="M35" s="60"/>
      <c r="N35" s="60"/>
      <c r="O35" s="60"/>
    </row>
    <row r="36" spans="1:15" s="39" customFormat="1" ht="12">
      <c r="A36" s="99"/>
      <c r="C36" s="14" t="s">
        <v>15</v>
      </c>
      <c r="D36" s="93">
        <v>-5.51519</v>
      </c>
      <c r="E36" s="94">
        <v>-2.85552</v>
      </c>
      <c r="F36" s="94">
        <v>-1.93177</v>
      </c>
      <c r="G36" s="94">
        <v>0.031</v>
      </c>
      <c r="H36" s="93">
        <v>80.3403</v>
      </c>
      <c r="I36" s="94">
        <v>82.62152</v>
      </c>
      <c r="J36" s="94">
        <v>78.56215</v>
      </c>
      <c r="K36" s="94">
        <v>73.61737</v>
      </c>
      <c r="L36" s="61"/>
      <c r="M36" s="60"/>
      <c r="N36" s="60"/>
      <c r="O36" s="60"/>
    </row>
    <row r="37" spans="1:15" s="39" customFormat="1" ht="12">
      <c r="A37" s="99"/>
      <c r="C37" s="14" t="s">
        <v>19</v>
      </c>
      <c r="D37" s="93">
        <v>-2.70229</v>
      </c>
      <c r="E37" s="94">
        <v>-2.72618</v>
      </c>
      <c r="F37" s="94">
        <v>-2.2065</v>
      </c>
      <c r="G37" s="94">
        <v>-1.04073</v>
      </c>
      <c r="H37" s="93">
        <v>53.52372</v>
      </c>
      <c r="I37" s="94">
        <v>52.34074</v>
      </c>
      <c r="J37" s="94">
        <v>51.81909</v>
      </c>
      <c r="K37" s="94">
        <v>50.86356</v>
      </c>
      <c r="L37" s="61"/>
      <c r="M37" s="60"/>
      <c r="N37" s="60"/>
      <c r="O37" s="60"/>
    </row>
    <row r="38" spans="1:15" s="39" customFormat="1" ht="12">
      <c r="A38" s="99"/>
      <c r="C38" s="14" t="s">
        <v>5</v>
      </c>
      <c r="D38" s="93">
        <v>-3.21063</v>
      </c>
      <c r="E38" s="94">
        <v>-2.75854</v>
      </c>
      <c r="F38" s="94">
        <v>-1.79216</v>
      </c>
      <c r="G38" s="94">
        <v>-0.5722</v>
      </c>
      <c r="H38" s="93">
        <v>60.20032</v>
      </c>
      <c r="I38" s="94">
        <v>63.53648</v>
      </c>
      <c r="J38" s="94">
        <v>63.04774</v>
      </c>
      <c r="K38" s="94">
        <v>61.41946</v>
      </c>
      <c r="L38" s="61"/>
      <c r="M38" s="60"/>
      <c r="N38" s="60"/>
      <c r="O38" s="60"/>
    </row>
    <row r="39" spans="1:15" s="39" customFormat="1" ht="12">
      <c r="A39" s="99"/>
      <c r="C39" s="14" t="s">
        <v>3</v>
      </c>
      <c r="D39" s="93">
        <v>-1.56057</v>
      </c>
      <c r="E39" s="94">
        <v>0.18317</v>
      </c>
      <c r="F39" s="94">
        <v>1.18582</v>
      </c>
      <c r="G39" s="94">
        <v>1.27032</v>
      </c>
      <c r="H39" s="93">
        <v>45.5243</v>
      </c>
      <c r="I39" s="94">
        <v>44.20747</v>
      </c>
      <c r="J39" s="94">
        <v>42.13427</v>
      </c>
      <c r="K39" s="94">
        <v>40.61366</v>
      </c>
      <c r="L39" s="61"/>
      <c r="M39" s="60"/>
      <c r="N39" s="60"/>
      <c r="O39" s="60"/>
    </row>
    <row r="40" spans="1:15" s="39" customFormat="1" ht="12">
      <c r="A40" s="99"/>
      <c r="C40" s="15" t="s">
        <v>8</v>
      </c>
      <c r="D40" s="95">
        <v>-5.44826</v>
      </c>
      <c r="E40" s="96">
        <v>-4.26184</v>
      </c>
      <c r="F40" s="96">
        <v>-2.9707</v>
      </c>
      <c r="G40" s="96">
        <v>-1.9314</v>
      </c>
      <c r="H40" s="95">
        <v>87.35601</v>
      </c>
      <c r="I40" s="96">
        <v>88.20593</v>
      </c>
      <c r="J40" s="96">
        <v>88.18735</v>
      </c>
      <c r="K40" s="96">
        <v>87.66395</v>
      </c>
      <c r="L40" s="61"/>
      <c r="M40" s="60"/>
      <c r="N40" s="60"/>
      <c r="O40" s="60"/>
    </row>
    <row r="41" spans="1:12" s="39" customFormat="1" ht="12">
      <c r="A41" s="99"/>
      <c r="C41" s="17" t="s">
        <v>158</v>
      </c>
      <c r="D41" s="55"/>
      <c r="E41" s="55"/>
      <c r="F41" s="17"/>
      <c r="G41" s="17"/>
      <c r="H41" s="17"/>
      <c r="I41" s="17"/>
      <c r="J41" s="17"/>
      <c r="K41" s="17"/>
      <c r="L41" s="17"/>
    </row>
    <row r="42" spans="3:11" ht="12">
      <c r="C42" s="28" t="s">
        <v>150</v>
      </c>
      <c r="D42" s="58"/>
      <c r="E42" s="58"/>
      <c r="F42" s="58"/>
      <c r="G42" s="58"/>
      <c r="H42" s="58"/>
      <c r="I42" s="58"/>
      <c r="J42" s="58"/>
      <c r="K42" s="58"/>
    </row>
    <row r="43" ht="12">
      <c r="L43" s="6" t="s">
        <v>51</v>
      </c>
    </row>
    <row r="44" ht="12">
      <c r="L44" s="59"/>
    </row>
    <row r="45" spans="3:12" ht="12">
      <c r="C45" s="7"/>
      <c r="D45" s="62"/>
      <c r="E45" s="62"/>
      <c r="F45" s="62"/>
      <c r="G45" s="62"/>
      <c r="H45" s="62"/>
      <c r="I45" s="62"/>
      <c r="J45" s="62"/>
      <c r="K45" s="62"/>
      <c r="L45" s="61"/>
    </row>
    <row r="46" spans="3:12" ht="12">
      <c r="C46" s="7"/>
      <c r="D46" s="62"/>
      <c r="E46" s="62"/>
      <c r="F46" s="62"/>
      <c r="G46" s="62"/>
      <c r="H46" s="62"/>
      <c r="I46" s="62"/>
      <c r="J46" s="62"/>
      <c r="K46" s="62"/>
      <c r="L46" s="61"/>
    </row>
    <row r="47" spans="3:12" ht="12">
      <c r="C47" s="7"/>
      <c r="D47" s="62"/>
      <c r="E47" s="62"/>
      <c r="F47" s="62"/>
      <c r="G47" s="62"/>
      <c r="H47" s="62"/>
      <c r="I47" s="62"/>
      <c r="J47" s="62"/>
      <c r="K47" s="62"/>
      <c r="L47" s="61"/>
    </row>
    <row r="48" spans="1:12" ht="12">
      <c r="A48" s="1"/>
      <c r="C48" s="7"/>
      <c r="D48" s="62"/>
      <c r="E48" s="62"/>
      <c r="F48" s="62"/>
      <c r="G48" s="62"/>
      <c r="H48" s="62"/>
      <c r="I48" s="62"/>
      <c r="J48" s="62"/>
      <c r="K48" s="62"/>
      <c r="L48" s="61"/>
    </row>
    <row r="49" spans="1:12" ht="12">
      <c r="A49" s="25"/>
      <c r="C49" s="7"/>
      <c r="D49" s="62"/>
      <c r="E49" s="62"/>
      <c r="F49" s="62"/>
      <c r="G49" s="62"/>
      <c r="H49" s="62"/>
      <c r="I49" s="62"/>
      <c r="J49" s="62"/>
      <c r="K49" s="62"/>
      <c r="L49" s="61"/>
    </row>
    <row r="50" spans="1:12" ht="12">
      <c r="A50" s="25"/>
      <c r="C50" s="7"/>
      <c r="D50" s="62"/>
      <c r="E50" s="62"/>
      <c r="F50" s="62"/>
      <c r="G50" s="62"/>
      <c r="H50" s="62"/>
      <c r="I50" s="62"/>
      <c r="J50" s="62"/>
      <c r="K50" s="62"/>
      <c r="L50" s="61"/>
    </row>
    <row r="51" spans="3:12" ht="12">
      <c r="C51" s="7"/>
      <c r="D51" s="62"/>
      <c r="E51" s="62"/>
      <c r="F51" s="62"/>
      <c r="G51" s="62"/>
      <c r="H51" s="62"/>
      <c r="I51" s="62"/>
      <c r="J51" s="62"/>
      <c r="K51" s="62"/>
      <c r="L51" s="61"/>
    </row>
    <row r="52" spans="3:12" ht="12">
      <c r="C52" s="7"/>
      <c r="D52" s="62"/>
      <c r="E52" s="62"/>
      <c r="F52" s="62"/>
      <c r="G52" s="62"/>
      <c r="H52" s="62"/>
      <c r="I52" s="62"/>
      <c r="J52" s="62"/>
      <c r="K52" s="62"/>
      <c r="L52" s="61"/>
    </row>
    <row r="53" spans="3:12" ht="12">
      <c r="C53" s="7"/>
      <c r="D53" s="62"/>
      <c r="E53" s="62"/>
      <c r="F53" s="62"/>
      <c r="G53" s="62"/>
      <c r="H53" s="62"/>
      <c r="I53" s="62"/>
      <c r="J53" s="62"/>
      <c r="K53" s="62"/>
      <c r="L53" s="61"/>
    </row>
    <row r="54" spans="4:6" ht="12">
      <c r="D54" s="8"/>
      <c r="E54" s="22"/>
      <c r="F54" s="22"/>
    </row>
    <row r="55" spans="4:6" ht="12">
      <c r="D55" s="8"/>
      <c r="E55" s="22"/>
      <c r="F55" s="22"/>
    </row>
    <row r="56" spans="4:6" ht="12">
      <c r="D56" s="8"/>
      <c r="E56" s="22"/>
      <c r="F56" s="22"/>
    </row>
    <row r="57" spans="4:6" ht="12">
      <c r="D57" s="8"/>
      <c r="E57" s="22"/>
      <c r="F57" s="22"/>
    </row>
    <row r="58" spans="4:6" ht="12">
      <c r="D58" s="8"/>
      <c r="E58" s="22"/>
      <c r="F58" s="22"/>
    </row>
    <row r="59" spans="4:6" ht="12">
      <c r="D59" s="8"/>
      <c r="E59" s="22"/>
      <c r="F59" s="22"/>
    </row>
    <row r="60" spans="4:6" ht="12">
      <c r="D60" s="8"/>
      <c r="E60" s="22"/>
      <c r="F60" s="22"/>
    </row>
    <row r="61" spans="4:6" ht="12">
      <c r="D61" s="8"/>
      <c r="E61" s="22"/>
      <c r="F61" s="22"/>
    </row>
    <row r="62" spans="4:6" ht="12">
      <c r="D62" s="8"/>
      <c r="E62" s="22"/>
      <c r="F62" s="22"/>
    </row>
    <row r="63" spans="4:6" ht="12">
      <c r="D63" s="8"/>
      <c r="E63" s="22"/>
      <c r="F63" s="22"/>
    </row>
    <row r="64" spans="4:6" ht="12">
      <c r="D64" s="8"/>
      <c r="E64" s="22"/>
      <c r="F64" s="22"/>
    </row>
    <row r="65" spans="4:6" ht="12">
      <c r="D65" s="8"/>
      <c r="E65" s="22"/>
      <c r="F65" s="22"/>
    </row>
    <row r="66" spans="4:6" ht="12">
      <c r="D66" s="8"/>
      <c r="E66" s="22"/>
      <c r="F66" s="22"/>
    </row>
    <row r="67" spans="4:6" ht="12">
      <c r="D67" s="8"/>
      <c r="E67" s="22"/>
      <c r="F67" s="22"/>
    </row>
    <row r="68" spans="4:6" ht="12">
      <c r="D68" s="8"/>
      <c r="E68" s="22"/>
      <c r="F68" s="22"/>
    </row>
    <row r="69" spans="4:6" ht="12">
      <c r="D69" s="8"/>
      <c r="E69" s="22"/>
      <c r="F69" s="22"/>
    </row>
    <row r="70" spans="4:6" ht="12">
      <c r="D70" s="8"/>
      <c r="E70" s="22"/>
      <c r="F70" s="22"/>
    </row>
    <row r="71" spans="4:6" ht="12">
      <c r="D71" s="8"/>
      <c r="E71" s="22"/>
      <c r="F71" s="22"/>
    </row>
    <row r="72" spans="4:6" ht="12">
      <c r="D72" s="8"/>
      <c r="E72" s="22"/>
      <c r="F72" s="22"/>
    </row>
    <row r="73" spans="4:6" ht="12">
      <c r="D73" s="8"/>
      <c r="E73" s="22"/>
      <c r="F73" s="22"/>
    </row>
    <row r="74" spans="4:6" ht="12">
      <c r="D74" s="8"/>
      <c r="E74" s="22"/>
      <c r="F74" s="22"/>
    </row>
    <row r="75" spans="4:6" ht="12">
      <c r="D75" s="8"/>
      <c r="E75" s="22"/>
      <c r="F75" s="22"/>
    </row>
    <row r="76" spans="4:6" ht="12">
      <c r="D76" s="8"/>
      <c r="E76" s="22"/>
      <c r="F76" s="22"/>
    </row>
    <row r="77" spans="4:6" ht="12">
      <c r="D77" s="8"/>
      <c r="E77" s="22"/>
      <c r="F77" s="22"/>
    </row>
  </sheetData>
  <mergeCells count="2">
    <mergeCell ref="D9:G9"/>
    <mergeCell ref="H9:K9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B52"/>
  <sheetViews>
    <sheetView showGridLines="0" tabSelected="1" workbookViewId="0" topLeftCell="A1">
      <selection activeCell="G31" sqref="G31"/>
    </sheetView>
  </sheetViews>
  <sheetFormatPr defaultColWidth="9.140625" defaultRowHeight="12"/>
  <cols>
    <col min="1" max="2" width="9.28125" style="17" customWidth="1"/>
    <col min="3" max="3" width="36.421875" style="17" customWidth="1"/>
    <col min="4" max="4" width="9.140625" style="59" customWidth="1"/>
    <col min="5" max="5" width="7.7109375" style="17" customWidth="1"/>
    <col min="6" max="6" width="9.140625" style="3" customWidth="1"/>
    <col min="7" max="7" width="9.140625" style="17" customWidth="1"/>
    <col min="8" max="8" width="15.7109375" style="17" customWidth="1"/>
    <col min="9" max="19" width="9.140625" style="17" customWidth="1"/>
    <col min="20" max="20" width="11.57421875" style="17" customWidth="1"/>
    <col min="21" max="16384" width="9.140625" style="17" customWidth="1"/>
  </cols>
  <sheetData>
    <row r="1" spans="1:6" s="1" customFormat="1" ht="11.25" customHeight="1">
      <c r="A1" s="38"/>
      <c r="D1" s="2"/>
      <c r="F1" s="9"/>
    </row>
    <row r="2" spans="1:6" s="1" customFormat="1" ht="11.25" customHeight="1">
      <c r="A2" s="17"/>
      <c r="D2" s="2"/>
      <c r="F2" s="9"/>
    </row>
    <row r="3" spans="3:6" s="1" customFormat="1" ht="11.25" customHeight="1">
      <c r="C3" s="1" t="s">
        <v>36</v>
      </c>
      <c r="D3" s="2"/>
      <c r="F3" s="9"/>
    </row>
    <row r="4" spans="3:6" s="1" customFormat="1" ht="11.25" customHeight="1">
      <c r="C4" s="1" t="s">
        <v>37</v>
      </c>
      <c r="D4" s="2"/>
      <c r="F4" s="9"/>
    </row>
    <row r="5" spans="4:6" s="1" customFormat="1" ht="11.25" customHeight="1">
      <c r="D5" s="2"/>
      <c r="F5" s="9"/>
    </row>
    <row r="6" spans="1:28" s="1" customFormat="1" ht="12">
      <c r="A6" s="17"/>
      <c r="C6" s="57" t="s">
        <v>852</v>
      </c>
      <c r="D6" s="57"/>
      <c r="E6" s="57"/>
      <c r="F6" s="63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3:24" s="1" customFormat="1" ht="11.25" customHeight="1">
      <c r="C7" s="31" t="s">
        <v>65</v>
      </c>
      <c r="D7" s="31"/>
      <c r="E7" s="31"/>
      <c r="F7" s="1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4:6" s="1" customFormat="1" ht="12">
      <c r="D8" s="2"/>
      <c r="F8" s="9"/>
    </row>
    <row r="10" spans="4:6" ht="12">
      <c r="D10" s="59">
        <v>2016</v>
      </c>
      <c r="E10" s="17">
        <v>2017</v>
      </c>
      <c r="F10" s="34"/>
    </row>
    <row r="11" spans="3:7" ht="12">
      <c r="C11" s="17" t="s">
        <v>54</v>
      </c>
      <c r="D11" s="55">
        <v>83.25698</v>
      </c>
      <c r="E11" s="55">
        <v>81.58634</v>
      </c>
      <c r="F11" s="35">
        <v>60</v>
      </c>
      <c r="G11" s="35">
        <v>60</v>
      </c>
    </row>
    <row r="12" spans="3:7" ht="12">
      <c r="C12" s="17" t="s">
        <v>73</v>
      </c>
      <c r="D12" s="55">
        <v>88.98751</v>
      </c>
      <c r="E12" s="55">
        <v>86.72239</v>
      </c>
      <c r="F12" s="35">
        <v>60</v>
      </c>
      <c r="G12" s="35">
        <v>60</v>
      </c>
    </row>
    <row r="13" spans="2:6" ht="12">
      <c r="B13" s="33"/>
      <c r="C13" s="17" t="s">
        <v>13</v>
      </c>
      <c r="D13" s="55">
        <v>180.83284</v>
      </c>
      <c r="E13" s="55">
        <v>178.58441</v>
      </c>
      <c r="F13" s="35">
        <v>60</v>
      </c>
    </row>
    <row r="14" spans="2:6" ht="12">
      <c r="B14" s="33"/>
      <c r="C14" s="17" t="s">
        <v>12</v>
      </c>
      <c r="D14" s="55">
        <v>132.0413</v>
      </c>
      <c r="E14" s="55">
        <v>131.80791</v>
      </c>
      <c r="F14" s="35">
        <v>60</v>
      </c>
    </row>
    <row r="15" spans="2:6" ht="12">
      <c r="B15" s="33"/>
      <c r="C15" s="17" t="s">
        <v>17</v>
      </c>
      <c r="D15" s="55">
        <v>129.86002</v>
      </c>
      <c r="E15" s="55">
        <v>125.67835</v>
      </c>
      <c r="F15" s="35">
        <v>60</v>
      </c>
    </row>
    <row r="16" spans="2:6" ht="12">
      <c r="B16" s="33"/>
      <c r="C16" s="17" t="s">
        <v>1</v>
      </c>
      <c r="D16" s="55">
        <v>105.93609</v>
      </c>
      <c r="E16" s="55">
        <v>103.12115</v>
      </c>
      <c r="F16" s="35">
        <v>60</v>
      </c>
    </row>
    <row r="17" spans="2:6" ht="12">
      <c r="B17" s="33"/>
      <c r="C17" s="17" t="s">
        <v>11</v>
      </c>
      <c r="D17" s="55">
        <v>98.98956</v>
      </c>
      <c r="E17" s="55">
        <v>98.33594</v>
      </c>
      <c r="F17" s="35">
        <v>60</v>
      </c>
    </row>
    <row r="18" spans="2:6" ht="12">
      <c r="B18" s="33"/>
      <c r="C18" s="17" t="s">
        <v>14</v>
      </c>
      <c r="D18" s="55">
        <v>106.57771</v>
      </c>
      <c r="E18" s="55">
        <v>97.45495</v>
      </c>
      <c r="F18" s="35">
        <v>60</v>
      </c>
    </row>
    <row r="19" spans="2:6" ht="12">
      <c r="B19" s="33"/>
      <c r="C19" s="17" t="s">
        <v>10</v>
      </c>
      <c r="D19" s="55">
        <v>96.58773</v>
      </c>
      <c r="E19" s="55">
        <v>96.98494</v>
      </c>
      <c r="F19" s="35">
        <v>60</v>
      </c>
    </row>
    <row r="20" spans="2:6" ht="12">
      <c r="B20" s="33"/>
      <c r="C20" s="17" t="s">
        <v>8</v>
      </c>
      <c r="D20" s="55">
        <v>88.18735</v>
      </c>
      <c r="E20" s="55">
        <v>87.66395</v>
      </c>
      <c r="F20" s="35">
        <v>60</v>
      </c>
    </row>
    <row r="21" spans="2:6" ht="12">
      <c r="B21" s="33"/>
      <c r="C21" s="17" t="s">
        <v>26</v>
      </c>
      <c r="D21" s="55">
        <v>83.55591</v>
      </c>
      <c r="E21" s="55">
        <v>78.40623</v>
      </c>
      <c r="F21" s="35">
        <v>60</v>
      </c>
    </row>
    <row r="22" spans="2:6" ht="12">
      <c r="B22" s="33"/>
      <c r="C22" s="17" t="s">
        <v>23</v>
      </c>
      <c r="D22" s="55">
        <v>80.63237</v>
      </c>
      <c r="E22" s="55">
        <v>77.98118</v>
      </c>
      <c r="F22" s="35">
        <v>60</v>
      </c>
    </row>
    <row r="23" spans="2:6" ht="12">
      <c r="B23" s="33"/>
      <c r="C23" s="17" t="s">
        <v>15</v>
      </c>
      <c r="D23" s="55">
        <v>78.56215</v>
      </c>
      <c r="E23" s="55">
        <v>73.61737</v>
      </c>
      <c r="F23" s="35">
        <v>60</v>
      </c>
    </row>
    <row r="24" spans="2:6" ht="12">
      <c r="B24" s="33"/>
      <c r="C24" s="17" t="s">
        <v>20</v>
      </c>
      <c r="D24" s="55">
        <v>75.97955</v>
      </c>
      <c r="E24" s="55">
        <v>73.58105</v>
      </c>
      <c r="F24" s="35">
        <v>60</v>
      </c>
    </row>
    <row r="25" spans="2:6" ht="12">
      <c r="B25" s="33"/>
      <c r="C25" s="17" t="s">
        <v>25</v>
      </c>
      <c r="D25" s="55">
        <v>72.82894</v>
      </c>
      <c r="E25" s="55">
        <v>67.96971</v>
      </c>
      <c r="F25" s="35">
        <v>60</v>
      </c>
    </row>
    <row r="26" spans="2:6" ht="12">
      <c r="B26" s="33"/>
      <c r="C26" s="17" t="s">
        <v>9</v>
      </c>
      <c r="D26" s="55">
        <v>68.23916</v>
      </c>
      <c r="E26" s="55">
        <v>64.12561</v>
      </c>
      <c r="F26" s="35">
        <v>60</v>
      </c>
    </row>
    <row r="27" spans="2:6" ht="12">
      <c r="B27" s="33"/>
      <c r="C27" s="17" t="s">
        <v>5</v>
      </c>
      <c r="D27" s="55">
        <v>63.04774</v>
      </c>
      <c r="E27" s="55">
        <v>61.41946</v>
      </c>
      <c r="F27" s="35">
        <v>60</v>
      </c>
    </row>
    <row r="28" spans="2:6" ht="12">
      <c r="B28" s="33"/>
      <c r="C28" s="17" t="s">
        <v>2</v>
      </c>
      <c r="D28" s="55">
        <v>61.79614</v>
      </c>
      <c r="E28" s="55">
        <v>56.7492</v>
      </c>
      <c r="F28" s="35">
        <v>60</v>
      </c>
    </row>
    <row r="29" spans="2:6" ht="12">
      <c r="B29" s="33"/>
      <c r="C29" s="17" t="s">
        <v>19</v>
      </c>
      <c r="D29" s="55">
        <v>51.81909</v>
      </c>
      <c r="E29" s="55">
        <v>50.86356</v>
      </c>
      <c r="F29" s="35">
        <v>60</v>
      </c>
    </row>
    <row r="30" spans="2:6" ht="12">
      <c r="B30" s="33"/>
      <c r="C30" s="17" t="s">
        <v>16</v>
      </c>
      <c r="D30" s="55">
        <v>56.20645</v>
      </c>
      <c r="E30" s="55">
        <v>50.79528</v>
      </c>
      <c r="F30" s="35">
        <v>60</v>
      </c>
    </row>
    <row r="31" spans="2:6" ht="12">
      <c r="B31" s="33"/>
      <c r="C31" s="17" t="s">
        <v>21</v>
      </c>
      <c r="D31" s="55">
        <v>54.16208</v>
      </c>
      <c r="E31" s="55">
        <v>50.62354</v>
      </c>
      <c r="F31" s="35">
        <v>60</v>
      </c>
    </row>
    <row r="32" spans="2:6" ht="12">
      <c r="B32" s="33"/>
      <c r="C32" s="17" t="s">
        <v>3</v>
      </c>
      <c r="D32" s="55">
        <v>42.13427</v>
      </c>
      <c r="E32" s="55">
        <v>40.61366</v>
      </c>
      <c r="F32" s="35">
        <v>60</v>
      </c>
    </row>
    <row r="33" spans="2:6" ht="12">
      <c r="B33" s="33"/>
      <c r="C33" s="17" t="s">
        <v>7</v>
      </c>
      <c r="D33" s="55">
        <v>40.48695</v>
      </c>
      <c r="E33" s="55">
        <v>40.14754</v>
      </c>
      <c r="F33" s="35">
        <v>60</v>
      </c>
    </row>
    <row r="34" spans="2:6" ht="12">
      <c r="B34" s="33"/>
      <c r="C34" s="17" t="s">
        <v>6</v>
      </c>
      <c r="D34" s="55">
        <v>40.11994</v>
      </c>
      <c r="E34" s="55">
        <v>39.73457</v>
      </c>
      <c r="F34" s="35">
        <v>60</v>
      </c>
    </row>
    <row r="35" spans="2:6" ht="12">
      <c r="B35" s="33"/>
      <c r="C35" s="17" t="s">
        <v>4</v>
      </c>
      <c r="D35" s="55">
        <v>37.86838</v>
      </c>
      <c r="E35" s="55">
        <v>36.40557</v>
      </c>
      <c r="F35" s="35">
        <v>60</v>
      </c>
    </row>
    <row r="36" spans="2:6" ht="12">
      <c r="B36" s="33"/>
      <c r="C36" s="17" t="s">
        <v>27</v>
      </c>
      <c r="D36" s="55">
        <v>37.3793</v>
      </c>
      <c r="E36" s="55">
        <v>35.04203</v>
      </c>
      <c r="F36" s="35">
        <v>60</v>
      </c>
    </row>
    <row r="37" spans="2:6" ht="12">
      <c r="B37" s="33"/>
      <c r="C37" s="17" t="s">
        <v>24</v>
      </c>
      <c r="D37" s="55">
        <v>36.76503</v>
      </c>
      <c r="E37" s="55">
        <v>34.602</v>
      </c>
      <c r="F37" s="35">
        <v>60</v>
      </c>
    </row>
    <row r="38" spans="2:6" ht="12">
      <c r="B38" s="33"/>
      <c r="C38" s="17" t="s">
        <v>22</v>
      </c>
      <c r="D38" s="55">
        <v>29.02487</v>
      </c>
      <c r="E38" s="55">
        <v>25.41154</v>
      </c>
      <c r="F38" s="35">
        <v>60</v>
      </c>
    </row>
    <row r="39" spans="2:6" ht="12">
      <c r="B39" s="33"/>
      <c r="C39" s="17" t="s">
        <v>0</v>
      </c>
      <c r="D39" s="55">
        <v>20.79781</v>
      </c>
      <c r="E39" s="55">
        <v>22.95054</v>
      </c>
      <c r="F39" s="35">
        <v>60</v>
      </c>
    </row>
    <row r="40" spans="2:6" ht="12">
      <c r="B40" s="33"/>
      <c r="C40" s="17" t="s">
        <v>18</v>
      </c>
      <c r="D40" s="55">
        <v>9.41687</v>
      </c>
      <c r="E40" s="55">
        <v>8.97954</v>
      </c>
      <c r="F40" s="35">
        <v>60</v>
      </c>
    </row>
    <row r="41" spans="2:6" ht="12">
      <c r="B41" s="33"/>
      <c r="D41" s="50"/>
      <c r="E41" s="51"/>
      <c r="F41" s="35"/>
    </row>
    <row r="42" spans="4:8" ht="12">
      <c r="D42" s="55"/>
      <c r="E42" s="55"/>
      <c r="F42" s="34"/>
      <c r="H42" s="17" t="s">
        <v>158</v>
      </c>
    </row>
    <row r="43" spans="1:8" ht="12" customHeight="1">
      <c r="A43" s="6" t="s">
        <v>50</v>
      </c>
      <c r="C43" s="17" t="s">
        <v>158</v>
      </c>
      <c r="D43" s="55"/>
      <c r="E43" s="55"/>
      <c r="F43" s="17"/>
      <c r="H43" s="28" t="s">
        <v>151</v>
      </c>
    </row>
    <row r="44" spans="3:19" ht="12" customHeight="1">
      <c r="C44" s="28" t="s">
        <v>151</v>
      </c>
      <c r="D44" s="55"/>
      <c r="E44" s="55"/>
      <c r="G44" s="10"/>
      <c r="H44" s="58"/>
      <c r="I44" s="58"/>
      <c r="Q44" s="28"/>
      <c r="S44" s="28"/>
    </row>
    <row r="45" ht="12" customHeight="1">
      <c r="E45" s="6"/>
    </row>
    <row r="46" spans="4:6" ht="12" customHeight="1">
      <c r="D46" s="17"/>
      <c r="F46" s="17"/>
    </row>
    <row r="47" spans="3:6" ht="12" customHeight="1">
      <c r="C47" s="32"/>
      <c r="D47" s="17"/>
      <c r="F47" s="17"/>
    </row>
    <row r="51" ht="12">
      <c r="A51" s="1" t="s">
        <v>47</v>
      </c>
    </row>
    <row r="52" ht="12">
      <c r="A52" s="25" t="s">
        <v>52</v>
      </c>
    </row>
  </sheetData>
  <hyperlinks>
    <hyperlink ref="A52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scale="6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C51"/>
  <sheetViews>
    <sheetView showGridLines="0" zoomScaleSheetLayoutView="100" workbookViewId="0" topLeftCell="A1">
      <selection activeCell="S45" sqref="S45"/>
    </sheetView>
  </sheetViews>
  <sheetFormatPr defaultColWidth="9.140625" defaultRowHeight="12"/>
  <cols>
    <col min="1" max="1" width="9.28125" style="23" customWidth="1"/>
    <col min="2" max="2" width="7.57421875" style="23" customWidth="1"/>
    <col min="3" max="3" width="21.57421875" style="23" customWidth="1"/>
    <col min="4" max="12" width="8.421875" style="23" customWidth="1"/>
    <col min="13" max="13" width="9.140625" style="23" customWidth="1"/>
    <col min="14" max="14" width="11.57421875" style="23" customWidth="1"/>
    <col min="15" max="18" width="9.140625" style="23" customWidth="1"/>
    <col min="19" max="19" width="24.8515625" style="23" customWidth="1"/>
    <col min="20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2" ht="11.25" customHeight="1">
      <c r="C3" s="1" t="s">
        <v>36</v>
      </c>
      <c r="J3" s="1"/>
      <c r="K3" s="1"/>
      <c r="L3" s="1"/>
    </row>
    <row r="4" spans="3:12" ht="11.25" customHeight="1">
      <c r="C4" s="1" t="s">
        <v>37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1:21" ht="12">
      <c r="A6" s="17"/>
      <c r="C6" s="57" t="s">
        <v>862</v>
      </c>
      <c r="D6" s="64"/>
      <c r="E6" s="64"/>
      <c r="F6" s="64"/>
      <c r="G6" s="64"/>
      <c r="H6" s="64"/>
      <c r="I6" s="64"/>
      <c r="J6" s="57"/>
      <c r="K6" s="57"/>
      <c r="L6" s="57"/>
      <c r="M6" s="64"/>
      <c r="N6" s="64"/>
      <c r="O6" s="64"/>
      <c r="P6" s="64"/>
      <c r="Q6" s="64"/>
      <c r="R6" s="64"/>
      <c r="S6" s="64"/>
      <c r="T6" s="64"/>
      <c r="U6" s="64"/>
    </row>
    <row r="7" spans="3:17" ht="11.25" customHeight="1">
      <c r="C7" s="31" t="s">
        <v>30</v>
      </c>
      <c r="D7" s="44"/>
      <c r="E7" s="44"/>
      <c r="F7" s="44"/>
      <c r="G7" s="44"/>
      <c r="H7" s="44"/>
      <c r="I7" s="44"/>
      <c r="J7" s="31"/>
      <c r="K7" s="31"/>
      <c r="L7" s="31"/>
      <c r="M7" s="44"/>
      <c r="N7" s="44"/>
      <c r="O7" s="44"/>
      <c r="P7" s="44"/>
      <c r="Q7" s="44"/>
    </row>
    <row r="8" spans="3:12" ht="11.25" customHeight="1">
      <c r="C8" s="1"/>
      <c r="J8" s="1"/>
      <c r="K8" s="1"/>
      <c r="L8" s="1"/>
    </row>
    <row r="9" spans="3:12" ht="11.25" customHeight="1">
      <c r="C9" s="17"/>
      <c r="J9" s="17"/>
      <c r="K9" s="17"/>
      <c r="L9" s="17"/>
    </row>
    <row r="10" spans="4:29" ht="12" customHeight="1">
      <c r="D10" s="65">
        <v>2007</v>
      </c>
      <c r="E10" s="65">
        <v>2008</v>
      </c>
      <c r="F10" s="65">
        <v>2009</v>
      </c>
      <c r="G10" s="65">
        <v>2010</v>
      </c>
      <c r="H10" s="65">
        <v>2011</v>
      </c>
      <c r="I10" s="65">
        <v>2012</v>
      </c>
      <c r="J10" s="65">
        <v>2013</v>
      </c>
      <c r="K10" s="65">
        <v>2014</v>
      </c>
      <c r="L10" s="65">
        <v>2015</v>
      </c>
      <c r="M10" s="65">
        <v>2016</v>
      </c>
      <c r="N10" s="65">
        <v>2017</v>
      </c>
      <c r="O10" s="68"/>
      <c r="P10" s="68"/>
      <c r="Q10" s="68"/>
      <c r="R10" s="69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3:17" ht="12" customHeight="1">
      <c r="C11" s="23" t="s">
        <v>55</v>
      </c>
      <c r="D11" s="105">
        <v>44.64408</v>
      </c>
      <c r="E11" s="105">
        <v>46.23168</v>
      </c>
      <c r="F11" s="105">
        <v>50.07067</v>
      </c>
      <c r="G11" s="105">
        <v>49.90887</v>
      </c>
      <c r="H11" s="105">
        <v>48.58301</v>
      </c>
      <c r="I11" s="105">
        <v>48.9369</v>
      </c>
      <c r="J11" s="105">
        <v>48.63574</v>
      </c>
      <c r="K11" s="105">
        <v>47.95459</v>
      </c>
      <c r="L11" s="105">
        <v>46.99196</v>
      </c>
      <c r="M11" s="105">
        <v>46.31033</v>
      </c>
      <c r="N11" s="105">
        <v>45.81438</v>
      </c>
      <c r="O11" s="68"/>
      <c r="P11" s="68"/>
      <c r="Q11" s="68"/>
    </row>
    <row r="12" spans="3:14" ht="12" customHeight="1">
      <c r="C12" s="23" t="s">
        <v>74</v>
      </c>
      <c r="D12" s="105">
        <v>45.38417</v>
      </c>
      <c r="E12" s="105">
        <v>46.62795</v>
      </c>
      <c r="F12" s="105">
        <v>50.74338</v>
      </c>
      <c r="G12" s="105">
        <v>50.57703</v>
      </c>
      <c r="H12" s="105">
        <v>49.22851</v>
      </c>
      <c r="I12" s="105">
        <v>49.77015</v>
      </c>
      <c r="J12" s="105">
        <v>49.7981</v>
      </c>
      <c r="K12" s="105">
        <v>49.21597</v>
      </c>
      <c r="L12" s="105">
        <v>48.28246</v>
      </c>
      <c r="M12" s="105">
        <v>47.59542</v>
      </c>
      <c r="N12" s="105">
        <v>47.07141</v>
      </c>
    </row>
    <row r="13" spans="3:14" ht="12" customHeight="1">
      <c r="C13" s="23" t="s">
        <v>56</v>
      </c>
      <c r="D13" s="105">
        <v>43.77518</v>
      </c>
      <c r="E13" s="105">
        <v>43.74305</v>
      </c>
      <c r="F13" s="105">
        <v>43.45466</v>
      </c>
      <c r="G13" s="105">
        <v>43.50738</v>
      </c>
      <c r="H13" s="105">
        <v>44.02766</v>
      </c>
      <c r="I13" s="105">
        <v>44.67095</v>
      </c>
      <c r="J13" s="105">
        <v>45.33861</v>
      </c>
      <c r="K13" s="105">
        <v>45.04444</v>
      </c>
      <c r="L13" s="105">
        <v>44.65651</v>
      </c>
      <c r="M13" s="105">
        <v>44.68849</v>
      </c>
      <c r="N13" s="105">
        <v>44.85798</v>
      </c>
    </row>
    <row r="14" spans="3:14" ht="12" customHeight="1">
      <c r="C14" s="23" t="s">
        <v>75</v>
      </c>
      <c r="D14" s="105">
        <v>44.73177</v>
      </c>
      <c r="E14" s="105">
        <v>44.46374</v>
      </c>
      <c r="F14" s="105">
        <v>44.48657</v>
      </c>
      <c r="G14" s="105">
        <v>44.39063</v>
      </c>
      <c r="H14" s="105">
        <v>44.99546</v>
      </c>
      <c r="I14" s="105">
        <v>46.0966</v>
      </c>
      <c r="J14" s="105">
        <v>46.77218</v>
      </c>
      <c r="K14" s="105">
        <v>46.72175</v>
      </c>
      <c r="L14" s="105">
        <v>46.25228</v>
      </c>
      <c r="M14" s="105">
        <v>46.12167</v>
      </c>
      <c r="N14" s="105">
        <v>46.18566</v>
      </c>
    </row>
    <row r="15" spans="1:11" ht="12" customHeight="1">
      <c r="A15" s="17"/>
      <c r="K15" s="17"/>
    </row>
    <row r="16" spans="1:12" ht="12" customHeight="1">
      <c r="A16" s="6" t="s">
        <v>50</v>
      </c>
      <c r="C16" s="17" t="s">
        <v>159</v>
      </c>
      <c r="J16" s="17"/>
      <c r="K16" s="17"/>
      <c r="L16" s="17"/>
    </row>
    <row r="17" spans="3:12" ht="12" customHeight="1">
      <c r="C17" s="29" t="s">
        <v>152</v>
      </c>
      <c r="J17" s="30"/>
      <c r="K17" s="17"/>
      <c r="L17" s="29"/>
    </row>
    <row r="18" ht="12"/>
    <row r="19" ht="12">
      <c r="K19" s="1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7"/>
    </row>
    <row r="35" ht="12"/>
    <row r="36" ht="12"/>
    <row r="37" ht="12"/>
    <row r="38" ht="12"/>
    <row r="39" ht="12"/>
    <row r="40" ht="12"/>
    <row r="41" spans="4:7" ht="12">
      <c r="D41" s="67"/>
      <c r="E41" s="67"/>
      <c r="F41" s="67"/>
      <c r="G41" s="67"/>
    </row>
    <row r="42" spans="4:7" ht="12">
      <c r="D42" s="67"/>
      <c r="E42" s="67"/>
      <c r="F42" s="67"/>
      <c r="G42" s="67"/>
    </row>
    <row r="43" spans="4:7" ht="12">
      <c r="D43" s="67"/>
      <c r="E43" s="67"/>
      <c r="F43" s="67"/>
      <c r="G43" s="67"/>
    </row>
    <row r="44" spans="4:7" ht="12">
      <c r="D44" s="67"/>
      <c r="E44" s="67"/>
      <c r="F44" s="67"/>
      <c r="G44" s="67"/>
    </row>
    <row r="45" ht="59.25" customHeight="1">
      <c r="C45" s="17"/>
    </row>
    <row r="47" ht="12">
      <c r="C47" s="17" t="s">
        <v>159</v>
      </c>
    </row>
    <row r="48" ht="12">
      <c r="C48" s="29" t="s">
        <v>152</v>
      </c>
    </row>
    <row r="50" ht="12">
      <c r="A50" s="1" t="s">
        <v>47</v>
      </c>
    </row>
    <row r="51" ht="12">
      <c r="A51" s="25" t="s">
        <v>57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P51"/>
  <sheetViews>
    <sheetView showGridLines="0" zoomScaleSheetLayoutView="100" workbookViewId="0" topLeftCell="A1">
      <selection activeCell="S33" sqref="S33"/>
    </sheetView>
  </sheetViews>
  <sheetFormatPr defaultColWidth="9.140625" defaultRowHeight="12"/>
  <cols>
    <col min="1" max="2" width="9.28125" style="23" customWidth="1"/>
    <col min="3" max="3" width="23.421875" style="23" customWidth="1"/>
    <col min="4" max="15" width="9.140625" style="23" customWidth="1"/>
    <col min="16" max="16" width="11.140625" style="23" customWidth="1"/>
    <col min="17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2" ht="11.25" customHeight="1">
      <c r="C3" s="1" t="s">
        <v>36</v>
      </c>
      <c r="J3" s="1"/>
      <c r="K3" s="1"/>
      <c r="L3" s="1"/>
    </row>
    <row r="4" spans="3:12" ht="11.25" customHeight="1">
      <c r="C4" s="1" t="s">
        <v>37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1:16" ht="12">
      <c r="A6" s="17"/>
      <c r="C6" s="57" t="s">
        <v>861</v>
      </c>
      <c r="D6" s="64"/>
      <c r="E6" s="64"/>
      <c r="F6" s="64"/>
      <c r="G6" s="64"/>
      <c r="H6" s="64"/>
      <c r="I6" s="64"/>
      <c r="J6" s="57"/>
      <c r="K6" s="57"/>
      <c r="L6" s="57"/>
      <c r="M6" s="64"/>
      <c r="N6" s="64"/>
      <c r="O6" s="64"/>
      <c r="P6" s="64"/>
    </row>
    <row r="7" spans="1:16" ht="11.25" customHeight="1">
      <c r="A7" s="17"/>
      <c r="C7" s="31" t="s">
        <v>66</v>
      </c>
      <c r="D7" s="44"/>
      <c r="E7" s="44"/>
      <c r="F7" s="44"/>
      <c r="G7" s="44"/>
      <c r="H7" s="44"/>
      <c r="I7" s="44"/>
      <c r="J7" s="31"/>
      <c r="K7" s="31"/>
      <c r="L7" s="31"/>
      <c r="M7" s="44"/>
      <c r="N7" s="44"/>
      <c r="O7" s="44"/>
      <c r="P7" s="44"/>
    </row>
    <row r="8" spans="1:12" ht="11.25" customHeight="1">
      <c r="A8" s="17"/>
      <c r="C8" s="1"/>
      <c r="J8" s="1"/>
      <c r="K8" s="1"/>
      <c r="L8" s="1"/>
    </row>
    <row r="9" spans="3:12" ht="11.25" customHeight="1">
      <c r="C9" s="17"/>
      <c r="J9" s="17"/>
      <c r="K9" s="17"/>
      <c r="L9" s="17"/>
    </row>
    <row r="10" spans="4:14" ht="12" customHeight="1">
      <c r="D10" s="65">
        <v>2007</v>
      </c>
      <c r="E10" s="65">
        <v>2008</v>
      </c>
      <c r="F10" s="65">
        <v>2009</v>
      </c>
      <c r="G10" s="65">
        <v>2010</v>
      </c>
      <c r="H10" s="65">
        <v>2011</v>
      </c>
      <c r="I10" s="65">
        <v>2012</v>
      </c>
      <c r="J10" s="65">
        <v>2013</v>
      </c>
      <c r="K10" s="65">
        <v>2014</v>
      </c>
      <c r="L10" s="65">
        <v>2015</v>
      </c>
      <c r="M10" s="65">
        <v>2016</v>
      </c>
      <c r="N10" s="65">
        <v>2017</v>
      </c>
    </row>
    <row r="11" spans="3:15" ht="12" customHeight="1">
      <c r="C11" s="23" t="s">
        <v>55</v>
      </c>
      <c r="D11" s="70">
        <v>5800.71033398</v>
      </c>
      <c r="E11" s="70">
        <v>6041.71853493</v>
      </c>
      <c r="F11" s="70">
        <v>6165.3081408200005</v>
      </c>
      <c r="G11" s="70">
        <v>6400.69682104</v>
      </c>
      <c r="H11" s="70">
        <v>6412.98552737</v>
      </c>
      <c r="I11" s="70">
        <v>6589.49321332</v>
      </c>
      <c r="J11" s="70">
        <v>6604.21085092</v>
      </c>
      <c r="K11" s="70">
        <v>6736.0787418</v>
      </c>
      <c r="L11" s="70">
        <v>6955.911855189999</v>
      </c>
      <c r="M11" s="70">
        <v>6904.30629192</v>
      </c>
      <c r="N11" s="70">
        <v>7021.95741892</v>
      </c>
      <c r="O11" s="98"/>
    </row>
    <row r="12" spans="3:15" ht="12" customHeight="1">
      <c r="C12" s="23" t="s">
        <v>74</v>
      </c>
      <c r="D12" s="70">
        <v>4265.546290939999</v>
      </c>
      <c r="E12" s="70">
        <v>4491.48489808</v>
      </c>
      <c r="F12" s="70">
        <v>4713.5085098</v>
      </c>
      <c r="G12" s="70">
        <v>4827.26965593</v>
      </c>
      <c r="H12" s="70">
        <v>4823.88712262</v>
      </c>
      <c r="I12" s="70">
        <v>4897.03750013</v>
      </c>
      <c r="J12" s="70">
        <v>4948.28405527</v>
      </c>
      <c r="K12" s="70">
        <v>5000.1928903299995</v>
      </c>
      <c r="L12" s="70">
        <v>5079.33355619</v>
      </c>
      <c r="M12" s="70">
        <v>5135.44463122</v>
      </c>
      <c r="N12" s="70">
        <v>5257.10208236</v>
      </c>
      <c r="O12" s="98"/>
    </row>
    <row r="13" spans="3:15" ht="12" customHeight="1">
      <c r="C13" s="23" t="s">
        <v>56</v>
      </c>
      <c r="D13" s="70">
        <v>5687.81162443</v>
      </c>
      <c r="E13" s="70">
        <v>5716.495419440001</v>
      </c>
      <c r="F13" s="70">
        <v>5350.6651849400005</v>
      </c>
      <c r="G13" s="70">
        <v>5579.72098301</v>
      </c>
      <c r="H13" s="70">
        <v>5811.67743195</v>
      </c>
      <c r="I13" s="70">
        <v>6015.07134787</v>
      </c>
      <c r="J13" s="70">
        <v>6156.49607791</v>
      </c>
      <c r="K13" s="70">
        <v>6327.29616199</v>
      </c>
      <c r="L13" s="70">
        <v>6610.21010769</v>
      </c>
      <c r="M13" s="70">
        <v>6662.51001887</v>
      </c>
      <c r="N13" s="70">
        <v>6875.369452139999</v>
      </c>
      <c r="O13" s="98"/>
    </row>
    <row r="14" spans="3:15" ht="12" customHeight="1">
      <c r="C14" s="23" t="s">
        <v>75</v>
      </c>
      <c r="D14" s="70">
        <v>4204.22917369</v>
      </c>
      <c r="E14" s="70">
        <v>4283.0150451300005</v>
      </c>
      <c r="F14" s="70">
        <v>4132.31934975</v>
      </c>
      <c r="G14" s="70">
        <v>4236.8152684199995</v>
      </c>
      <c r="H14" s="70">
        <v>4409.0926965300005</v>
      </c>
      <c r="I14" s="70">
        <v>4535.5853419000005</v>
      </c>
      <c r="J14" s="70">
        <v>4647.60731331</v>
      </c>
      <c r="K14" s="70">
        <v>4746.78744628</v>
      </c>
      <c r="L14" s="70">
        <v>4865.75741219</v>
      </c>
      <c r="M14" s="70">
        <v>4976.43017565</v>
      </c>
      <c r="N14" s="70">
        <v>5158.1788019099995</v>
      </c>
      <c r="O14" s="98"/>
    </row>
    <row r="15" spans="1:16" ht="12" customHeight="1">
      <c r="A15" s="17"/>
      <c r="K15" s="17"/>
      <c r="P15" s="98"/>
    </row>
    <row r="16" spans="1:12" ht="12" customHeight="1">
      <c r="A16" s="6" t="s">
        <v>50</v>
      </c>
      <c r="C16" s="17" t="s">
        <v>159</v>
      </c>
      <c r="J16" s="17"/>
      <c r="K16" s="17"/>
      <c r="L16" s="17"/>
    </row>
    <row r="17" spans="3:12" ht="12" customHeight="1">
      <c r="C17" s="29" t="s">
        <v>152</v>
      </c>
      <c r="J17" s="30"/>
      <c r="K17" s="17"/>
      <c r="L17" s="29"/>
    </row>
    <row r="18" spans="10:12" ht="12">
      <c r="J18" s="17"/>
      <c r="K18" s="17"/>
      <c r="L18" s="1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7" ht="12">
      <c r="D36" s="71"/>
      <c r="E36" s="71"/>
      <c r="F36" s="71"/>
      <c r="G36" s="71"/>
    </row>
    <row r="37" ht="12"/>
    <row r="38" ht="12"/>
    <row r="39" spans="4:7" ht="12">
      <c r="D39" s="67"/>
      <c r="E39" s="67"/>
      <c r="F39" s="67"/>
      <c r="G39" s="67"/>
    </row>
    <row r="40" ht="12"/>
    <row r="41" spans="4:7" ht="12">
      <c r="D41" s="72"/>
      <c r="E41" s="72"/>
      <c r="F41" s="72"/>
      <c r="G41" s="72"/>
    </row>
    <row r="42" spans="4:7" ht="12">
      <c r="D42" s="72"/>
      <c r="E42" s="72"/>
      <c r="F42" s="72"/>
      <c r="G42" s="72"/>
    </row>
    <row r="43" spans="4:7" ht="12">
      <c r="D43" s="72"/>
      <c r="E43" s="72"/>
      <c r="F43" s="72"/>
      <c r="G43" s="72"/>
    </row>
    <row r="44" spans="4:7" ht="45.75" customHeight="1">
      <c r="D44" s="72"/>
      <c r="E44" s="72"/>
      <c r="F44" s="72"/>
      <c r="G44" s="72"/>
    </row>
    <row r="45" spans="4:6" ht="12">
      <c r="D45" s="72"/>
      <c r="E45" s="72"/>
      <c r="F45" s="72"/>
    </row>
    <row r="46" spans="4:6" ht="12">
      <c r="D46" s="72"/>
      <c r="E46" s="72"/>
      <c r="F46" s="72"/>
    </row>
    <row r="47" ht="12">
      <c r="C47" s="17" t="s">
        <v>159</v>
      </c>
    </row>
    <row r="48" ht="12">
      <c r="C48" s="29" t="s">
        <v>152</v>
      </c>
    </row>
    <row r="50" ht="12">
      <c r="A50" s="1" t="s">
        <v>47</v>
      </c>
    </row>
    <row r="51" ht="12">
      <c r="A51" s="25" t="s">
        <v>58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V56"/>
  <sheetViews>
    <sheetView showGridLines="0" zoomScaleSheetLayoutView="100" workbookViewId="0" topLeftCell="A1">
      <selection activeCell="D45" sqref="D45:E45"/>
    </sheetView>
  </sheetViews>
  <sheetFormatPr defaultColWidth="9.140625" defaultRowHeight="12"/>
  <cols>
    <col min="1" max="2" width="9.28125" style="17" customWidth="1"/>
    <col min="3" max="3" width="16.00390625" style="17" customWidth="1"/>
    <col min="4" max="4" width="11.00390625" style="59" customWidth="1"/>
    <col min="5" max="5" width="12.28125" style="17" customWidth="1"/>
    <col min="6" max="6" width="9.8515625" style="3" customWidth="1"/>
    <col min="7" max="19" width="9.140625" style="17" customWidth="1"/>
    <col min="20" max="20" width="5.140625" style="17" customWidth="1"/>
    <col min="21" max="16384" width="9.140625" style="17" customWidth="1"/>
  </cols>
  <sheetData>
    <row r="1" spans="1:6" s="1" customFormat="1" ht="11.25" customHeight="1">
      <c r="A1" s="38"/>
      <c r="D1" s="2"/>
      <c r="F1" s="9"/>
    </row>
    <row r="2" spans="1:6" s="1" customFormat="1" ht="11.25" customHeight="1">
      <c r="A2" s="17"/>
      <c r="D2" s="2"/>
      <c r="F2" s="9"/>
    </row>
    <row r="3" spans="3:6" s="1" customFormat="1" ht="11.25" customHeight="1">
      <c r="C3" s="1" t="s">
        <v>36</v>
      </c>
      <c r="D3" s="2"/>
      <c r="F3" s="9"/>
    </row>
    <row r="4" spans="3:6" s="1" customFormat="1" ht="11.25" customHeight="1">
      <c r="C4" s="1" t="s">
        <v>37</v>
      </c>
      <c r="D4" s="2"/>
      <c r="F4" s="9"/>
    </row>
    <row r="5" spans="4:6" s="1" customFormat="1" ht="11.25" customHeight="1">
      <c r="D5" s="2"/>
      <c r="F5" s="9"/>
    </row>
    <row r="6" spans="3:22" s="1" customFormat="1" ht="12">
      <c r="C6" s="57" t="s">
        <v>850</v>
      </c>
      <c r="D6" s="57"/>
      <c r="E6" s="57"/>
      <c r="F6" s="63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3:22" s="1" customFormat="1" ht="11.25" customHeight="1">
      <c r="C7" s="31" t="s">
        <v>30</v>
      </c>
      <c r="D7" s="31"/>
      <c r="E7" s="31"/>
      <c r="F7" s="1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4:6" s="1" customFormat="1" ht="11.25" customHeight="1">
      <c r="D8" s="2"/>
      <c r="F8" s="9"/>
    </row>
    <row r="9" spans="7:11" ht="12">
      <c r="G9" s="19"/>
      <c r="H9" s="19"/>
      <c r="I9" s="19"/>
      <c r="J9" s="19"/>
      <c r="K9" s="19"/>
    </row>
    <row r="10" spans="4:11" ht="48">
      <c r="D10" s="22" t="s">
        <v>32</v>
      </c>
      <c r="E10" s="22" t="s">
        <v>31</v>
      </c>
      <c r="J10" s="19"/>
      <c r="K10" s="19"/>
    </row>
    <row r="11" spans="2:18" ht="12" customHeight="1">
      <c r="B11" s="26"/>
      <c r="C11" s="26" t="s">
        <v>54</v>
      </c>
      <c r="D11" s="55">
        <v>45.81438</v>
      </c>
      <c r="E11" s="55">
        <v>44.85798</v>
      </c>
      <c r="F11" s="46"/>
      <c r="G11" s="19"/>
      <c r="H11" s="19"/>
      <c r="I11" s="73"/>
      <c r="J11" s="19"/>
      <c r="K11" s="74"/>
      <c r="L11" s="74"/>
      <c r="P11" s="26"/>
      <c r="R11" s="26"/>
    </row>
    <row r="12" spans="2:18" ht="12" customHeight="1">
      <c r="B12" s="52"/>
      <c r="C12" s="49" t="s">
        <v>72</v>
      </c>
      <c r="D12" s="75">
        <v>47.07141</v>
      </c>
      <c r="E12" s="75">
        <v>46.18566</v>
      </c>
      <c r="F12" s="46"/>
      <c r="G12" s="19"/>
      <c r="H12" s="19"/>
      <c r="I12" s="19"/>
      <c r="J12" s="19"/>
      <c r="K12" s="74"/>
      <c r="L12" s="74"/>
      <c r="P12" s="26"/>
      <c r="R12" s="26"/>
    </row>
    <row r="13" spans="2:18" ht="12" customHeight="1">
      <c r="B13" s="52"/>
      <c r="C13" s="26"/>
      <c r="D13" s="55"/>
      <c r="E13" s="55"/>
      <c r="F13" s="55"/>
      <c r="G13" s="19"/>
      <c r="H13" s="19"/>
      <c r="I13" s="19"/>
      <c r="J13" s="19"/>
      <c r="K13" s="74"/>
      <c r="L13" s="74"/>
      <c r="P13" s="26"/>
      <c r="R13" s="26"/>
    </row>
    <row r="14" spans="2:18" ht="12" customHeight="1">
      <c r="B14" s="53"/>
      <c r="C14" s="56" t="s">
        <v>10</v>
      </c>
      <c r="D14" s="55">
        <v>56.48102</v>
      </c>
      <c r="E14" s="55">
        <v>53.88677</v>
      </c>
      <c r="F14" s="55"/>
      <c r="G14" s="19"/>
      <c r="H14" s="19"/>
      <c r="I14" s="19"/>
      <c r="J14" s="19"/>
      <c r="K14" s="74"/>
      <c r="L14" s="74"/>
      <c r="P14" s="26"/>
      <c r="R14" s="26"/>
    </row>
    <row r="15" spans="2:18" ht="12" customHeight="1">
      <c r="B15" s="53"/>
      <c r="C15" s="56" t="s">
        <v>5</v>
      </c>
      <c r="D15" s="55">
        <v>53.73252</v>
      </c>
      <c r="E15" s="55">
        <v>53.16032</v>
      </c>
      <c r="F15" s="55"/>
      <c r="G15" s="19"/>
      <c r="H15" s="19"/>
      <c r="I15" s="19"/>
      <c r="J15" s="19"/>
      <c r="K15" s="74"/>
      <c r="L15" s="74"/>
      <c r="P15" s="26"/>
      <c r="R15" s="26"/>
    </row>
    <row r="16" spans="2:18" ht="12" customHeight="1">
      <c r="B16" s="53"/>
      <c r="C16" s="56" t="s">
        <v>4</v>
      </c>
      <c r="D16" s="55">
        <v>51.87915</v>
      </c>
      <c r="E16" s="55">
        <v>52.87957</v>
      </c>
      <c r="F16" s="55"/>
      <c r="G16" s="19"/>
      <c r="H16" s="19"/>
      <c r="I16" s="19"/>
      <c r="J16" s="19"/>
      <c r="K16" s="74"/>
      <c r="L16" s="74"/>
      <c r="P16" s="26"/>
      <c r="Q16" s="25"/>
      <c r="R16" s="26"/>
    </row>
    <row r="17" spans="2:18" ht="12" customHeight="1">
      <c r="B17" s="53"/>
      <c r="C17" s="56" t="s">
        <v>1</v>
      </c>
      <c r="D17" s="55">
        <v>52.21987</v>
      </c>
      <c r="E17" s="55">
        <v>51.18846</v>
      </c>
      <c r="F17" s="55"/>
      <c r="G17" s="19"/>
      <c r="H17" s="19"/>
      <c r="I17" s="19"/>
      <c r="J17" s="19"/>
      <c r="K17" s="74"/>
      <c r="L17" s="74"/>
      <c r="P17" s="26"/>
      <c r="R17" s="26"/>
    </row>
    <row r="18" spans="2:18" ht="12" customHeight="1">
      <c r="B18" s="53"/>
      <c r="C18" s="56" t="s">
        <v>3</v>
      </c>
      <c r="D18" s="55">
        <v>49.06912</v>
      </c>
      <c r="E18" s="55">
        <v>50.33944</v>
      </c>
      <c r="F18" s="55"/>
      <c r="G18" s="19"/>
      <c r="H18" s="19"/>
      <c r="I18" s="19"/>
      <c r="J18" s="19"/>
      <c r="K18" s="74"/>
      <c r="L18" s="74"/>
      <c r="P18" s="26"/>
      <c r="R18" s="26"/>
    </row>
    <row r="19" spans="2:18" ht="12" customHeight="1">
      <c r="B19" s="53"/>
      <c r="C19" s="56" t="s">
        <v>26</v>
      </c>
      <c r="D19" s="55">
        <v>49.07394</v>
      </c>
      <c r="E19" s="55">
        <v>48.37271</v>
      </c>
      <c r="F19" s="55"/>
      <c r="G19" s="19"/>
      <c r="H19" s="19"/>
      <c r="I19" s="19"/>
      <c r="J19" s="19"/>
      <c r="K19" s="74"/>
      <c r="L19" s="74"/>
      <c r="P19" s="26"/>
      <c r="R19" s="26"/>
    </row>
    <row r="20" spans="2:18" ht="12" customHeight="1">
      <c r="B20" s="53"/>
      <c r="C20" s="56" t="s">
        <v>13</v>
      </c>
      <c r="D20" s="55">
        <v>48.00518</v>
      </c>
      <c r="E20" s="55">
        <v>48.82325</v>
      </c>
      <c r="F20" s="55"/>
      <c r="G20" s="19"/>
      <c r="H20" s="19"/>
      <c r="I20" s="19"/>
      <c r="J20" s="19"/>
      <c r="K20" s="74"/>
      <c r="L20" s="74"/>
      <c r="P20" s="26"/>
      <c r="R20" s="26"/>
    </row>
    <row r="21" spans="2:18" ht="12" customHeight="1">
      <c r="B21" s="53"/>
      <c r="C21" s="56" t="s">
        <v>12</v>
      </c>
      <c r="D21" s="55">
        <v>48.90104</v>
      </c>
      <c r="E21" s="55">
        <v>46.58931</v>
      </c>
      <c r="F21" s="55"/>
      <c r="G21" s="19"/>
      <c r="H21" s="19"/>
      <c r="I21" s="19"/>
      <c r="J21" s="19"/>
      <c r="K21" s="74"/>
      <c r="L21" s="74"/>
      <c r="P21" s="26"/>
      <c r="R21" s="26"/>
    </row>
    <row r="22" spans="2:18" ht="12" customHeight="1">
      <c r="B22" s="53"/>
      <c r="C22" s="56" t="s">
        <v>23</v>
      </c>
      <c r="D22" s="55">
        <v>45.26388</v>
      </c>
      <c r="E22" s="55">
        <v>46.0219</v>
      </c>
      <c r="F22" s="55"/>
      <c r="G22" s="19"/>
      <c r="H22" s="19"/>
      <c r="I22" s="19"/>
      <c r="J22" s="19"/>
      <c r="K22" s="74"/>
      <c r="L22" s="74"/>
      <c r="P22" s="26"/>
      <c r="R22" s="26"/>
    </row>
    <row r="23" spans="2:18" ht="12" customHeight="1">
      <c r="B23" s="53"/>
      <c r="C23" s="56" t="s">
        <v>20</v>
      </c>
      <c r="D23" s="55">
        <v>46.49858</v>
      </c>
      <c r="E23" s="55">
        <v>44.54401</v>
      </c>
      <c r="F23" s="55"/>
      <c r="G23" s="19"/>
      <c r="H23" s="19"/>
      <c r="I23" s="19"/>
      <c r="J23" s="19"/>
      <c r="K23" s="74"/>
      <c r="L23" s="74"/>
      <c r="P23" s="26"/>
      <c r="R23" s="26"/>
    </row>
    <row r="24" spans="2:18" ht="12" customHeight="1">
      <c r="B24" s="53"/>
      <c r="C24" s="56" t="s">
        <v>9</v>
      </c>
      <c r="D24" s="55">
        <v>43.92269</v>
      </c>
      <c r="E24" s="55">
        <v>45.18565</v>
      </c>
      <c r="F24" s="55"/>
      <c r="G24" s="19"/>
      <c r="H24" s="19"/>
      <c r="I24" s="19"/>
      <c r="J24" s="19"/>
      <c r="K24" s="74"/>
      <c r="L24" s="74"/>
      <c r="P24" s="26"/>
      <c r="R24" s="26"/>
    </row>
    <row r="25" spans="2:18" ht="12" customHeight="1">
      <c r="B25" s="53"/>
      <c r="C25" s="56" t="s">
        <v>17</v>
      </c>
      <c r="D25" s="55">
        <v>45.86925</v>
      </c>
      <c r="E25" s="55">
        <v>42.91174</v>
      </c>
      <c r="F25" s="55"/>
      <c r="G25" s="19"/>
      <c r="H25" s="19"/>
      <c r="I25" s="19"/>
      <c r="J25" s="19"/>
      <c r="K25" s="74"/>
      <c r="L25" s="74"/>
      <c r="P25" s="26"/>
      <c r="R25" s="26"/>
    </row>
    <row r="26" spans="2:18" ht="12" customHeight="1">
      <c r="B26" s="53"/>
      <c r="C26" s="56" t="s">
        <v>0</v>
      </c>
      <c r="D26" s="55">
        <v>42.85532</v>
      </c>
      <c r="E26" s="55">
        <v>44.37076</v>
      </c>
      <c r="F26" s="55"/>
      <c r="G26" s="19"/>
      <c r="H26" s="19"/>
      <c r="I26" s="19"/>
      <c r="J26" s="19"/>
      <c r="K26" s="74"/>
      <c r="L26" s="74"/>
      <c r="P26" s="26"/>
      <c r="R26" s="26"/>
    </row>
    <row r="27" spans="2:18" ht="12" customHeight="1">
      <c r="B27" s="53"/>
      <c r="C27" s="56" t="s">
        <v>2</v>
      </c>
      <c r="D27" s="55">
        <v>42.55709</v>
      </c>
      <c r="E27" s="55">
        <v>43.65016</v>
      </c>
      <c r="F27" s="55"/>
      <c r="G27" s="19"/>
      <c r="H27" s="19"/>
      <c r="I27" s="19"/>
      <c r="J27" s="19"/>
      <c r="K27" s="74"/>
      <c r="L27" s="74"/>
      <c r="P27" s="26"/>
      <c r="R27" s="26"/>
    </row>
    <row r="28" spans="2:18" ht="12" customHeight="1">
      <c r="B28" s="53"/>
      <c r="C28" s="56" t="s">
        <v>15</v>
      </c>
      <c r="D28" s="55">
        <v>43.08203</v>
      </c>
      <c r="E28" s="55">
        <v>43.11302</v>
      </c>
      <c r="F28" s="55"/>
      <c r="G28" s="19"/>
      <c r="H28" s="19"/>
      <c r="I28" s="19"/>
      <c r="J28" s="19"/>
      <c r="K28" s="74"/>
      <c r="L28" s="74"/>
      <c r="P28" s="26"/>
      <c r="R28" s="26"/>
    </row>
    <row r="29" spans="2:18" ht="12" customHeight="1">
      <c r="B29" s="53"/>
      <c r="C29" s="56" t="s">
        <v>21</v>
      </c>
      <c r="D29" s="55">
        <v>41.21811</v>
      </c>
      <c r="E29" s="55">
        <v>39.55557</v>
      </c>
      <c r="F29" s="55"/>
      <c r="G29" s="19"/>
      <c r="H29" s="19"/>
      <c r="I29" s="19"/>
      <c r="J29" s="19"/>
      <c r="K29" s="74"/>
      <c r="L29" s="74"/>
      <c r="P29" s="26"/>
      <c r="R29" s="26"/>
    </row>
    <row r="30" spans="2:18" ht="12" customHeight="1">
      <c r="B30" s="53"/>
      <c r="C30" s="56" t="s">
        <v>34</v>
      </c>
      <c r="D30" s="55">
        <v>41.06284</v>
      </c>
      <c r="E30" s="55">
        <v>39.13144</v>
      </c>
      <c r="F30" s="55"/>
      <c r="G30" s="19"/>
      <c r="H30" s="19"/>
      <c r="I30" s="19"/>
      <c r="J30" s="19"/>
      <c r="K30" s="74"/>
      <c r="L30" s="74"/>
      <c r="P30" s="26"/>
      <c r="R30" s="26"/>
    </row>
    <row r="31" spans="2:18" ht="12" customHeight="1">
      <c r="B31" s="53"/>
      <c r="C31" s="56" t="s">
        <v>18</v>
      </c>
      <c r="D31" s="55">
        <v>40.20337</v>
      </c>
      <c r="E31" s="55">
        <v>39.91601</v>
      </c>
      <c r="F31" s="55"/>
      <c r="G31" s="31"/>
      <c r="H31" s="31"/>
      <c r="I31" s="19"/>
      <c r="J31" s="19"/>
      <c r="K31" s="74"/>
      <c r="L31" s="74"/>
      <c r="P31" s="26"/>
      <c r="R31" s="26"/>
    </row>
    <row r="32" spans="2:18" ht="12" customHeight="1">
      <c r="B32" s="53"/>
      <c r="C32" s="56" t="s">
        <v>19</v>
      </c>
      <c r="D32" s="55">
        <v>40.41949</v>
      </c>
      <c r="E32" s="55">
        <v>39.37877</v>
      </c>
      <c r="F32" s="55"/>
      <c r="G32" s="19"/>
      <c r="H32" s="55"/>
      <c r="I32" s="55"/>
      <c r="J32" s="19"/>
      <c r="K32" s="74"/>
      <c r="L32" s="74"/>
      <c r="P32" s="26"/>
      <c r="R32" s="26"/>
    </row>
    <row r="33" spans="2:18" ht="12" customHeight="1">
      <c r="B33" s="53"/>
      <c r="C33" s="56" t="s">
        <v>35</v>
      </c>
      <c r="D33" s="55">
        <v>38.80977</v>
      </c>
      <c r="E33" s="55">
        <v>40.40463</v>
      </c>
      <c r="F33" s="55"/>
      <c r="G33" s="19"/>
      <c r="H33" s="55"/>
      <c r="I33" s="55"/>
      <c r="J33" s="19"/>
      <c r="K33" s="74"/>
      <c r="L33" s="74"/>
      <c r="P33" s="26"/>
      <c r="R33" s="26"/>
    </row>
    <row r="34" spans="2:18" ht="12" customHeight="1">
      <c r="B34" s="53"/>
      <c r="C34" s="56" t="s">
        <v>11</v>
      </c>
      <c r="D34" s="55">
        <v>41.01982</v>
      </c>
      <c r="E34" s="55">
        <v>37.90611</v>
      </c>
      <c r="F34" s="55"/>
      <c r="G34" s="19"/>
      <c r="H34" s="19"/>
      <c r="I34" s="19"/>
      <c r="J34" s="19"/>
      <c r="K34" s="74"/>
      <c r="L34" s="74"/>
      <c r="P34" s="26"/>
      <c r="R34" s="26"/>
    </row>
    <row r="35" spans="2:18" ht="12" customHeight="1">
      <c r="B35" s="53"/>
      <c r="C35" s="56" t="s">
        <v>14</v>
      </c>
      <c r="D35" s="55">
        <v>38.18037</v>
      </c>
      <c r="E35" s="55">
        <v>39.96867</v>
      </c>
      <c r="F35" s="55"/>
      <c r="G35" s="19"/>
      <c r="H35" s="19"/>
      <c r="I35" s="19"/>
      <c r="J35" s="19"/>
      <c r="K35" s="74"/>
      <c r="L35" s="74"/>
      <c r="P35" s="26"/>
      <c r="R35" s="26"/>
    </row>
    <row r="36" spans="2:18" ht="12">
      <c r="B36" s="53"/>
      <c r="C36" s="56" t="s">
        <v>16</v>
      </c>
      <c r="D36" s="55">
        <v>36.52958</v>
      </c>
      <c r="E36" s="55">
        <v>40.46023</v>
      </c>
      <c r="F36" s="55"/>
      <c r="G36" s="19"/>
      <c r="H36" s="19"/>
      <c r="I36" s="19"/>
      <c r="J36" s="19"/>
      <c r="K36" s="74"/>
      <c r="L36" s="74"/>
      <c r="P36" s="26"/>
      <c r="R36" s="26"/>
    </row>
    <row r="37" spans="2:18" ht="12" customHeight="1">
      <c r="B37" s="53"/>
      <c r="C37" s="56" t="s">
        <v>7</v>
      </c>
      <c r="D37" s="55">
        <v>38.03199</v>
      </c>
      <c r="E37" s="55">
        <v>37.54381</v>
      </c>
      <c r="F37" s="55"/>
      <c r="G37" s="18" t="s">
        <v>160</v>
      </c>
      <c r="H37" s="19"/>
      <c r="I37" s="19"/>
      <c r="J37" s="19"/>
      <c r="K37" s="74"/>
      <c r="L37" s="74"/>
      <c r="P37" s="26"/>
      <c r="R37" s="26"/>
    </row>
    <row r="38" spans="2:18" ht="12" customHeight="1">
      <c r="B38" s="53"/>
      <c r="C38" s="56" t="s">
        <v>22</v>
      </c>
      <c r="D38" s="55">
        <v>35.21029</v>
      </c>
      <c r="E38" s="55">
        <v>36.14339</v>
      </c>
      <c r="F38" s="55"/>
      <c r="G38" s="29" t="s">
        <v>152</v>
      </c>
      <c r="H38" s="19"/>
      <c r="I38" s="19"/>
      <c r="J38" s="19"/>
      <c r="K38" s="74"/>
      <c r="L38" s="74"/>
      <c r="P38" s="26"/>
      <c r="R38" s="26"/>
    </row>
    <row r="39" spans="2:18" ht="12" customHeight="1">
      <c r="B39" s="53"/>
      <c r="C39" s="56" t="s">
        <v>6</v>
      </c>
      <c r="D39" s="55">
        <v>33.26739</v>
      </c>
      <c r="E39" s="55">
        <v>33.79586</v>
      </c>
      <c r="F39" s="55"/>
      <c r="G39" s="19"/>
      <c r="H39" s="19"/>
      <c r="I39" s="19"/>
      <c r="J39" s="19"/>
      <c r="K39" s="74"/>
      <c r="L39" s="74"/>
      <c r="P39" s="26"/>
      <c r="R39" s="26"/>
    </row>
    <row r="40" spans="2:18" ht="12" customHeight="1">
      <c r="B40" s="53"/>
      <c r="C40" s="56" t="s">
        <v>27</v>
      </c>
      <c r="D40" s="55">
        <v>33.37489</v>
      </c>
      <c r="E40" s="55">
        <v>30.46021</v>
      </c>
      <c r="F40" s="55"/>
      <c r="G40" s="19"/>
      <c r="H40" s="19"/>
      <c r="J40" s="19"/>
      <c r="K40" s="74"/>
      <c r="L40" s="74"/>
      <c r="P40" s="26"/>
      <c r="R40" s="26"/>
    </row>
    <row r="41" spans="2:18" ht="12" customHeight="1">
      <c r="B41" s="53"/>
      <c r="C41" s="56" t="s">
        <v>25</v>
      </c>
      <c r="D41" s="55">
        <v>26.07006</v>
      </c>
      <c r="E41" s="55">
        <v>25.72781</v>
      </c>
      <c r="F41" s="55"/>
      <c r="G41" s="19"/>
      <c r="H41" s="19"/>
      <c r="J41" s="19"/>
      <c r="K41" s="74"/>
      <c r="L41" s="74"/>
      <c r="P41" s="26"/>
      <c r="R41" s="26"/>
    </row>
    <row r="42" spans="2:18" ht="12" customHeight="1">
      <c r="B42" s="53"/>
      <c r="C42" s="56"/>
      <c r="D42" s="55"/>
      <c r="E42" s="55"/>
      <c r="F42" s="55"/>
      <c r="G42" s="19"/>
      <c r="H42" s="19"/>
      <c r="I42" s="19"/>
      <c r="J42" s="19"/>
      <c r="K42" s="74"/>
      <c r="L42" s="74"/>
      <c r="P42" s="26"/>
      <c r="R42" s="26"/>
    </row>
    <row r="43" spans="2:18" ht="12" customHeight="1">
      <c r="B43" s="53"/>
      <c r="C43" s="56" t="s">
        <v>76</v>
      </c>
      <c r="D43" s="55">
        <v>50.3298</v>
      </c>
      <c r="E43" s="55">
        <v>54.77869</v>
      </c>
      <c r="F43" s="55"/>
      <c r="G43" s="19"/>
      <c r="H43" s="19"/>
      <c r="I43" s="19"/>
      <c r="J43" s="19"/>
      <c r="K43" s="74"/>
      <c r="L43" s="74"/>
      <c r="P43" s="26"/>
      <c r="R43" s="26"/>
    </row>
    <row r="44" spans="2:18" ht="12" customHeight="1">
      <c r="B44" s="97"/>
      <c r="C44" s="56" t="s">
        <v>78</v>
      </c>
      <c r="D44" s="55">
        <v>41.92281</v>
      </c>
      <c r="E44" s="55">
        <v>43.43619</v>
      </c>
      <c r="F44" s="55"/>
      <c r="K44" s="74"/>
      <c r="L44" s="74"/>
      <c r="P44" s="26"/>
      <c r="R44" s="26"/>
    </row>
    <row r="45" spans="2:18" ht="12" customHeight="1">
      <c r="B45" s="53"/>
      <c r="C45" s="56" t="s">
        <v>157</v>
      </c>
      <c r="D45" s="55"/>
      <c r="E45" s="55"/>
      <c r="F45" s="55"/>
      <c r="G45" s="19"/>
      <c r="H45" s="19"/>
      <c r="I45" s="19"/>
      <c r="J45" s="19"/>
      <c r="K45" s="74"/>
      <c r="L45" s="74"/>
      <c r="P45" s="26"/>
      <c r="R45" s="26"/>
    </row>
    <row r="46" spans="3:5" ht="12" customHeight="1">
      <c r="C46" s="18" t="s">
        <v>160</v>
      </c>
      <c r="D46" s="31"/>
      <c r="E46" s="31"/>
    </row>
    <row r="47" spans="1:18" ht="12" customHeight="1">
      <c r="A47" s="6"/>
      <c r="C47" s="29" t="s">
        <v>152</v>
      </c>
      <c r="D47" s="23"/>
      <c r="E47" s="23"/>
      <c r="F47" s="12"/>
      <c r="G47" s="31"/>
      <c r="H47" s="31"/>
      <c r="I47" s="31"/>
      <c r="J47" s="31"/>
      <c r="P47" s="19"/>
      <c r="R47" s="20"/>
    </row>
    <row r="48" spans="5:18" ht="12" customHeight="1">
      <c r="E48" s="55"/>
      <c r="F48" s="23"/>
      <c r="G48" s="23"/>
      <c r="H48" s="23"/>
      <c r="I48" s="23"/>
      <c r="P48" s="30"/>
      <c r="R48" s="29"/>
    </row>
    <row r="49" spans="3:13" ht="12">
      <c r="C49" s="31"/>
      <c r="D49" s="22"/>
      <c r="E49" s="22"/>
      <c r="M49" s="6" t="s">
        <v>51</v>
      </c>
    </row>
    <row r="50" spans="3:5" ht="12">
      <c r="C50" s="31"/>
      <c r="D50" s="22"/>
      <c r="E50" s="22"/>
    </row>
    <row r="51" spans="3:5" ht="12">
      <c r="C51" s="31"/>
      <c r="D51" s="22"/>
      <c r="E51" s="22"/>
    </row>
    <row r="55" ht="12">
      <c r="A55" s="1" t="s">
        <v>47</v>
      </c>
    </row>
    <row r="56" ht="12">
      <c r="A56" s="25" t="s">
        <v>59</v>
      </c>
    </row>
  </sheetData>
  <printOptions/>
  <pageMargins left="0" right="0" top="0" bottom="0" header="0" footer="0"/>
  <pageSetup fitToHeight="1" fitToWidth="1" horizontalDpi="2400" verticalDpi="24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C57"/>
  <sheetViews>
    <sheetView showGridLines="0" zoomScaleSheetLayoutView="100" workbookViewId="0" topLeftCell="A1">
      <selection activeCell="B35" sqref="B35"/>
    </sheetView>
  </sheetViews>
  <sheetFormatPr defaultColWidth="9.140625" defaultRowHeight="12"/>
  <cols>
    <col min="1" max="2" width="9.28125" style="23" customWidth="1"/>
    <col min="3" max="3" width="22.8515625" style="23" customWidth="1"/>
    <col min="4" max="8" width="21.28125" style="23" customWidth="1"/>
    <col min="9" max="9" width="9.140625" style="23" customWidth="1"/>
    <col min="10" max="10" width="5.28125" style="23" customWidth="1"/>
    <col min="11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5" ht="11.25" customHeight="1">
      <c r="C3" s="1" t="s">
        <v>36</v>
      </c>
      <c r="L3" s="1"/>
      <c r="M3" s="1"/>
      <c r="N3" s="1"/>
      <c r="O3" s="1"/>
    </row>
    <row r="4" spans="3:15" ht="11.25" customHeight="1">
      <c r="C4" s="1" t="s">
        <v>37</v>
      </c>
      <c r="L4" s="1"/>
      <c r="M4" s="1"/>
      <c r="N4" s="1"/>
      <c r="O4" s="1"/>
    </row>
    <row r="5" spans="3:15" ht="11.25" customHeight="1">
      <c r="C5" s="1"/>
      <c r="L5" s="1"/>
      <c r="M5" s="1"/>
      <c r="N5" s="1"/>
      <c r="O5" s="1"/>
    </row>
    <row r="6" spans="3:29" ht="12">
      <c r="C6" s="57" t="s">
        <v>860</v>
      </c>
      <c r="D6" s="64"/>
      <c r="E6" s="64"/>
      <c r="F6" s="64"/>
      <c r="G6" s="64"/>
      <c r="H6" s="64"/>
      <c r="I6" s="64"/>
      <c r="J6" s="64"/>
      <c r="K6" s="64"/>
      <c r="L6" s="57"/>
      <c r="M6" s="57"/>
      <c r="N6" s="57"/>
      <c r="O6" s="57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3:25" ht="11.25" customHeight="1">
      <c r="C7" s="31" t="s">
        <v>48</v>
      </c>
      <c r="D7" s="44"/>
      <c r="E7" s="44"/>
      <c r="F7" s="44"/>
      <c r="G7" s="44"/>
      <c r="H7" s="44"/>
      <c r="I7" s="44"/>
      <c r="J7" s="44"/>
      <c r="K7" s="44"/>
      <c r="L7" s="31"/>
      <c r="M7" s="31"/>
      <c r="N7" s="31"/>
      <c r="O7" s="31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3:14" ht="11.25" customHeight="1">
      <c r="C8" s="1"/>
      <c r="L8" s="1"/>
      <c r="N8" s="1"/>
    </row>
    <row r="9" spans="3:14" ht="11.25" customHeight="1">
      <c r="C9" s="17"/>
      <c r="L9" s="17"/>
      <c r="N9" s="17"/>
    </row>
    <row r="10" spans="4:8" ht="48">
      <c r="D10" s="36" t="s">
        <v>38</v>
      </c>
      <c r="E10" s="36" t="s">
        <v>67</v>
      </c>
      <c r="F10" s="36" t="s">
        <v>68</v>
      </c>
      <c r="G10" s="36" t="s">
        <v>39</v>
      </c>
      <c r="H10" s="36" t="s">
        <v>33</v>
      </c>
    </row>
    <row r="11" spans="3:13" ht="12" customHeight="1">
      <c r="C11" s="23" t="s">
        <v>54</v>
      </c>
      <c r="D11" s="76">
        <v>59.790301342722586</v>
      </c>
      <c r="E11" s="76">
        <v>29.74065284700519</v>
      </c>
      <c r="F11" s="76">
        <v>6.76893059216105</v>
      </c>
      <c r="G11" s="76">
        <v>1.724540823520325</v>
      </c>
      <c r="H11" s="77">
        <v>1.9755743945908364</v>
      </c>
      <c r="I11" s="66"/>
      <c r="J11" s="66"/>
      <c r="K11" s="66"/>
      <c r="M11" s="66"/>
    </row>
    <row r="12" spans="3:11" ht="12" customHeight="1">
      <c r="C12" s="23" t="s">
        <v>73</v>
      </c>
      <c r="D12" s="76">
        <v>56.62001011381299</v>
      </c>
      <c r="E12" s="76">
        <v>33.08183401820303</v>
      </c>
      <c r="F12" s="76">
        <v>6.821828317965696</v>
      </c>
      <c r="G12" s="76">
        <v>1.5160351921310624</v>
      </c>
      <c r="H12" s="76">
        <v>1.9602923578872264</v>
      </c>
      <c r="I12" s="66"/>
      <c r="J12" s="66"/>
      <c r="K12" s="66"/>
    </row>
    <row r="13" spans="4:13" ht="12" customHeight="1">
      <c r="D13" s="66"/>
      <c r="E13" s="66"/>
      <c r="F13" s="66"/>
      <c r="G13" s="66"/>
      <c r="H13" s="66"/>
      <c r="I13" s="66"/>
      <c r="J13" s="66"/>
      <c r="K13" s="66"/>
      <c r="M13" s="66"/>
    </row>
    <row r="14" spans="1:17" ht="12" customHeight="1">
      <c r="A14" s="6" t="s">
        <v>50</v>
      </c>
      <c r="C14" s="17" t="s">
        <v>158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5" ht="12" customHeight="1">
      <c r="A15" s="17"/>
      <c r="B15" s="17"/>
      <c r="C15" s="29" t="s">
        <v>152</v>
      </c>
      <c r="L15" s="30"/>
      <c r="M15" s="17"/>
      <c r="N15" s="29"/>
      <c r="O15" s="17"/>
    </row>
    <row r="16" spans="10:16" ht="11.25" customHeight="1">
      <c r="J16" s="17"/>
      <c r="K16" s="17"/>
      <c r="P16" s="17"/>
    </row>
    <row r="17" ht="12">
      <c r="R17" s="24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45.75" customHeight="1"/>
    <row r="41" ht="12">
      <c r="C41" s="17" t="s">
        <v>158</v>
      </c>
    </row>
    <row r="42" ht="12">
      <c r="C42" s="29" t="s">
        <v>152</v>
      </c>
    </row>
    <row r="44" spans="3:8" ht="12">
      <c r="C44" s="31"/>
      <c r="D44" s="36"/>
      <c r="E44" s="36"/>
      <c r="F44" s="36"/>
      <c r="G44" s="36"/>
      <c r="H44" s="36"/>
    </row>
    <row r="45" spans="3:8" ht="12">
      <c r="C45" s="31"/>
      <c r="D45" s="38"/>
      <c r="E45" s="37"/>
      <c r="F45" s="37"/>
      <c r="G45" s="38"/>
      <c r="H45" s="38"/>
    </row>
    <row r="46" spans="3:8" ht="12">
      <c r="C46" s="31"/>
      <c r="D46" s="36"/>
      <c r="E46" s="36"/>
      <c r="F46" s="36"/>
      <c r="G46" s="36"/>
      <c r="H46" s="36"/>
    </row>
    <row r="47" spans="7:12" ht="12">
      <c r="G47" s="38"/>
      <c r="H47" s="38"/>
      <c r="I47" s="38"/>
      <c r="J47" s="38"/>
      <c r="K47" s="38"/>
      <c r="L47" s="38"/>
    </row>
    <row r="48" spans="7:12" ht="12">
      <c r="G48" s="38"/>
      <c r="H48" s="38"/>
      <c r="I48" s="38"/>
      <c r="J48" s="38"/>
      <c r="K48" s="38"/>
      <c r="L48" s="38"/>
    </row>
    <row r="49" spans="7:12" ht="12">
      <c r="G49" s="38"/>
      <c r="H49" s="38"/>
      <c r="I49" s="38"/>
      <c r="J49" s="38"/>
      <c r="K49" s="38"/>
      <c r="L49" s="38"/>
    </row>
    <row r="50" spans="1:12" ht="12">
      <c r="A50" s="1" t="s">
        <v>47</v>
      </c>
      <c r="G50" s="38"/>
      <c r="H50" s="38"/>
      <c r="I50" s="38"/>
      <c r="J50" s="38"/>
      <c r="K50" s="38"/>
      <c r="L50" s="38"/>
    </row>
    <row r="51" spans="1:12" ht="12">
      <c r="A51" s="25" t="s">
        <v>62</v>
      </c>
      <c r="G51" s="38"/>
      <c r="H51" s="38"/>
      <c r="I51" s="38"/>
      <c r="J51" s="38"/>
      <c r="K51" s="38"/>
      <c r="L51" s="38"/>
    </row>
    <row r="52" spans="7:12" ht="12">
      <c r="G52" s="38"/>
      <c r="H52" s="38"/>
      <c r="I52" s="38"/>
      <c r="J52" s="38"/>
      <c r="K52" s="38"/>
      <c r="L52" s="38"/>
    </row>
    <row r="53" spans="7:12" ht="12">
      <c r="G53" s="38"/>
      <c r="H53" s="38"/>
      <c r="I53" s="38"/>
      <c r="J53" s="38"/>
      <c r="K53" s="38"/>
      <c r="L53" s="38"/>
    </row>
    <row r="54" spans="7:12" ht="12">
      <c r="G54" s="38"/>
      <c r="H54" s="38"/>
      <c r="I54" s="38"/>
      <c r="J54" s="38"/>
      <c r="K54" s="38"/>
      <c r="L54" s="38"/>
    </row>
    <row r="55" spans="7:12" ht="12">
      <c r="G55" s="38"/>
      <c r="H55" s="38"/>
      <c r="I55" s="38"/>
      <c r="J55" s="38"/>
      <c r="K55" s="38"/>
      <c r="L55" s="38"/>
    </row>
    <row r="56" spans="7:12" ht="12">
      <c r="G56" s="38"/>
      <c r="H56" s="38"/>
      <c r="I56" s="38"/>
      <c r="J56" s="38"/>
      <c r="K56" s="38"/>
      <c r="L56" s="38"/>
    </row>
    <row r="57" spans="7:12" ht="12">
      <c r="G57" s="38"/>
      <c r="H57" s="38"/>
      <c r="I57" s="38"/>
      <c r="J57" s="38"/>
      <c r="K57" s="38"/>
      <c r="L57" s="38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B82"/>
  <sheetViews>
    <sheetView showGridLines="0" workbookViewId="0" topLeftCell="A3">
      <selection activeCell="D45" sqref="D45:H45"/>
    </sheetView>
  </sheetViews>
  <sheetFormatPr defaultColWidth="9.140625" defaultRowHeight="12"/>
  <cols>
    <col min="1" max="2" width="9.28125" style="23" customWidth="1"/>
    <col min="3" max="3" width="16.57421875" style="23" customWidth="1"/>
    <col min="4" max="8" width="17.57421875" style="23" customWidth="1"/>
    <col min="9" max="9" width="9.140625" style="23" customWidth="1"/>
    <col min="10" max="10" width="18.7109375" style="23" customWidth="1"/>
    <col min="11" max="11" width="10.7109375" style="23" customWidth="1"/>
    <col min="12" max="12" width="9.140625" style="23" customWidth="1"/>
    <col min="13" max="13" width="25.8515625" style="23" customWidth="1"/>
    <col min="14" max="15" width="9.140625" style="23" customWidth="1"/>
    <col min="16" max="16" width="18.00390625" style="23" customWidth="1"/>
    <col min="17" max="18" width="9.140625" style="23" customWidth="1"/>
    <col min="19" max="19" width="19.57421875" style="23" customWidth="1"/>
    <col min="20" max="20" width="9.140625" style="23" customWidth="1"/>
    <col min="21" max="21" width="15.8515625" style="23" customWidth="1"/>
    <col min="22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22" ht="11.25" customHeight="1">
      <c r="C3" s="1" t="s">
        <v>36</v>
      </c>
      <c r="T3" s="1"/>
      <c r="U3" s="1"/>
      <c r="V3" s="1"/>
    </row>
    <row r="4" spans="3:22" ht="11.25" customHeight="1">
      <c r="C4" s="1" t="s">
        <v>37</v>
      </c>
      <c r="T4" s="1"/>
      <c r="U4" s="1"/>
      <c r="V4" s="1"/>
    </row>
    <row r="5" ht="11.25" customHeight="1">
      <c r="C5" s="1"/>
    </row>
    <row r="6" spans="1:28" ht="12">
      <c r="A6" s="17"/>
      <c r="C6" s="57" t="s">
        <v>859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57"/>
      <c r="U6" s="57"/>
      <c r="V6" s="57"/>
      <c r="W6" s="57"/>
      <c r="X6" s="64"/>
      <c r="Y6" s="64"/>
      <c r="Z6" s="64"/>
      <c r="AA6" s="64"/>
      <c r="AB6" s="64"/>
    </row>
    <row r="7" spans="1:24" ht="11.25" customHeight="1">
      <c r="A7" s="17"/>
      <c r="C7" s="31" t="s">
        <v>48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31"/>
      <c r="U7" s="31"/>
      <c r="V7" s="31"/>
      <c r="W7" s="31"/>
      <c r="X7" s="44"/>
    </row>
    <row r="8" spans="3:22" ht="12">
      <c r="C8" s="17"/>
      <c r="T8" s="17"/>
      <c r="V8" s="17"/>
    </row>
    <row r="9" spans="3:22" ht="12">
      <c r="C9" s="17"/>
      <c r="D9" s="66"/>
      <c r="E9" s="66"/>
      <c r="F9" s="66"/>
      <c r="G9" s="66"/>
      <c r="T9" s="17"/>
      <c r="V9" s="17"/>
    </row>
    <row r="10" spans="3:22" ht="60">
      <c r="C10" s="17"/>
      <c r="D10" s="36" t="s">
        <v>38</v>
      </c>
      <c r="E10" s="36" t="s">
        <v>67</v>
      </c>
      <c r="F10" s="36" t="s">
        <v>68</v>
      </c>
      <c r="G10" s="36" t="s">
        <v>39</v>
      </c>
      <c r="H10" s="36" t="s">
        <v>33</v>
      </c>
      <c r="T10" s="17"/>
      <c r="V10" s="17"/>
    </row>
    <row r="11" spans="3:22" s="78" customFormat="1" ht="12" customHeight="1">
      <c r="C11" s="21" t="s">
        <v>54</v>
      </c>
      <c r="D11" s="76">
        <v>59.790301342722586</v>
      </c>
      <c r="E11" s="76">
        <v>29.74065284700519</v>
      </c>
      <c r="F11" s="76">
        <v>6.76893059216105</v>
      </c>
      <c r="G11" s="76">
        <v>1.724540823520325</v>
      </c>
      <c r="H11" s="77">
        <v>1.9755743945908364</v>
      </c>
      <c r="N11" s="79"/>
      <c r="O11" s="79"/>
      <c r="P11" s="79"/>
      <c r="Q11" s="79"/>
      <c r="R11" s="79"/>
      <c r="T11" s="21"/>
      <c r="V11" s="21"/>
    </row>
    <row r="12" spans="3:22" s="78" customFormat="1" ht="12" customHeight="1">
      <c r="C12" s="21" t="s">
        <v>72</v>
      </c>
      <c r="D12" s="76">
        <v>56.62001011381299</v>
      </c>
      <c r="E12" s="76">
        <v>33.08183401820303</v>
      </c>
      <c r="F12" s="76">
        <v>6.821828317965696</v>
      </c>
      <c r="G12" s="76">
        <v>1.5160351921310624</v>
      </c>
      <c r="H12" s="77">
        <v>1.9602923578872264</v>
      </c>
      <c r="N12" s="79"/>
      <c r="O12" s="79"/>
      <c r="P12" s="79"/>
      <c r="Q12" s="79"/>
      <c r="R12" s="79"/>
      <c r="T12" s="21"/>
      <c r="V12" s="21"/>
    </row>
    <row r="13" spans="3:22" s="78" customFormat="1" ht="12" customHeight="1">
      <c r="C13" s="21"/>
      <c r="D13" s="76"/>
      <c r="E13" s="76"/>
      <c r="F13" s="76"/>
      <c r="G13" s="76"/>
      <c r="H13" s="77"/>
      <c r="N13" s="79"/>
      <c r="O13" s="79"/>
      <c r="P13" s="79"/>
      <c r="Q13" s="79"/>
      <c r="R13" s="79"/>
      <c r="T13" s="21"/>
      <c r="V13" s="21"/>
    </row>
    <row r="14" spans="3:22" s="78" customFormat="1" ht="12" customHeight="1">
      <c r="C14" s="21" t="s">
        <v>1</v>
      </c>
      <c r="D14" s="76">
        <v>60.00944516347484</v>
      </c>
      <c r="E14" s="76">
        <v>30.89406046241204</v>
      </c>
      <c r="F14" s="76">
        <v>5.733526097833182</v>
      </c>
      <c r="G14" s="76">
        <v>1.7163465929468689</v>
      </c>
      <c r="H14" s="77">
        <v>1.6466216833330805</v>
      </c>
      <c r="N14" s="79"/>
      <c r="O14" s="79"/>
      <c r="P14" s="79"/>
      <c r="Q14" s="79"/>
      <c r="R14" s="79"/>
      <c r="T14" s="21"/>
      <c r="V14" s="21"/>
    </row>
    <row r="15" spans="3:22" s="78" customFormat="1" ht="12" customHeight="1">
      <c r="C15" s="21" t="s">
        <v>22</v>
      </c>
      <c r="D15" s="76">
        <v>58.85850459208248</v>
      </c>
      <c r="E15" s="76">
        <v>23.721661647634757</v>
      </c>
      <c r="F15" s="76">
        <v>7.599846513083065</v>
      </c>
      <c r="G15" s="76">
        <v>2.2016491456153964</v>
      </c>
      <c r="H15" s="77">
        <v>7.6183381015843</v>
      </c>
      <c r="N15" s="79"/>
      <c r="O15" s="79"/>
      <c r="P15" s="79"/>
      <c r="Q15" s="79"/>
      <c r="R15" s="79"/>
      <c r="T15" s="21"/>
      <c r="V15" s="21"/>
    </row>
    <row r="16" spans="3:22" s="78" customFormat="1" ht="12" customHeight="1">
      <c r="C16" s="21" t="s">
        <v>35</v>
      </c>
      <c r="D16" s="76">
        <v>49.90413549111711</v>
      </c>
      <c r="E16" s="76">
        <v>37.18798746221479</v>
      </c>
      <c r="F16" s="76">
        <v>8.019178777027378</v>
      </c>
      <c r="G16" s="76">
        <v>1.506757028023967</v>
      </c>
      <c r="H16" s="77">
        <v>3.381941241616744</v>
      </c>
      <c r="N16" s="79"/>
      <c r="O16" s="79"/>
      <c r="P16" s="79"/>
      <c r="Q16" s="79"/>
      <c r="R16" s="79"/>
      <c r="T16" s="21"/>
      <c r="V16" s="21"/>
    </row>
    <row r="17" spans="2:22" s="78" customFormat="1" ht="12" customHeight="1">
      <c r="B17" s="39"/>
      <c r="C17" s="21" t="s">
        <v>4</v>
      </c>
      <c r="D17" s="76">
        <v>87.61060620620161</v>
      </c>
      <c r="E17" s="76">
        <v>1.7083407900965957</v>
      </c>
      <c r="F17" s="76">
        <v>6.745292541679267</v>
      </c>
      <c r="G17" s="76">
        <v>1.9388759932188269</v>
      </c>
      <c r="H17" s="77">
        <v>1.9968844688036995</v>
      </c>
      <c r="N17" s="79"/>
      <c r="O17" s="79"/>
      <c r="P17" s="79"/>
      <c r="Q17" s="79"/>
      <c r="R17" s="79"/>
      <c r="T17" s="21"/>
      <c r="V17" s="21"/>
    </row>
    <row r="18" spans="2:22" s="78" customFormat="1" ht="12" customHeight="1">
      <c r="B18" s="39"/>
      <c r="C18" s="21" t="s">
        <v>9</v>
      </c>
      <c r="D18" s="76">
        <v>52.44519404353552</v>
      </c>
      <c r="E18" s="76">
        <v>37.168020963456364</v>
      </c>
      <c r="F18" s="76">
        <v>7.385427305390197</v>
      </c>
      <c r="G18" s="76">
        <v>1.1477953513101482</v>
      </c>
      <c r="H18" s="77">
        <v>1.8535623363077747</v>
      </c>
      <c r="N18" s="79"/>
      <c r="O18" s="79"/>
      <c r="P18" s="79"/>
      <c r="Q18" s="79"/>
      <c r="R18" s="79"/>
      <c r="T18" s="21"/>
      <c r="V18" s="21"/>
    </row>
    <row r="19" spans="2:22" s="78" customFormat="1" ht="12" customHeight="1">
      <c r="B19" s="39"/>
      <c r="C19" s="21" t="s">
        <v>18</v>
      </c>
      <c r="D19" s="76">
        <v>55.09823995817722</v>
      </c>
      <c r="E19" s="76">
        <v>29.38485666986146</v>
      </c>
      <c r="F19" s="76">
        <v>7.8341465539775195</v>
      </c>
      <c r="G19" s="76">
        <v>2.494118672126862</v>
      </c>
      <c r="H19" s="77">
        <v>5.188638145856942</v>
      </c>
      <c r="N19" s="79"/>
      <c r="O19" s="79"/>
      <c r="P19" s="79"/>
      <c r="Q19" s="79"/>
      <c r="R19" s="79"/>
      <c r="T19" s="21"/>
      <c r="V19" s="21"/>
    </row>
    <row r="20" spans="2:22" s="78" customFormat="1" ht="12" customHeight="1">
      <c r="B20" s="39"/>
      <c r="C20" s="21" t="s">
        <v>25</v>
      </c>
      <c r="D20" s="76">
        <v>73.06741539263952</v>
      </c>
      <c r="E20" s="76">
        <v>16.594541025387624</v>
      </c>
      <c r="F20" s="76">
        <v>7.223995559722145</v>
      </c>
      <c r="G20" s="76">
        <v>2.3234024245922518</v>
      </c>
      <c r="H20" s="77">
        <v>0.7906455976584681</v>
      </c>
      <c r="N20" s="79"/>
      <c r="O20" s="79"/>
      <c r="P20" s="79"/>
      <c r="Q20" s="79"/>
      <c r="R20" s="79"/>
      <c r="T20" s="21"/>
      <c r="V20" s="21"/>
    </row>
    <row r="21" spans="2:22" s="78" customFormat="1" ht="12" customHeight="1">
      <c r="B21" s="39"/>
      <c r="C21" s="21" t="s">
        <v>13</v>
      </c>
      <c r="D21" s="76">
        <v>56.48220706186042</v>
      </c>
      <c r="E21" s="76">
        <v>29.894210380750437</v>
      </c>
      <c r="F21" s="76">
        <v>6.3047386374112655</v>
      </c>
      <c r="G21" s="76">
        <v>0.9760763344703605</v>
      </c>
      <c r="H21" s="77">
        <v>6.3427675855075165</v>
      </c>
      <c r="N21" s="79"/>
      <c r="O21" s="79"/>
      <c r="P21" s="79"/>
      <c r="Q21" s="79"/>
      <c r="R21" s="79"/>
      <c r="T21" s="21"/>
      <c r="V21" s="21"/>
    </row>
    <row r="22" spans="2:22" s="78" customFormat="1" ht="12" customHeight="1">
      <c r="B22" s="39"/>
      <c r="C22" s="21" t="s">
        <v>11</v>
      </c>
      <c r="D22" s="76">
        <v>58.79745816698746</v>
      </c>
      <c r="E22" s="76">
        <v>32.39816911849721</v>
      </c>
      <c r="F22" s="76">
        <v>5.532771554685003</v>
      </c>
      <c r="G22" s="76">
        <v>1.64180830153775</v>
      </c>
      <c r="H22" s="77">
        <v>1.629792858292575</v>
      </c>
      <c r="N22" s="79"/>
      <c r="O22" s="79"/>
      <c r="P22" s="79"/>
      <c r="Q22" s="79"/>
      <c r="R22" s="79"/>
      <c r="T22" s="21"/>
      <c r="V22" s="21"/>
    </row>
    <row r="23" spans="2:22" s="78" customFormat="1" ht="12" customHeight="1">
      <c r="B23" s="39"/>
      <c r="C23" s="21" t="s">
        <v>10</v>
      </c>
      <c r="D23" s="76">
        <v>55.24550809787711</v>
      </c>
      <c r="E23" s="76">
        <v>34.99209399265135</v>
      </c>
      <c r="F23" s="76">
        <v>6.9323799069776495</v>
      </c>
      <c r="G23" s="76">
        <v>1.2388376830571302</v>
      </c>
      <c r="H23" s="77">
        <v>1.5911803194367735</v>
      </c>
      <c r="N23" s="79"/>
      <c r="O23" s="79"/>
      <c r="P23" s="79"/>
      <c r="Q23" s="79"/>
      <c r="R23" s="79"/>
      <c r="T23" s="21"/>
      <c r="V23" s="21"/>
    </row>
    <row r="24" spans="2:22" s="78" customFormat="1" ht="12" customHeight="1">
      <c r="B24" s="39"/>
      <c r="C24" s="21" t="s">
        <v>23</v>
      </c>
      <c r="D24" s="76">
        <v>56.556761131812735</v>
      </c>
      <c r="E24" s="76">
        <v>25.92025303321383</v>
      </c>
      <c r="F24" s="76">
        <v>8.684968258101422</v>
      </c>
      <c r="G24" s="76">
        <v>2.6667523390010732</v>
      </c>
      <c r="H24" s="77">
        <v>6.171265237870941</v>
      </c>
      <c r="N24" s="79"/>
      <c r="O24" s="79"/>
      <c r="P24" s="79"/>
      <c r="Q24" s="79"/>
      <c r="R24" s="79"/>
      <c r="T24" s="21"/>
      <c r="V24" s="21"/>
    </row>
    <row r="25" spans="2:22" s="78" customFormat="1" ht="12" customHeight="1">
      <c r="B25" s="39"/>
      <c r="C25" s="21" t="s">
        <v>12</v>
      </c>
      <c r="D25" s="76">
        <v>62.8348510078659</v>
      </c>
      <c r="E25" s="76">
        <v>28.283752631552627</v>
      </c>
      <c r="F25" s="76">
        <v>4.771548728103732</v>
      </c>
      <c r="G25" s="76">
        <v>1.4669186956499998</v>
      </c>
      <c r="H25" s="77">
        <v>2.6429289368277438</v>
      </c>
      <c r="N25" s="79"/>
      <c r="O25" s="79"/>
      <c r="P25" s="79"/>
      <c r="Q25" s="79"/>
      <c r="R25" s="79"/>
      <c r="T25" s="21"/>
      <c r="V25" s="21"/>
    </row>
    <row r="26" spans="2:22" s="78" customFormat="1" ht="12" customHeight="1">
      <c r="B26" s="39"/>
      <c r="C26" s="21" t="s">
        <v>14</v>
      </c>
      <c r="D26" s="76">
        <v>63.50543655185884</v>
      </c>
      <c r="E26" s="76">
        <v>22.230613972263818</v>
      </c>
      <c r="F26" s="76">
        <v>8.2349111270265</v>
      </c>
      <c r="G26" s="76">
        <v>1.8985611042385573</v>
      </c>
      <c r="H26" s="77">
        <v>4.13047724461228</v>
      </c>
      <c r="N26" s="79"/>
      <c r="O26" s="79"/>
      <c r="P26" s="79"/>
      <c r="Q26" s="79"/>
      <c r="R26" s="79"/>
      <c r="T26" s="21"/>
      <c r="V26" s="21"/>
    </row>
    <row r="27" spans="2:22" s="78" customFormat="1" ht="12" customHeight="1">
      <c r="B27" s="39"/>
      <c r="C27" s="21" t="s">
        <v>7</v>
      </c>
      <c r="D27" s="76">
        <v>60.12502243878056</v>
      </c>
      <c r="E27" s="76">
        <v>23.296264302553112</v>
      </c>
      <c r="F27" s="76">
        <v>8.92036985060979</v>
      </c>
      <c r="G27" s="76">
        <v>2.2303899934444047</v>
      </c>
      <c r="H27" s="77">
        <v>5.4279534146121335</v>
      </c>
      <c r="N27" s="79"/>
      <c r="O27" s="79"/>
      <c r="P27" s="79"/>
      <c r="Q27" s="79"/>
      <c r="R27" s="79"/>
      <c r="T27" s="21"/>
      <c r="V27" s="21"/>
    </row>
    <row r="28" spans="2:22" s="78" customFormat="1" ht="12" customHeight="1">
      <c r="B28" s="39"/>
      <c r="C28" s="21" t="s">
        <v>6</v>
      </c>
      <c r="D28" s="76">
        <v>50.7491376242496</v>
      </c>
      <c r="E28" s="76">
        <v>37.469315315909434</v>
      </c>
      <c r="F28" s="76">
        <v>5.7817971585711145</v>
      </c>
      <c r="G28" s="76">
        <v>1.053384000502171</v>
      </c>
      <c r="H28" s="77">
        <v>4.946365900767674</v>
      </c>
      <c r="N28" s="79"/>
      <c r="O28" s="79"/>
      <c r="P28" s="79"/>
      <c r="Q28" s="79"/>
      <c r="R28" s="79"/>
      <c r="T28" s="21"/>
      <c r="V28" s="21"/>
    </row>
    <row r="29" spans="2:22" s="78" customFormat="1" ht="12" customHeight="1">
      <c r="B29" s="39"/>
      <c r="C29" s="21" t="s">
        <v>0</v>
      </c>
      <c r="D29" s="76">
        <v>61.9492239135353</v>
      </c>
      <c r="E29" s="76">
        <v>28.147790388954192</v>
      </c>
      <c r="F29" s="76">
        <v>6.260827933430116</v>
      </c>
      <c r="G29" s="76">
        <v>3.0077907601249185</v>
      </c>
      <c r="H29" s="77">
        <v>0.634367003955461</v>
      </c>
      <c r="N29" s="79"/>
      <c r="O29" s="79"/>
      <c r="P29" s="79"/>
      <c r="Q29" s="79"/>
      <c r="R29" s="79"/>
      <c r="T29" s="21"/>
      <c r="V29" s="21"/>
    </row>
    <row r="30" spans="2:22" s="78" customFormat="1" ht="12" customHeight="1">
      <c r="B30" s="39"/>
      <c r="C30" s="21" t="s">
        <v>20</v>
      </c>
      <c r="D30" s="76">
        <v>57.267262438589306</v>
      </c>
      <c r="E30" s="76">
        <v>28.800128148132163</v>
      </c>
      <c r="F30" s="76">
        <v>7.337983412434333</v>
      </c>
      <c r="G30" s="76">
        <v>0.8303948639000219</v>
      </c>
      <c r="H30" s="77">
        <v>5.7642311369441614</v>
      </c>
      <c r="N30" s="79"/>
      <c r="O30" s="79"/>
      <c r="P30" s="79"/>
      <c r="Q30" s="79"/>
      <c r="R30" s="79"/>
      <c r="T30" s="21"/>
      <c r="V30" s="21"/>
    </row>
    <row r="31" spans="2:22" s="78" customFormat="1" ht="12" customHeight="1">
      <c r="B31" s="39"/>
      <c r="C31" s="21" t="s">
        <v>16</v>
      </c>
      <c r="D31" s="76">
        <v>66.68581224535203</v>
      </c>
      <c r="E31" s="76">
        <v>15.639101914813732</v>
      </c>
      <c r="F31" s="76">
        <v>13.462207278238983</v>
      </c>
      <c r="G31" s="76">
        <v>1.8961876712138277</v>
      </c>
      <c r="H31" s="77">
        <v>2.3166908903814374</v>
      </c>
      <c r="N31" s="79"/>
      <c r="O31" s="79"/>
      <c r="P31" s="79"/>
      <c r="Q31" s="79"/>
      <c r="R31" s="79"/>
      <c r="T31" s="21"/>
      <c r="V31" s="21"/>
    </row>
    <row r="32" spans="2:22" s="78" customFormat="1" ht="12" customHeight="1">
      <c r="B32" s="39"/>
      <c r="C32" s="21" t="s">
        <v>2</v>
      </c>
      <c r="D32" s="76">
        <v>56.315521405872595</v>
      </c>
      <c r="E32" s="76">
        <v>32.93014070599852</v>
      </c>
      <c r="F32" s="76">
        <v>7.336835099319123</v>
      </c>
      <c r="G32" s="76">
        <v>2.261045092788466</v>
      </c>
      <c r="H32" s="77">
        <v>1.156457696021306</v>
      </c>
      <c r="N32" s="79"/>
      <c r="O32" s="79"/>
      <c r="P32" s="79"/>
      <c r="Q32" s="79"/>
      <c r="R32" s="79"/>
      <c r="T32" s="21"/>
      <c r="V32" s="21"/>
    </row>
    <row r="33" spans="2:22" s="78" customFormat="1" ht="12" customHeight="1">
      <c r="B33" s="39"/>
      <c r="C33" s="21" t="s">
        <v>26</v>
      </c>
      <c r="D33" s="76">
        <v>56.113679503289774</v>
      </c>
      <c r="E33" s="76">
        <v>31.330088217454456</v>
      </c>
      <c r="F33" s="76">
        <v>8.747294453644669</v>
      </c>
      <c r="G33" s="76">
        <v>1.735317849520307</v>
      </c>
      <c r="H33" s="77">
        <v>2.0736199760907823</v>
      </c>
      <c r="N33" s="79"/>
      <c r="O33" s="79"/>
      <c r="P33" s="79"/>
      <c r="Q33" s="79"/>
      <c r="R33" s="79"/>
      <c r="T33" s="21"/>
      <c r="V33" s="21"/>
    </row>
    <row r="34" spans="2:22" s="78" customFormat="1" ht="12" customHeight="1">
      <c r="B34" s="39"/>
      <c r="C34" s="21" t="s">
        <v>21</v>
      </c>
      <c r="D34" s="76">
        <v>53.19116913661972</v>
      </c>
      <c r="E34" s="76">
        <v>35.133408076038585</v>
      </c>
      <c r="F34" s="76">
        <v>5.886051812255507</v>
      </c>
      <c r="G34" s="76">
        <v>1.4475340646894288</v>
      </c>
      <c r="H34" s="77">
        <v>4.341836910396751</v>
      </c>
      <c r="N34" s="79"/>
      <c r="O34" s="79"/>
      <c r="P34" s="79"/>
      <c r="Q34" s="79"/>
      <c r="R34" s="79"/>
      <c r="T34" s="21"/>
      <c r="V34" s="21"/>
    </row>
    <row r="35" spans="2:22" s="78" customFormat="1" ht="12" customHeight="1">
      <c r="B35" s="39"/>
      <c r="C35" s="21" t="s">
        <v>17</v>
      </c>
      <c r="D35" s="76">
        <v>58.83903233698412</v>
      </c>
      <c r="E35" s="76">
        <v>27.40717155936213</v>
      </c>
      <c r="F35" s="76">
        <v>8.150974837402362</v>
      </c>
      <c r="G35" s="76">
        <v>1.4500908631285605</v>
      </c>
      <c r="H35" s="77">
        <v>4.152730403122831</v>
      </c>
      <c r="N35" s="79"/>
      <c r="O35" s="79"/>
      <c r="P35" s="79"/>
      <c r="Q35" s="79"/>
      <c r="R35" s="79"/>
      <c r="T35" s="21"/>
      <c r="V35" s="21"/>
    </row>
    <row r="36" spans="1:22" s="78" customFormat="1" ht="12" customHeight="1">
      <c r="A36" s="80"/>
      <c r="B36" s="39"/>
      <c r="C36" s="21" t="s">
        <v>27</v>
      </c>
      <c r="D36" s="76">
        <v>53.653815261044194</v>
      </c>
      <c r="E36" s="76">
        <v>30.6627653471027</v>
      </c>
      <c r="F36" s="76">
        <v>6.611512717536813</v>
      </c>
      <c r="G36" s="76">
        <v>3.026659017020463</v>
      </c>
      <c r="H36" s="77">
        <v>6.045247657295832</v>
      </c>
      <c r="N36" s="79"/>
      <c r="O36" s="79"/>
      <c r="P36" s="79"/>
      <c r="Q36" s="79"/>
      <c r="R36" s="79"/>
      <c r="T36" s="21"/>
      <c r="V36" s="21"/>
    </row>
    <row r="37" spans="1:22" s="78" customFormat="1" ht="12" customHeight="1">
      <c r="A37" s="80"/>
      <c r="B37" s="39"/>
      <c r="C37" s="21" t="s">
        <v>15</v>
      </c>
      <c r="D37" s="76">
        <v>50.19224502746204</v>
      </c>
      <c r="E37" s="76">
        <v>34.14527871509362</v>
      </c>
      <c r="F37" s="76">
        <v>8.84605819981049</v>
      </c>
      <c r="G37" s="76">
        <v>2.9322860168673976</v>
      </c>
      <c r="H37" s="77">
        <v>3.8841320407664597</v>
      </c>
      <c r="N37" s="79"/>
      <c r="O37" s="79"/>
      <c r="P37" s="79"/>
      <c r="Q37" s="79"/>
      <c r="R37" s="79"/>
      <c r="T37" s="21"/>
      <c r="V37" s="21"/>
    </row>
    <row r="38" spans="1:22" s="78" customFormat="1" ht="12" customHeight="1">
      <c r="A38" s="80"/>
      <c r="B38" s="39"/>
      <c r="C38" s="21" t="s">
        <v>19</v>
      </c>
      <c r="D38" s="76">
        <v>45.849917891589534</v>
      </c>
      <c r="E38" s="76">
        <v>37.45169928716866</v>
      </c>
      <c r="F38" s="76">
        <v>10.750391418234578</v>
      </c>
      <c r="G38" s="76">
        <v>1.9615927403119116</v>
      </c>
      <c r="H38" s="77">
        <v>3.986398662695308</v>
      </c>
      <c r="N38" s="79"/>
      <c r="O38" s="79"/>
      <c r="P38" s="79"/>
      <c r="Q38" s="79"/>
      <c r="R38" s="79"/>
      <c r="T38" s="21"/>
      <c r="V38" s="21"/>
    </row>
    <row r="39" spans="1:22" s="78" customFormat="1" ht="12">
      <c r="A39" s="80"/>
      <c r="B39" s="39"/>
      <c r="C39" s="21" t="s">
        <v>5</v>
      </c>
      <c r="D39" s="76">
        <v>58.58531453818641</v>
      </c>
      <c r="E39" s="76">
        <v>23.00357668840732</v>
      </c>
      <c r="F39" s="76">
        <v>12.45276667367978</v>
      </c>
      <c r="G39" s="76">
        <v>5.256469598148538</v>
      </c>
      <c r="H39" s="77">
        <v>0.7018725015779523</v>
      </c>
      <c r="N39" s="79"/>
      <c r="O39" s="79"/>
      <c r="P39" s="79"/>
      <c r="Q39" s="79"/>
      <c r="R39" s="79"/>
      <c r="T39" s="21"/>
      <c r="V39" s="21"/>
    </row>
    <row r="40" spans="1:22" s="78" customFormat="1" ht="12" customHeight="1">
      <c r="A40" s="80"/>
      <c r="B40" s="39"/>
      <c r="C40" s="21" t="s">
        <v>3</v>
      </c>
      <c r="D40" s="76">
        <v>81.51045138542825</v>
      </c>
      <c r="E40" s="76">
        <v>6.588383207542203</v>
      </c>
      <c r="F40" s="76">
        <v>7.336873864999864</v>
      </c>
      <c r="G40" s="76">
        <v>2.960265880725589</v>
      </c>
      <c r="H40" s="77">
        <v>1.6040256613040924</v>
      </c>
      <c r="K40" s="39" t="s">
        <v>158</v>
      </c>
      <c r="N40" s="79"/>
      <c r="O40" s="79"/>
      <c r="P40" s="79"/>
      <c r="Q40" s="79"/>
      <c r="R40" s="79"/>
      <c r="T40" s="21"/>
      <c r="V40" s="21"/>
    </row>
    <row r="41" spans="1:22" s="78" customFormat="1" ht="12" customHeight="1">
      <c r="A41" s="80"/>
      <c r="B41" s="39"/>
      <c r="C41" s="21" t="s">
        <v>34</v>
      </c>
      <c r="D41" s="76">
        <v>70.17759924350071</v>
      </c>
      <c r="E41" s="76">
        <v>20.101410033397837</v>
      </c>
      <c r="F41" s="76">
        <v>6.306459967116361</v>
      </c>
      <c r="G41" s="76">
        <v>2.5583270730676473</v>
      </c>
      <c r="H41" s="77">
        <v>0.8562036829174389</v>
      </c>
      <c r="K41" s="40" t="s">
        <v>152</v>
      </c>
      <c r="N41" s="79"/>
      <c r="O41" s="79"/>
      <c r="P41" s="79"/>
      <c r="Q41" s="79"/>
      <c r="R41" s="79"/>
      <c r="T41" s="21"/>
      <c r="V41" s="21"/>
    </row>
    <row r="42" spans="1:22" s="78" customFormat="1" ht="12" customHeight="1">
      <c r="A42" s="80"/>
      <c r="B42" s="39"/>
      <c r="C42" s="21"/>
      <c r="D42" s="76"/>
      <c r="E42" s="76"/>
      <c r="F42" s="76"/>
      <c r="G42" s="76"/>
      <c r="H42" s="77"/>
      <c r="N42" s="79"/>
      <c r="O42" s="79"/>
      <c r="P42" s="79"/>
      <c r="Q42" s="79"/>
      <c r="R42" s="79"/>
      <c r="T42" s="21"/>
      <c r="V42" s="21"/>
    </row>
    <row r="43" spans="1:23" s="78" customFormat="1" ht="12" customHeight="1">
      <c r="A43" s="80"/>
      <c r="B43" s="39"/>
      <c r="C43" s="21" t="s">
        <v>78</v>
      </c>
      <c r="D43" s="76">
        <v>78.72364412779335</v>
      </c>
      <c r="E43" s="76">
        <v>8.039703162093346</v>
      </c>
      <c r="F43" s="76">
        <v>6.499880459183145</v>
      </c>
      <c r="G43" s="76">
        <v>5.777041499446856</v>
      </c>
      <c r="H43" s="77">
        <v>0.9597307514833062</v>
      </c>
      <c r="I43" s="39"/>
      <c r="J43" s="39"/>
      <c r="T43" s="39"/>
      <c r="U43" s="39"/>
      <c r="V43" s="39"/>
      <c r="W43" s="39"/>
    </row>
    <row r="44" spans="1:22" s="78" customFormat="1" ht="12" customHeight="1">
      <c r="A44" s="80"/>
      <c r="B44" s="39"/>
      <c r="C44" s="54" t="s">
        <v>76</v>
      </c>
      <c r="D44" s="76">
        <v>51.2716600830999</v>
      </c>
      <c r="E44" s="76">
        <v>19.069724202735262</v>
      </c>
      <c r="F44" s="76">
        <v>6.925548543970359</v>
      </c>
      <c r="G44" s="76">
        <v>22.136593794672876</v>
      </c>
      <c r="H44" s="77">
        <v>0.5964733755215974</v>
      </c>
      <c r="N44" s="39"/>
      <c r="T44" s="41"/>
      <c r="U44" s="39"/>
      <c r="V44" s="40"/>
    </row>
    <row r="45" spans="1:8" ht="12" customHeight="1">
      <c r="A45" s="6"/>
      <c r="B45" s="17"/>
      <c r="C45" s="54" t="s">
        <v>157</v>
      </c>
      <c r="D45" s="76"/>
      <c r="E45" s="76"/>
      <c r="F45" s="76"/>
      <c r="G45" s="76"/>
      <c r="H45" s="77"/>
    </row>
    <row r="46" spans="3:14" ht="12">
      <c r="C46" s="78"/>
      <c r="D46" s="78"/>
      <c r="E46" s="78"/>
      <c r="F46" s="78"/>
      <c r="G46" s="78"/>
      <c r="H46" s="78"/>
      <c r="I46" s="36"/>
      <c r="J46" s="36"/>
      <c r="K46" s="65"/>
      <c r="L46" s="38"/>
      <c r="M46" s="38"/>
      <c r="N46" s="38"/>
    </row>
    <row r="47" spans="1:14" ht="12">
      <c r="A47" s="38"/>
      <c r="B47" s="38"/>
      <c r="C47" s="39" t="s">
        <v>158</v>
      </c>
      <c r="D47" s="39"/>
      <c r="E47" s="39"/>
      <c r="F47" s="11"/>
      <c r="G47" s="39"/>
      <c r="H47" s="39"/>
      <c r="I47" s="38"/>
      <c r="J47" s="38"/>
      <c r="K47" s="38"/>
      <c r="L47" s="38"/>
      <c r="M47" s="38"/>
      <c r="N47" s="38"/>
    </row>
    <row r="48" spans="3:14" ht="12">
      <c r="C48" s="40" t="s">
        <v>152</v>
      </c>
      <c r="D48" s="78"/>
      <c r="E48" s="78"/>
      <c r="F48" s="78"/>
      <c r="G48" s="78"/>
      <c r="H48" s="78"/>
      <c r="I48" s="36"/>
      <c r="J48" s="36"/>
      <c r="K48" s="65"/>
      <c r="L48" s="38"/>
      <c r="M48" s="38"/>
      <c r="N48" s="38"/>
    </row>
    <row r="49" spans="1:14" ht="12">
      <c r="A49" s="38"/>
      <c r="B49" s="38"/>
      <c r="I49" s="38"/>
      <c r="J49" s="38"/>
      <c r="K49" s="38"/>
      <c r="L49" s="38"/>
      <c r="M49" s="38"/>
      <c r="N49" s="38"/>
    </row>
    <row r="50" spans="1:14" ht="12">
      <c r="A50" s="1" t="s">
        <v>47</v>
      </c>
      <c r="B50" s="38"/>
      <c r="C50" s="17"/>
      <c r="D50" s="36"/>
      <c r="E50" s="36"/>
      <c r="F50" s="36"/>
      <c r="G50" s="36"/>
      <c r="H50" s="36"/>
      <c r="I50" s="38"/>
      <c r="J50" s="38"/>
      <c r="K50" s="38"/>
      <c r="L50" s="38"/>
      <c r="M50" s="38"/>
      <c r="N50" s="38"/>
    </row>
    <row r="51" spans="1:14" ht="12">
      <c r="A51" s="25" t="s">
        <v>60</v>
      </c>
      <c r="B51" s="38"/>
      <c r="C51" s="38"/>
      <c r="D51" s="38"/>
      <c r="E51" s="37"/>
      <c r="F51" s="37"/>
      <c r="G51" s="38"/>
      <c r="H51" s="38"/>
      <c r="I51" s="38"/>
      <c r="J51" s="38"/>
      <c r="K51" s="38"/>
      <c r="L51" s="38"/>
      <c r="M51" s="38"/>
      <c r="N51" s="38"/>
    </row>
    <row r="52" spans="2:14" ht="12">
      <c r="B52" s="38"/>
      <c r="C52" s="17"/>
      <c r="D52" s="36"/>
      <c r="E52" s="36"/>
      <c r="F52" s="36"/>
      <c r="G52" s="36"/>
      <c r="H52" s="36"/>
      <c r="I52" s="38"/>
      <c r="J52" s="38"/>
      <c r="K52" s="38"/>
      <c r="L52" s="38"/>
      <c r="M52" s="38"/>
      <c r="N52" s="38"/>
    </row>
    <row r="53" spans="1:15" ht="1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2">
      <c r="A79" s="38"/>
      <c r="B79" s="38"/>
      <c r="C79" s="38"/>
      <c r="D79" s="38"/>
      <c r="E79" s="38"/>
      <c r="F79" s="38"/>
      <c r="G79" s="38"/>
      <c r="H79" s="38"/>
      <c r="I79" s="38"/>
      <c r="J79" s="38"/>
      <c r="L79" s="38"/>
      <c r="M79" s="38"/>
      <c r="N79" s="38"/>
      <c r="O79" s="38"/>
    </row>
    <row r="80" spans="3:8" ht="12">
      <c r="C80" s="38"/>
      <c r="D80" s="38"/>
      <c r="E80" s="38"/>
      <c r="F80" s="38"/>
      <c r="G80" s="38"/>
      <c r="H80" s="38"/>
    </row>
    <row r="81" spans="3:8" ht="12">
      <c r="C81" s="38"/>
      <c r="D81" s="38"/>
      <c r="E81" s="38"/>
      <c r="F81" s="38"/>
      <c r="G81" s="38"/>
      <c r="H81" s="38"/>
    </row>
    <row r="82" ht="12">
      <c r="C82" s="38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cp:lastPrinted>2015-10-22T12:44:18Z</cp:lastPrinted>
  <dcterms:created xsi:type="dcterms:W3CDTF">2006-08-21T13:09:34Z</dcterms:created>
  <dcterms:modified xsi:type="dcterms:W3CDTF">2018-04-26T12:48:53Z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