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315" yWindow="270" windowWidth="22455" windowHeight="10125" firstSheet="5" activeTab="10"/>
  </bookViews>
  <sheets>
    <sheet name="Cover" sheetId="12" r:id="rId1"/>
    <sheet name="Fig1" sheetId="3" r:id="rId2"/>
    <sheet name="Fig2" sheetId="1" r:id="rId3"/>
    <sheet name="Fig3" sheetId="5" r:id="rId4"/>
    <sheet name="Fig4" sheetId="14" r:id="rId5"/>
    <sheet name="Table1" sheetId="17" r:id="rId6"/>
    <sheet name="RME data" sheetId="9" r:id="rId7"/>
    <sheet name="RME detailed data" sheetId="16" r:id="rId8"/>
    <sheet name="EW-MFA data" sheetId="10" r:id="rId9"/>
    <sheet name="GVA construction" sheetId="13" r:id="rId10"/>
    <sheet name="Aux data final demand" sheetId="18" r:id="rId11"/>
  </sheets>
  <definedNames/>
  <calcPr calcId="162913"/>
</workbook>
</file>

<file path=xl/sharedStrings.xml><?xml version="1.0" encoding="utf-8"?>
<sst xmlns="http://schemas.openxmlformats.org/spreadsheetml/2006/main" count="2486" uniqueCount="337">
  <si>
    <t>Sum</t>
  </si>
  <si>
    <t>Domestic extraction</t>
  </si>
  <si>
    <t>Raw material input (RMI)</t>
  </si>
  <si>
    <t>Raw material consumption (RMC)</t>
  </si>
  <si>
    <t>Exports</t>
  </si>
  <si>
    <t>(tonnes RME per capita)</t>
  </si>
  <si>
    <t>Imports in RME</t>
  </si>
  <si>
    <t>Exports  in RME</t>
  </si>
  <si>
    <t>Material flow accounts in raw material equivalents - modelling estimates [env_ac_rme]</t>
  </si>
  <si>
    <t>Last update</t>
  </si>
  <si>
    <t>Extracted on</t>
  </si>
  <si>
    <t>Source of data</t>
  </si>
  <si>
    <t>Eurostat</t>
  </si>
  <si>
    <t>UNIT</t>
  </si>
  <si>
    <t>Total</t>
  </si>
  <si>
    <t>GEO</t>
  </si>
  <si>
    <t>2000</t>
  </si>
  <si>
    <t>2001</t>
  </si>
  <si>
    <t>2002</t>
  </si>
  <si>
    <t>2003</t>
  </si>
  <si>
    <t>2004</t>
  </si>
  <si>
    <t>2005</t>
  </si>
  <si>
    <t>2006</t>
  </si>
  <si>
    <t>2007</t>
  </si>
  <si>
    <t>2008</t>
  </si>
  <si>
    <t>2009</t>
  </si>
  <si>
    <t>2010</t>
  </si>
  <si>
    <t>2011</t>
  </si>
  <si>
    <t>2012</t>
  </si>
  <si>
    <t>Physical Trade Balance in Raw Material Equivalents</t>
  </si>
  <si>
    <t>Material flow accounts [env_ac_mfa]</t>
  </si>
  <si>
    <t>Biomass</t>
  </si>
  <si>
    <t>Metal ores (gross ores)</t>
  </si>
  <si>
    <t>Non-metallic minerals</t>
  </si>
  <si>
    <t>Fossil energy materials/carriers</t>
  </si>
  <si>
    <t>Other products</t>
  </si>
  <si>
    <t>:</t>
  </si>
  <si>
    <t>Waste for final treatment and disposal</t>
  </si>
  <si>
    <t>Special value:</t>
  </si>
  <si>
    <t>not available</t>
  </si>
  <si>
    <t>Metal ores</t>
  </si>
  <si>
    <t>(tonnes per capita)</t>
  </si>
  <si>
    <t>INDIC_NV</t>
  </si>
  <si>
    <t>Fossil energy materials</t>
  </si>
  <si>
    <t>Exports in RME</t>
  </si>
  <si>
    <t>Trade balance in RME</t>
  </si>
  <si>
    <t xml:space="preserve">Imports </t>
  </si>
  <si>
    <t>Raw material equivalents (RME)</t>
  </si>
  <si>
    <t>2013</t>
  </si>
  <si>
    <t>Economy-wide Material Flow Accounts</t>
  </si>
  <si>
    <t>(thousand tonnes)</t>
  </si>
  <si>
    <t>Extracted data</t>
  </si>
  <si>
    <t>Computed data</t>
  </si>
  <si>
    <t>Physical Trade Balance in RME</t>
  </si>
  <si>
    <t>(thousand tonnes RME)</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</si>
  <si>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</si>
  <si>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</si>
  <si>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</si>
  <si>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</si>
  <si>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</si>
  <si>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</si>
  <si>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</si>
  <si>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</si>
  <si>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</si>
  <si>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</si>
  <si>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The complete copyright notice can be found on Eurostat website:</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</si>
  <si>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</si>
  <si>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</si>
  <si>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NACE_R2</t>
  </si>
  <si>
    <t>Construction</t>
  </si>
  <si>
    <t>UNIT/TIME</t>
  </si>
  <si>
    <t>Gross value added of the construction industry</t>
  </si>
  <si>
    <t>DMC</t>
  </si>
  <si>
    <t>Imports
in RME</t>
  </si>
  <si>
    <t>Trade balance
(actual weight)</t>
  </si>
  <si>
    <t>Exports
in RME</t>
  </si>
  <si>
    <t>2014</t>
  </si>
  <si>
    <t>INDIC_NV(L)</t>
  </si>
  <si>
    <t>MATERIAL</t>
  </si>
  <si>
    <t>MATERIAL(L)/TIME</t>
  </si>
  <si>
    <t>DE</t>
  </si>
  <si>
    <t>DMI</t>
  </si>
  <si>
    <t>TOTAL</t>
  </si>
  <si>
    <t>MF1</t>
  </si>
  <si>
    <t>MF2</t>
  </si>
  <si>
    <t>MF3</t>
  </si>
  <si>
    <t>MF4</t>
  </si>
  <si>
    <t>MF5</t>
  </si>
  <si>
    <t>MF6</t>
  </si>
  <si>
    <t>PTB</t>
  </si>
  <si>
    <t>THS_T - Thousand tonnes</t>
  </si>
  <si>
    <t>IMP_RME</t>
  </si>
  <si>
    <t>EXP_RME</t>
  </si>
  <si>
    <t>RMC</t>
  </si>
  <si>
    <t>RMI</t>
  </si>
  <si>
    <t>PTB_RME</t>
  </si>
  <si>
    <t>bookmark to Eurobase</t>
  </si>
  <si>
    <t>bookmark to Eurobase:</t>
  </si>
  <si>
    <r>
      <t>Source</t>
    </r>
    <r>
      <rPr>
        <sz val="9"/>
        <rFont val="Arial"/>
        <family val="2"/>
      </rPr>
      <t xml:space="preserve">: Eurostat (online data code: </t>
    </r>
    <r>
      <rPr>
        <sz val="9"/>
        <color indexed="12"/>
        <rFont val="Arial"/>
        <family val="2"/>
      </rPr>
      <t>env_ac_rme, env_ac_mfa</t>
    </r>
    <r>
      <rPr>
        <sz val="9"/>
        <rFont val="Arial"/>
        <family val="2"/>
      </rPr>
      <t>)</t>
    </r>
  </si>
  <si>
    <r>
      <t>Source</t>
    </r>
    <r>
      <rPr>
        <sz val="9"/>
        <rFont val="Arial"/>
        <family val="2"/>
      </rPr>
      <t xml:space="preserve">: Eurostat (online data code: </t>
    </r>
    <r>
      <rPr>
        <sz val="9"/>
        <color indexed="12"/>
        <rFont val="Arial"/>
        <family val="2"/>
      </rPr>
      <t>env_ac_rme</t>
    </r>
    <r>
      <rPr>
        <sz val="9"/>
        <rFont val="Arial"/>
        <family val="2"/>
      </rPr>
      <t>)</t>
    </r>
  </si>
  <si>
    <r>
      <t>Source</t>
    </r>
    <r>
      <rPr>
        <sz val="9"/>
        <rFont val="Arial"/>
        <family val="2"/>
      </rPr>
      <t xml:space="preserve">: Eurostat (online data code: </t>
    </r>
    <r>
      <rPr>
        <sz val="9"/>
        <color indexed="12"/>
        <rFont val="Arial"/>
        <family val="2"/>
      </rPr>
      <t>env_ac_mfa</t>
    </r>
    <r>
      <rPr>
        <sz val="9"/>
        <rFont val="Arial"/>
        <family val="2"/>
      </rPr>
      <t>)</t>
    </r>
  </si>
  <si>
    <t>2015</t>
  </si>
  <si>
    <t>Gross value added and income by A*10 industry breakdowns [nama_10_a10]</t>
  </si>
  <si>
    <t>NA_ITEM</t>
  </si>
  <si>
    <t>Value added, gross</t>
  </si>
  <si>
    <t>Chain linked volumes (2010), million euro</t>
  </si>
  <si>
    <t>2016</t>
  </si>
  <si>
    <t>Chain linked volumes, index 2010=100</t>
  </si>
  <si>
    <t>Price index (implicit deflator), percentage change on previous period, euro</t>
  </si>
  <si>
    <t>Domestic material consumption</t>
  </si>
  <si>
    <t>Direct material inputs</t>
  </si>
  <si>
    <t>Thousand tonnes</t>
  </si>
  <si>
    <t>Imports in raw material equivalents</t>
  </si>
  <si>
    <t xml:space="preserve">Raw material consumption </t>
  </si>
  <si>
    <t>Tonnes per capita</t>
  </si>
  <si>
    <t>INDIC_ENV</t>
  </si>
  <si>
    <t>INDIC_ENV(L)</t>
  </si>
  <si>
    <t>Material flow accounts in raw material equivalents by final uses of products - modelling estimates [env_ac_rmefd]</t>
  </si>
  <si>
    <t>TIME</t>
  </si>
  <si>
    <t>TOTAL - Total</t>
  </si>
  <si>
    <t/>
  </si>
  <si>
    <t>RMC_P3</t>
  </si>
  <si>
    <t>RMC_P5</t>
  </si>
  <si>
    <t>CPA08</t>
  </si>
  <si>
    <t>CPA08(L)/INDIC_ENV(L)</t>
  </si>
  <si>
    <t>Raw material consumption as result of final consumption expenditure</t>
  </si>
  <si>
    <t xml:space="preserve">Raw material consumption as result of gross capital formation </t>
  </si>
  <si>
    <t>Total CPA products</t>
  </si>
  <si>
    <t>CPA_A01</t>
  </si>
  <si>
    <t>Products of agriculture, hunting and related services</t>
  </si>
  <si>
    <t>CPA_F</t>
  </si>
  <si>
    <t>Constructions and construction works</t>
  </si>
  <si>
    <t>CPA_A02</t>
  </si>
  <si>
    <t>Products of forestry, logging and related services</t>
  </si>
  <si>
    <t>CPA_C10-12</t>
  </si>
  <si>
    <t>Food, beverages and tobacco products</t>
  </si>
  <si>
    <t>CPA_A03</t>
  </si>
  <si>
    <t>Fish and other fishing products; aquaculture products; support services to fishing</t>
  </si>
  <si>
    <t>CPA_B</t>
  </si>
  <si>
    <t>Mining and quarrying</t>
  </si>
  <si>
    <t>CPA_D</t>
  </si>
  <si>
    <t>Electricity, gas, steam and air conditioning</t>
  </si>
  <si>
    <t>CPA_I</t>
  </si>
  <si>
    <t>Accommodation and food services</t>
  </si>
  <si>
    <t>CPA_C13-15</t>
  </si>
  <si>
    <t>Textiles, wearing apparel, leather and related products</t>
  </si>
  <si>
    <t>CPA_O</t>
  </si>
  <si>
    <t>Public administration and defence services; compulsory social security services</t>
  </si>
  <si>
    <t>CPA_C16</t>
  </si>
  <si>
    <t>Wood and of products of wood and cork, except furniture; articles of straw and plaiting materials</t>
  </si>
  <si>
    <t>CPA_L</t>
  </si>
  <si>
    <t>Real estate services</t>
  </si>
  <si>
    <t>CPA_C17</t>
  </si>
  <si>
    <t>Paper and paper products</t>
  </si>
  <si>
    <t>CPA_H49</t>
  </si>
  <si>
    <t>Land transport services and transport services via pipelines</t>
  </si>
  <si>
    <t>CPA_C18</t>
  </si>
  <si>
    <t>Printing and recording services</t>
  </si>
  <si>
    <t>CPA_C29</t>
  </si>
  <si>
    <t>Motor vehicles, trailers and semi-trailers</t>
  </si>
  <si>
    <t>CPA_C19</t>
  </si>
  <si>
    <t>Coke and refined petroleum products</t>
  </si>
  <si>
    <t>CPA_C20</t>
  </si>
  <si>
    <t>Chemicals and chemical products</t>
  </si>
  <si>
    <t>CPA_G46</t>
  </si>
  <si>
    <t>Wholesale trade services, except of motor vehicles and motorcycles</t>
  </si>
  <si>
    <t>CPA_C21</t>
  </si>
  <si>
    <t>Basic pharmaceutical products and pharmaceutical preparations</t>
  </si>
  <si>
    <t>CPA_Q86</t>
  </si>
  <si>
    <t>Human health services</t>
  </si>
  <si>
    <t>CPA_C22</t>
  </si>
  <si>
    <t>Rubber and plastic products</t>
  </si>
  <si>
    <t>CPA_C23</t>
  </si>
  <si>
    <t>Other non-metallic mineral products</t>
  </si>
  <si>
    <t>CPA_C28</t>
  </si>
  <si>
    <t>Machinery and equipment n.e.c.</t>
  </si>
  <si>
    <t>CPA_C24</t>
  </si>
  <si>
    <t>Basic metals</t>
  </si>
  <si>
    <t>CPA_G47</t>
  </si>
  <si>
    <t>Retail trade services, except of motor vehicles and motorcycles</t>
  </si>
  <si>
    <t>CPA_C25</t>
  </si>
  <si>
    <t>Fabricated metal products, except machinery and equipment</t>
  </si>
  <si>
    <t>CPA_C31_32</t>
  </si>
  <si>
    <t>Furniture and other manufactured goods</t>
  </si>
  <si>
    <t>CPA_C26</t>
  </si>
  <si>
    <t>Computer, electronic and optical products</t>
  </si>
  <si>
    <t>CPA_C27</t>
  </si>
  <si>
    <t>Electrical equipment</t>
  </si>
  <si>
    <t>CPA_M72</t>
  </si>
  <si>
    <t>Scientific research and development services</t>
  </si>
  <si>
    <t>CPA_C30</t>
  </si>
  <si>
    <t>Other transport equipment</t>
  </si>
  <si>
    <t>CPA_P</t>
  </si>
  <si>
    <t>Education services</t>
  </si>
  <si>
    <t>CPA_C33</t>
  </si>
  <si>
    <t>Repair and installation services of machinery and equipment</t>
  </si>
  <si>
    <t>CPA_E36</t>
  </si>
  <si>
    <t>Natural water; water treatment and supply services</t>
  </si>
  <si>
    <t>CPA_E37-39</t>
  </si>
  <si>
    <t>Sewerage services; sewage sludge; waste collection, treatment and disposal services; materials recovery services; remediation services and other waste management services</t>
  </si>
  <si>
    <t>CPA_Q87_88</t>
  </si>
  <si>
    <t>Residential care services; social work services without accommodation</t>
  </si>
  <si>
    <t>CPA_G45</t>
  </si>
  <si>
    <t>Wholesale and retail trade and repair services of motor vehicles and motorcycles</t>
  </si>
  <si>
    <t>CPA_H50</t>
  </si>
  <si>
    <t>Water transport services</t>
  </si>
  <si>
    <t>CPA_J61</t>
  </si>
  <si>
    <t>Telecommunications services</t>
  </si>
  <si>
    <t>CPA_H51</t>
  </si>
  <si>
    <t>Air transport services</t>
  </si>
  <si>
    <t>CPA_J62_63</t>
  </si>
  <si>
    <t>Computer programming, consultancy and related services; Information services</t>
  </si>
  <si>
    <t>CPA_H52</t>
  </si>
  <si>
    <t>Warehousing and support services for transportation</t>
  </si>
  <si>
    <t>CPA_H53</t>
  </si>
  <si>
    <t>Postal and courier services</t>
  </si>
  <si>
    <t>CPA_R90-92</t>
  </si>
  <si>
    <t>Creative, arts, entertainment, library, archive, museum, other cultural services; gambling and betting services</t>
  </si>
  <si>
    <t>CPA_J58</t>
  </si>
  <si>
    <t>Publishing services</t>
  </si>
  <si>
    <t>CPA_K65</t>
  </si>
  <si>
    <t>Insurance, reinsurance and pension funding services, except compulsory social security</t>
  </si>
  <si>
    <t>CPA_J59_60</t>
  </si>
  <si>
    <t>Motion picture, video and television programme production services, sound recording and music publishing; programming and broadcasting services</t>
  </si>
  <si>
    <t>CPA_S96</t>
  </si>
  <si>
    <t>Other personal services</t>
  </si>
  <si>
    <t>CPA_R93</t>
  </si>
  <si>
    <t>Sporting services and amusement and recreation services</t>
  </si>
  <si>
    <t>CPA_K64</t>
  </si>
  <si>
    <t>Financial services, except insurance and pension funding</t>
  </si>
  <si>
    <t>CPA_K66</t>
  </si>
  <si>
    <t>Services auxiliary to financial services and insurance services</t>
  </si>
  <si>
    <t>CPA_S94</t>
  </si>
  <si>
    <t>Services furnished by membership organisations</t>
  </si>
  <si>
    <t>CPA_M69_70</t>
  </si>
  <si>
    <t>Legal and accounting services; services of head offices; management consultancy services</t>
  </si>
  <si>
    <t>CPA_M71</t>
  </si>
  <si>
    <t>Architectural and engineering services; technical testing and analysis services</t>
  </si>
  <si>
    <t>CPA_M73</t>
  </si>
  <si>
    <t>Advertising and market research services</t>
  </si>
  <si>
    <t>CPA_M74_75</t>
  </si>
  <si>
    <t>Other professional, scientific and technical services and veterinary services</t>
  </si>
  <si>
    <t>CPA_N77</t>
  </si>
  <si>
    <t>Rental and leasing services</t>
  </si>
  <si>
    <t>CPA_N80-82</t>
  </si>
  <si>
    <t>Security and investigation services; services to buildings and landscape; office administrative, office support and other business support services</t>
  </si>
  <si>
    <t>CPA_N78</t>
  </si>
  <si>
    <t>Employment services</t>
  </si>
  <si>
    <t>CPA_N79</t>
  </si>
  <si>
    <t>Travel agency, tour operator and other reservation services and related services</t>
  </si>
  <si>
    <t>CPA_S95</t>
  </si>
  <si>
    <t>Repair services of computers and personal and household goods</t>
  </si>
  <si>
    <t>CPA_T</t>
  </si>
  <si>
    <t>Services of households as employers; undifferentiated goods and services produced by households for own use</t>
  </si>
  <si>
    <t>MF1 - Biomass</t>
  </si>
  <si>
    <t>MF2 - Metal ores (gross ores)</t>
  </si>
  <si>
    <t>MF3 - Non-metallic minerals</t>
  </si>
  <si>
    <t>MF4 - Fossil energy materials/carriers</t>
  </si>
  <si>
    <t>Raw material equivalents (RME) - by final uses of products</t>
  </si>
  <si>
    <t>RMC as result of final consumption expenditure</t>
  </si>
  <si>
    <t xml:space="preserve">RMC as result of gross capital formation </t>
  </si>
  <si>
    <t>Total material</t>
  </si>
  <si>
    <t>% of total RMC</t>
  </si>
  <si>
    <t>Material</t>
  </si>
  <si>
    <r>
      <t>Source</t>
    </r>
    <r>
      <rPr>
        <sz val="9"/>
        <rFont val="Arial"/>
        <family val="2"/>
      </rPr>
      <t xml:space="preserve">: Eurostat (online data codes: </t>
    </r>
    <r>
      <rPr>
        <sz val="9"/>
        <color indexed="12"/>
        <rFont val="Arial"/>
        <family val="2"/>
      </rPr>
      <t>env_ac_rmefd</t>
    </r>
    <r>
      <rPr>
        <sz val="9"/>
        <rFont val="Arial"/>
        <family val="2"/>
      </rPr>
      <t>)</t>
    </r>
  </si>
  <si>
    <t>Imports*
 (actual weight)</t>
  </si>
  <si>
    <t>Exports*
(actual weight)</t>
  </si>
  <si>
    <t>CPA08 product</t>
  </si>
  <si>
    <t>Domestic material consumption (DMC)</t>
  </si>
  <si>
    <t>Auxilliary data on final demand in monetary terms</t>
  </si>
  <si>
    <t>Symmetric input-output table at basic prices (product by product) [naio_10_cp1700]</t>
  </si>
  <si>
    <t>Million euro</t>
  </si>
  <si>
    <t>STK_FLOW</t>
  </si>
  <si>
    <t>INDUSE</t>
  </si>
  <si>
    <t>P3</t>
  </si>
  <si>
    <t>P5</t>
  </si>
  <si>
    <t>P6</t>
  </si>
  <si>
    <t>TFU</t>
  </si>
  <si>
    <t>PROD_NA/INDUSE(L)</t>
  </si>
  <si>
    <t>Final consumption expediture</t>
  </si>
  <si>
    <t>Gross Capital formation</t>
  </si>
  <si>
    <t>Exports of goods and services</t>
  </si>
  <si>
    <t>Total final use</t>
  </si>
  <si>
    <t>Raw material equivalents</t>
  </si>
  <si>
    <r>
      <t xml:space="preserve">This file accompanies the </t>
    </r>
    <r>
      <rPr>
        <b/>
        <sz val="9"/>
        <color theme="1"/>
        <rFont val="Arial"/>
        <family val="2"/>
      </rPr>
      <t>Statistics Explained</t>
    </r>
    <r>
      <rPr>
        <sz val="9"/>
        <color theme="1"/>
        <rFont val="Arial"/>
        <family val="2"/>
      </rPr>
      <t xml:space="preserve"> article: '</t>
    </r>
    <r>
      <rPr>
        <b/>
        <sz val="9"/>
        <color theme="1"/>
        <rFont val="Arial"/>
        <family val="2"/>
      </rPr>
      <t>Material flow accounts statistics - material footprints</t>
    </r>
    <r>
      <rPr>
        <sz val="9"/>
        <color theme="1"/>
        <rFont val="Arial"/>
        <family val="2"/>
      </rPr>
      <t>' and contains the figures and underlying data used in the article.</t>
    </r>
  </si>
  <si>
    <t>Material flow accounts statistics - material footprints</t>
  </si>
  <si>
    <t>IMP</t>
  </si>
  <si>
    <t>Imports</t>
  </si>
  <si>
    <t>EXP</t>
  </si>
  <si>
    <t>2017</t>
  </si>
  <si>
    <t>Physical trade balance</t>
  </si>
  <si>
    <t>2018</t>
  </si>
  <si>
    <t xml:space="preserve">   &gt; the source is indicated as Eurostat;</t>
  </si>
  <si>
    <t xml:space="preserve">   &gt; when re-use involves modifications to the data or text, this must be stated clearly to the end user of the information.</t>
  </si>
  <si>
    <t>https://ec.europa.eu/eurostat/about/policies/copyright</t>
  </si>
  <si>
    <t xml:space="preserve">More information on the reuse of European Statistical System statistics: </t>
  </si>
  <si>
    <t>https://ec.europa.eu/eurostat/web/european-statistical-system/reuse-ess-statistics</t>
  </si>
  <si>
    <t>Raw material consumption</t>
  </si>
  <si>
    <t>Raw material input</t>
  </si>
  <si>
    <t>Raw material consumption as result of gross capital formation</t>
  </si>
  <si>
    <t>2019</t>
  </si>
  <si>
    <r>
      <t>Source</t>
    </r>
    <r>
      <rPr>
        <sz val="12"/>
        <rFont val="Arial"/>
        <family val="2"/>
      </rPr>
      <t xml:space="preserve">: Eurostat (online data code: </t>
    </r>
    <r>
      <rPr>
        <sz val="12"/>
        <color indexed="12"/>
        <rFont val="Arial"/>
        <family val="2"/>
      </rPr>
      <t>env_ac_rmefd</t>
    </r>
    <r>
      <rPr>
        <sz val="12"/>
        <rFont val="Arial"/>
        <family val="2"/>
      </rPr>
      <t>)</t>
    </r>
  </si>
  <si>
    <t>https://appsso.eurostat.ec.europa.eu/nui/show.do?query=BOOKMARK_DS-075779_QID_153472F6_UID_-3F171EB0&amp;layout=TIME,C,X,0;INDIC_ENV,B,Y,0;MATERIAL,B,Y,1;UNIT,B,Z,0;GEO,B,Z,1;INDICATORS,C,Z,2;&amp;zSelection=DS-075779GEO,EU27_2020;DS-075779INDICATORS,OBS_FLAG;DS-075779UNIT,THS_T;&amp;rankName1=UNIT_1_2_-1_2&amp;rankName2=INDICATORS_1_2_-1_2&amp;rankName3=GEO_1_2_1_1&amp;rankName4=TIME_1_0_0_0&amp;rankName5=INDIC-ENV_1_2_0_1&amp;rankName6=MATERIAL_1_2_1_1&amp;sortC=ASC_-1_FIRST&amp;rStp=&amp;cStp=&amp;rDCh=&amp;cDCh=&amp;rDM=true&amp;cDM=true&amp;footnes=false&amp;empty=false&amp;wai=false&amp;time_mode=NONE&amp;time_most_recent=false&amp;lang=EN&amp;cfo=%23%23%23%2C%23%23%23.%23%23%23</t>
  </si>
  <si>
    <t>EU27_2020 - European Union - 27 countries (from 2020)</t>
  </si>
  <si>
    <t>Exports in raw material equivalents</t>
  </si>
  <si>
    <t>Wood and products of wood and cork, except furniture; articles of straw and plaiting materials</t>
  </si>
  <si>
    <t>Data is sorted per table - manually copy-paste codes (excl. TOTAL), labels and values; then products are sorted from highest to smallest value for RMC</t>
  </si>
  <si>
    <t>T_HAB - Tonnes per capita</t>
  </si>
  <si>
    <r>
      <t>Source</t>
    </r>
    <r>
      <rPr>
        <sz val="9"/>
        <rFont val="Arial"/>
        <family val="2"/>
      </rPr>
      <t xml:space="preserve">: Eurostat (online data codes: </t>
    </r>
    <r>
      <rPr>
        <sz val="9"/>
        <color indexed="12"/>
        <rFont val="Arial"/>
        <family val="2"/>
      </rPr>
      <t>env_ac_mfa, env_ac_rme</t>
    </r>
    <r>
      <rPr>
        <sz val="9"/>
        <rFont val="Arial"/>
        <family val="2"/>
      </rPr>
      <t>)</t>
    </r>
  </si>
  <si>
    <t>Direct material flows broken down by material categories, EU-27, 2000-2019</t>
  </si>
  <si>
    <t>Direct material flows broken down by material categories - transformation from 6 material categories into 4 material categories, EU-27, 2000-2019</t>
  </si>
  <si>
    <t>imports</t>
  </si>
  <si>
    <t>exports</t>
  </si>
  <si>
    <t>Absolute difference</t>
  </si>
  <si>
    <t>Factor difference</t>
  </si>
  <si>
    <t>RMC higher than DMC</t>
  </si>
  <si>
    <t>RMI higher than DMI</t>
  </si>
  <si>
    <t>Difference RMC and DMC</t>
  </si>
  <si>
    <t>difference</t>
  </si>
  <si>
    <t>min</t>
  </si>
  <si>
    <t>max</t>
  </si>
  <si>
    <t>difference to 2000</t>
  </si>
  <si>
    <t>difference to 2007</t>
  </si>
  <si>
    <t>difference to 2010</t>
  </si>
  <si>
    <t>RMC index (2000=100)</t>
  </si>
  <si>
    <t>GVA of construction (2000=100)</t>
  </si>
  <si>
    <t>2020</t>
  </si>
  <si>
    <t xml:space="preserve">* Note: the material categories 'other products' and 'waste' from EW-MFA are proportionally assigned to the four main material categories represented </t>
  </si>
  <si>
    <t xml:space="preserve">* Note: the material categories 'other products' and 'waste' in the EW-MFA are proportionally assigned to the four main material categories represented </t>
  </si>
  <si>
    <t>September 2021</t>
  </si>
  <si>
    <t>ref year</t>
  </si>
  <si>
    <t>https://appsso.eurostat.ec.europa.eu/nui/show.do?query=BOOKMARK_DS-446651_QID_3F703F72_UID_-3F171EB0&amp;layout=INDUSE,B,X,0;TIME,C,Y,0;PROD_NA,B,Y,1;UNIT,L,Z,0;STK_FLOW,L,Z,1;GEO,B,Z,2;INDICATORS,C,Z,3;&amp;zSelection=DS-446651STK_FLOW,TOTAL;DS-446651INDICATORS,OBS_FLAG;DS-446651UNIT,MIO_EUR;DS-446651GEO,EU27_2020;&amp;rankName1=UNIT_1_2_-1_2&amp;rankName2=INDICATORS_1_2_-1_2&amp;rankName3=STK-FLOW_1_2_-1_2&amp;rankName4=GEO_1_2_0_0&amp;rankName5=INDUSE_1_2_0_0&amp;rankName6=TIME_1_0_0_1&amp;rankName7=PROD-NA_1_2_1_1&amp;sortR=ASC_-1_FIRST&amp;rStp=&amp;cStp=&amp;rDCh=&amp;cDCh=&amp;rDM=true&amp;cDM=true&amp;footnes=false&amp;empty=false&amp;wai=false&amp;time_mode=ROLLING&amp;time_most_recent=false&amp;lang=EN&amp;cfo=%23%23%23%2C%23%23%23.%23%23%23</t>
  </si>
  <si>
    <t>https://appsso.eurostat.ec.europa.eu/nui/show.do?query=BOOKMARK_DS-406765_QID_-51D469FF_UID_-3F171EB0&amp;layout=TIME,C,X,0;UNIT,B,Y,0;GEO,B,Z,0;NACE_R2,B,Z,1;NA_ITEM,B,Z,2;INDICATORS,C,Z,3;&amp;zSelection=DS-406765UNIT,CLV10_MEUR;DS-406765NA_ITEM,B1G;DS-406765INDICATORS,OBS_FLAG;DS-406765GEO,EU27_2020;DS-406765NACE_R2,F;&amp;rankName1=NA-ITEM_1_2_-1_2&amp;rankName2=INDICATORS_1_2_-1_2&amp;rankName3=NACE-R2_1_2_-1_2&amp;rankName4=GEO_1_2_0_1&amp;rankName5=TIME_1_0_0_0&amp;rankName6=UNIT_1_2_0_1&amp;sortC=ASC_-1_FIRST&amp;rStp=&amp;cStp=&amp;rDCh=&amp;cDCh=&amp;rDM=true&amp;cDM=true&amp;footnes=false&amp;empty=false&amp;wai=false&amp;time_mode=ROLLING&amp;time_most_recent=false&amp;lang=EN&amp;cfo=%23%23%23%2C%23%23%23.%23%23%23</t>
  </si>
  <si>
    <t>https://appsso.eurostat.ec.europa.eu/nui/show.do?query=BOOKMARK_DS-392609_QID_-74650F4D_UID_-3F171EB0&amp;layout=TIME,C,X,0;INDIC_ENV,B,Y,0;MATERIAL,B,Y,1;UNIT,B,Z,0;GEO,B,Z,1;INDICATORS,C,Z,2;&amp;zSelection=DS-392609GEO,EU27_2020;DS-392609INDICATORS,OBS_FLAG;DS-392609UNIT,T_HAB;DS-392609INDIC_ENV,RMC;&amp;rankName1=UNIT_1_2_-1_2&amp;rankName2=INDICATORS_1_2_-1_2&amp;rankName3=GEO_1_2_0_1&amp;rankName4=TIME_1_0_0_0&amp;rankName5=INDIC-ENV_1_2_0_1&amp;rankName6=MATERIAL_1_2_1_1&amp;sortC=ASC_-1_FIRST&amp;rStp=&amp;cStp=&amp;rDCh=&amp;cDCh=&amp;rDM=true&amp;cDM=true&amp;footnes=false&amp;empty=false&amp;wai=false&amp;time_mode=ROLLING&amp;time_most_recent=false&amp;lang=EN&amp;cfo=%23%23%23%2C%23%23%23.%23%23%23</t>
  </si>
  <si>
    <t>https://appsso.eurostat.ec.europa.eu/nui/show.do?query=BOOKMARK_DS-392609_QID_-3289267E_UID_-3F171EB0&amp;layout=TIME,C,X,0;INDIC_ENV,B,Y,0;MATERIAL,B,Y,1;UNIT,B,Z,0;GEO,B,Z,1;INDICATORS,C,Z,2;&amp;zSelection=DS-392609GEO,EU27_2020;DS-392609INDICATORS,OBS_FLAG;DS-392609UNIT,THS_T;&amp;rankName1=UNIT_1_2_-1_2&amp;rankName2=INDICATORS_1_2_-1_2&amp;rankName3=GEO_1_2_0_1&amp;rankName4=TIME_1_0_0_0&amp;rankName5=INDIC-ENV_1_2_0_1&amp;rankName6=MATERIAL_1_2_1_1&amp;sortC=ASC_-1_FIRST&amp;rStp=&amp;cStp=&amp;rDCh=&amp;cDCh=&amp;rDM=true&amp;cDM=true&amp;footnes=false&amp;empty=false&amp;wai=false&amp;time_mode=ROLLING&amp;time_most_recent=false&amp;lang=EN&amp;cfo=%23%23%23%2C%23%23%23.%23%23%23</t>
  </si>
  <si>
    <t>https://appsso.eurostat.ec.europa.eu/nui/show.do?query=BOOKMARK_DS-857158_QID_3198E997_UID_-3F171EB0&amp;layout=INDIC_ENV,B,X,0;CPA08,B,Y,0;TIME,C,Z,0;MATERIAL,B,Z,1;GEO,L,Z,2;UNIT,B,Z,3;INDICATORS,C,Z,4;&amp;zSelection=DS-857158TIME,2019;DS-857158INDICATORS,OBS_FLAG;DS-857158GEO,EU27_2020;DS-857158MATERIAL,TOTAL;DS-857158UNIT,T_HAB;&amp;rankName1=GEO_1_2_-1_2&amp;rankName2=UNIT_1_2_-1_2&amp;rankName3=INDICATORS_1_2_-1_2&amp;rankName4=MATERIAL_1_2_-1_2&amp;rankName5=TIME_1_0_0_0&amp;rankName6=INDIC-ENV_1_2_0_0&amp;rankName7=CPA08_1_2_0_1&amp;rStp=&amp;cStp=&amp;rDCh=&amp;cDCh=&amp;rDM=true&amp;cDM=true&amp;footnes=false&amp;empty=false&amp;wai=false&amp;time_mode=ROLLING&amp;time_most_recent=false&amp;lang=EN&amp;cfo=%23%23%23%2C%23%23%23.%23%23%23</t>
  </si>
  <si>
    <t>Table 1: Products with highest raw material consumption (RMC) by type of material, EU,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</si>
</sst>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 ###\ ##0.0"/>
    <numFmt numFmtId="165" formatCode="#,##0.0_i"/>
    <numFmt numFmtId="166" formatCode="dd\.mm\.yy"/>
    <numFmt numFmtId="167" formatCode="0.0"/>
    <numFmt numFmtId="168" formatCode="#,##0.0"/>
    <numFmt numFmtId="169" formatCode="0.000"/>
    <numFmt numFmtId="170" formatCode="#,##0.000"/>
    <numFmt numFmtId="171" formatCode="_-* #,##0.00\ [$€]_-;\-* #,##0.00\ [$€]_-;_-* &quot;-&quot;??\ [$€]_-;_-@_-"/>
    <numFmt numFmtId="172" formatCode="0.0%"/>
  </numFmts>
  <fonts count="56">
    <font>
      <sz val="11"/>
      <color theme="1"/>
      <name val="Calibri"/>
      <family val="2"/>
      <scheme val="minor"/>
    </font>
    <font>
      <sz val="10"/>
      <name val="Arial"/>
      <family val="2"/>
    </font>
    <font>
      <sz val="9"/>
      <name val="Arial"/>
      <family val="2"/>
    </font>
    <font>
      <sz val="9"/>
      <color indexed="62"/>
      <name val="Arial"/>
      <family val="2"/>
    </font>
    <font>
      <b/>
      <sz val="9"/>
      <name val="Arial"/>
      <family val="2"/>
    </font>
    <font>
      <sz val="11"/>
      <name val="Arial"/>
      <family val="2"/>
    </font>
    <font>
      <sz val="9"/>
      <color theme="1"/>
      <name val="Arial"/>
      <family val="2"/>
    </font>
    <font>
      <b/>
      <sz val="9"/>
      <color theme="1"/>
      <name val="Arial"/>
      <family val="2"/>
    </font>
    <font>
      <u val="single"/>
      <sz val="11"/>
      <color theme="10"/>
      <name val="Calibri"/>
      <family val="2"/>
      <scheme val="minor"/>
    </font>
    <font>
      <b/>
      <sz val="9"/>
      <color rgb="FF005953"/>
      <name val="Arial"/>
      <family val="2"/>
    </font>
    <font>
      <sz val="9"/>
      <color rgb="FF005953"/>
      <name val="Arial"/>
      <family val="2"/>
    </font>
    <font>
      <u val="single"/>
      <sz val="9"/>
      <color theme="10"/>
      <name val="Arial"/>
      <family val="2"/>
    </font>
    <font>
      <i/>
      <sz val="9"/>
      <color theme="1"/>
      <name val="Arial"/>
      <family val="2"/>
    </font>
    <font>
      <sz val="9"/>
      <color theme="10"/>
      <name val="Arial"/>
      <family val="2"/>
    </font>
    <font>
      <i/>
      <sz val="9"/>
      <name val="Arial"/>
      <family val="2"/>
    </font>
    <font>
      <sz val="9"/>
      <color indexed="12"/>
      <name val="Arial"/>
      <family val="2"/>
    </font>
    <font>
      <sz val="9"/>
      <color rgb="FFFF0000"/>
      <name val="Arial"/>
      <family val="2"/>
    </font>
    <font>
      <b/>
      <sz val="9"/>
      <color rgb="FFFF0000"/>
      <name val="Arial"/>
      <family val="2"/>
    </font>
    <font>
      <sz val="9"/>
      <color theme="0" tint="-0.1499900072813034"/>
      <name val="Arial"/>
      <family val="2"/>
    </font>
    <font>
      <b/>
      <sz val="9"/>
      <color theme="4" tint="0.7999799847602844"/>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0"/>
      <color theme="1"/>
      <name val="Arial"/>
      <family val="2"/>
    </font>
    <font>
      <b/>
      <sz val="10"/>
      <color rgb="FFFF0000"/>
      <name val="Arial"/>
      <family val="2"/>
    </font>
    <font>
      <sz val="10"/>
      <color rgb="FFFF0000"/>
      <name val="Arial"/>
      <family val="2"/>
    </font>
    <font>
      <b/>
      <sz val="11"/>
      <color rgb="FFFF0000"/>
      <name val="Calibri"/>
      <family val="2"/>
      <scheme val="minor"/>
    </font>
    <font>
      <sz val="9"/>
      <color theme="1"/>
      <name val="Calibri"/>
      <family val="2"/>
      <scheme val="minor"/>
    </font>
    <font>
      <sz val="9"/>
      <color theme="0" tint="-0.24997000396251678"/>
      <name val="Arial"/>
      <family val="2"/>
    </font>
    <font>
      <b/>
      <sz val="12"/>
      <color theme="1"/>
      <name val="Arial"/>
      <family val="2"/>
    </font>
    <font>
      <u val="single"/>
      <sz val="10"/>
      <color theme="10"/>
      <name val="Arial"/>
      <family val="2"/>
    </font>
    <font>
      <b/>
      <sz val="16"/>
      <color theme="1"/>
      <name val="Arial"/>
      <family val="2"/>
    </font>
    <font>
      <sz val="12"/>
      <name val="Arial"/>
      <family val="2"/>
    </font>
    <font>
      <i/>
      <sz val="12"/>
      <name val="Arial"/>
      <family val="2"/>
    </font>
    <font>
      <sz val="12"/>
      <color indexed="12"/>
      <name val="Arial"/>
      <family val="2"/>
    </font>
    <font>
      <b/>
      <sz val="10"/>
      <name val="Arial"/>
      <family val="2"/>
    </font>
    <font>
      <sz val="9"/>
      <name val="Ariel"/>
      <family val="2"/>
    </font>
    <font>
      <sz val="12"/>
      <color rgb="FF000000"/>
      <name val="Arial"/>
      <family val="2"/>
    </font>
    <font>
      <b/>
      <sz val="12"/>
      <name val="Arial"/>
      <family val="2"/>
    </font>
    <font>
      <sz val="11"/>
      <color theme="0"/>
      <name val="Calibri"/>
      <family val="2"/>
    </font>
    <font>
      <sz val="11"/>
      <color theme="1"/>
      <name val="Calibri"/>
      <family val="2"/>
    </font>
    <font>
      <sz val="1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hair">
        <color rgb="FFD0D1D2"/>
      </left>
      <right/>
      <top style="thin">
        <color rgb="FF000000"/>
      </top>
      <bottom style="thin">
        <color rgb="FF000000"/>
      </bottom>
    </border>
    <border>
      <left/>
      <right/>
      <top style="thin">
        <color rgb="FF000000"/>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right/>
      <top style="thin">
        <color rgb="FF000000"/>
      </top>
      <bottom style="thin"/>
    </border>
    <border>
      <left/>
      <right/>
      <top style="hair">
        <color rgb="FFD0D1D2"/>
      </top>
      <bottom style="hair">
        <color rgb="FFD0D1D2"/>
      </bottom>
    </border>
    <border>
      <left style="hair">
        <color rgb="FFD0D1D2"/>
      </left>
      <right/>
      <top/>
      <bottom style="hair">
        <color rgb="FFD0D1D2"/>
      </bottom>
    </border>
    <border>
      <left/>
      <right/>
      <top/>
      <bottom style="hair">
        <color rgb="FFD0D1D2"/>
      </bottom>
    </border>
    <border>
      <left style="hair">
        <color rgb="FFD0D1D2"/>
      </left>
      <right/>
      <top style="hair">
        <color rgb="FFD0D1D2"/>
      </top>
      <bottom style="thin"/>
    </border>
    <border>
      <left/>
      <right/>
      <top style="thin"/>
      <bottom style="thin"/>
    </border>
    <border>
      <left/>
      <right/>
      <top style="thin">
        <color rgb="FF000000"/>
      </top>
      <bottom style="hair">
        <color rgb="FFD0D1D2"/>
      </bottom>
    </border>
    <border>
      <left style="hair">
        <color rgb="FFD0D1D2"/>
      </left>
      <right/>
      <top style="thin">
        <color rgb="FF000000"/>
      </top>
      <bottom style="hair">
        <color rgb="FFD0D1D2"/>
      </bottom>
    </border>
    <border>
      <left style="hair">
        <color rgb="FFD0D1D2"/>
      </left>
      <right style="hair">
        <color rgb="FFD0D1D2"/>
      </right>
      <top style="thin">
        <color rgb="FF000000"/>
      </top>
      <bottom style="hair">
        <color rgb="FFD0D1D2"/>
      </bottom>
    </border>
    <border>
      <left style="hair">
        <color rgb="FFD0D1D2"/>
      </left>
      <right style="hair">
        <color rgb="FFD0D1D2"/>
      </right>
      <top style="hair">
        <color rgb="FFD0D1D2"/>
      </top>
      <bottom style="hair">
        <color rgb="FFD0D1D2"/>
      </bottom>
    </border>
    <border>
      <left style="hair">
        <color rgb="FFD0D1D2"/>
      </left>
      <right style="hair">
        <color rgb="FFD0D1D2"/>
      </right>
      <top style="hair">
        <color rgb="FFD0D1D2"/>
      </top>
      <bottom style="thin"/>
    </border>
    <border>
      <left style="hair">
        <color rgb="FFD0D1D2"/>
      </left>
      <right/>
      <top/>
      <bottom style="thin"/>
    </border>
    <border>
      <left/>
      <right style="hair">
        <color rgb="FFD0D1D2"/>
      </right>
      <top style="hair">
        <color rgb="FFD0D1D2"/>
      </top>
      <bottom style="hair">
        <color rgb="FFD0D1D2"/>
      </bottom>
    </border>
    <border>
      <left/>
      <right style="hair">
        <color rgb="FFD0D1D2"/>
      </right>
      <top style="hair">
        <color rgb="FFD0D1D2"/>
      </top>
      <bottom style="thin"/>
    </border>
    <border>
      <left style="thin">
        <color indexed="8"/>
      </left>
      <right style="thin">
        <color indexed="8"/>
      </right>
      <top style="thin">
        <color indexed="8"/>
      </top>
      <bottom style="thin">
        <color indexed="8"/>
      </bottom>
    </border>
    <border>
      <left/>
      <right style="hair">
        <color theme="0" tint="-0.24993999302387238"/>
      </right>
      <top style="thin">
        <color rgb="FF000000"/>
      </top>
      <bottom/>
    </border>
    <border>
      <left/>
      <right style="hair">
        <color theme="0" tint="-0.24993999302387238"/>
      </right>
      <top style="thin">
        <color rgb="FF000000"/>
      </top>
      <bottom style="hair">
        <color theme="0" tint="-0.24993999302387238"/>
      </bottom>
    </border>
    <border>
      <left style="hair">
        <color theme="0" tint="-0.24993999302387238"/>
      </left>
      <right style="hair">
        <color theme="0" tint="-0.24993999302387238"/>
      </right>
      <top style="thin">
        <color rgb="FF000000"/>
      </top>
      <bottom style="hair">
        <color theme="0" tint="-0.24993999302387238"/>
      </bottom>
    </border>
    <border>
      <left style="hair">
        <color theme="0" tint="-0.24993999302387238"/>
      </left>
      <right/>
      <top style="thin">
        <color rgb="FF000000"/>
      </top>
      <bottom style="hair">
        <color theme="0" tint="-0.24993999302387238"/>
      </bottom>
    </border>
    <border>
      <left/>
      <right style="hair">
        <color theme="0" tint="-0.24993999302387238"/>
      </right>
      <top style="hair">
        <color theme="0" tint="-0.24993999302387238"/>
      </top>
      <bottom style="hair">
        <color theme="0" tint="-0.24993999302387238"/>
      </bottom>
    </border>
    <border>
      <left style="hair">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top style="hair">
        <color theme="0" tint="-0.24993999302387238"/>
      </top>
      <bottom style="hair">
        <color theme="0" tint="-0.24993999302387238"/>
      </bottom>
    </border>
    <border>
      <left/>
      <right style="hair">
        <color theme="0" tint="-0.24993999302387238"/>
      </right>
      <top style="hair">
        <color theme="0" tint="-0.24993999302387238"/>
      </top>
      <bottom style="thin">
        <color rgb="FF000000"/>
      </bottom>
    </border>
    <border>
      <left style="hair">
        <color theme="0" tint="-0.24993999302387238"/>
      </left>
      <right style="hair">
        <color theme="0" tint="-0.24993999302387238"/>
      </right>
      <top style="hair">
        <color theme="0" tint="-0.24993999302387238"/>
      </top>
      <bottom style="thin">
        <color rgb="FF000000"/>
      </bottom>
    </border>
    <border>
      <left style="hair">
        <color theme="0" tint="-0.24993999302387238"/>
      </left>
      <right style="hair">
        <color theme="0" tint="-0.24993999302387238"/>
      </right>
      <top style="hair">
        <color theme="0" tint="-0.24993999302387238"/>
      </top>
      <bottom style="thin"/>
    </border>
    <border>
      <left style="hair">
        <color theme="0" tint="-0.24993999302387238"/>
      </left>
      <right/>
      <top style="hair">
        <color theme="0" tint="-0.24993999302387238"/>
      </top>
      <bottom style="thin"/>
    </border>
    <border>
      <left/>
      <right style="hair">
        <color theme="0" tint="-0.24993999302387238"/>
      </right>
      <top style="hair">
        <color theme="0" tint="-0.24993999302387238"/>
      </top>
      <bottom style="thin"/>
    </border>
    <border>
      <left style="medium"/>
      <right/>
      <top style="medium"/>
      <bottom/>
    </border>
    <border>
      <left style="dotted">
        <color rgb="FFD0D1D2"/>
      </left>
      <right style="dotted">
        <color rgb="FFD0D1D2"/>
      </right>
      <top style="dotted">
        <color rgb="FFD0D1D2"/>
      </top>
      <bottom style="dotted">
        <color rgb="FFD0D1D2"/>
      </bottom>
    </border>
    <border>
      <left style="hair">
        <color rgb="FFD0D1D2"/>
      </left>
      <right/>
      <top style="hair">
        <color rgb="FFD0D1D2"/>
      </top>
      <bottom style="hair">
        <color rgb="FFD0D1D2"/>
      </bottom>
    </border>
    <border>
      <left/>
      <right style="hair">
        <color theme="0" tint="-0.24993999302387238"/>
      </right>
      <top style="dotted">
        <color rgb="FFD0D1D2"/>
      </top>
      <bottom style="hair">
        <color theme="0" tint="-0.24993999302387238"/>
      </bottom>
    </border>
    <border>
      <left style="hair">
        <color theme="0" tint="-0.24993999302387238"/>
      </left>
      <right style="hair">
        <color theme="0" tint="-0.24993999302387238"/>
      </right>
      <top style="dotted">
        <color rgb="FFD0D1D2"/>
      </top>
      <bottom style="hair">
        <color theme="0" tint="-0.24993999302387238"/>
      </bottom>
    </border>
    <border>
      <left style="hair">
        <color theme="0" tint="-0.24993999302387238"/>
      </left>
      <right style="hair">
        <color theme="0" tint="-0.24993999302387238"/>
      </right>
      <top/>
      <bottom style="thin"/>
    </border>
    <border>
      <left/>
      <right style="hair">
        <color theme="0" tint="-0.24993999302387238"/>
      </right>
      <top/>
      <bottom style="thin"/>
    </border>
    <border>
      <left style="thin">
        <color indexed="8"/>
      </left>
      <right/>
      <top style="thin">
        <color rgb="FF000000"/>
      </top>
      <bottom style="thin">
        <color indexed="8"/>
      </bottom>
    </border>
    <border>
      <left style="thin">
        <color indexed="8"/>
      </left>
      <right/>
      <top style="thin">
        <color indexed="8"/>
      </top>
      <bottom style="thin">
        <color rgb="FF000000"/>
      </bottom>
    </border>
    <border>
      <left style="thin">
        <color indexed="8"/>
      </left>
      <right style="thin">
        <color indexed="8"/>
      </right>
      <top style="thin">
        <color rgb="FF000000"/>
      </top>
      <bottom style="hair">
        <color rgb="FFC0C0C0"/>
      </bottom>
    </border>
    <border>
      <left style="thin">
        <color indexed="8"/>
      </left>
      <right style="thin">
        <color indexed="8"/>
      </right>
      <top style="hair">
        <color rgb="FFC0C0C0"/>
      </top>
      <bottom style="thin">
        <color rgb="FF000000"/>
      </bottom>
    </border>
    <border>
      <left style="thin">
        <color indexed="8"/>
      </left>
      <right style="thin">
        <color indexed="8"/>
      </right>
      <top/>
      <bottom style="thin">
        <color indexed="8"/>
      </bottom>
    </border>
    <border>
      <left/>
      <right style="hair">
        <color theme="0" tint="-0.24993999302387238"/>
      </right>
      <top style="thin">
        <color rgb="FF000000"/>
      </top>
      <bottom style="thin"/>
    </border>
    <border>
      <left style="hair">
        <color theme="0" tint="-0.24993999302387238"/>
      </left>
      <right style="hair">
        <color theme="0" tint="-0.24993999302387238"/>
      </right>
      <top style="thin">
        <color rgb="FF000000"/>
      </top>
      <bottom style="thin">
        <color rgb="FF000000"/>
      </bottom>
    </border>
    <border>
      <left style="hair">
        <color theme="0" tint="-0.24993999302387238"/>
      </left>
      <right style="hair">
        <color theme="0" tint="-0.24993999302387238"/>
      </right>
      <top/>
      <bottom style="hair">
        <color theme="0" tint="-0.24993999302387238"/>
      </bottom>
    </border>
    <border>
      <left style="hair">
        <color theme="0" tint="-0.24993999302387238"/>
      </left>
      <right style="hair">
        <color theme="0" tint="-0.24993999302387238"/>
      </right>
      <top style="hair">
        <color theme="0" tint="-0.24993999302387238"/>
      </top>
      <bottom/>
    </border>
    <border>
      <left style="hair">
        <color theme="0" tint="-0.24993999302387238"/>
      </left>
      <right style="hair">
        <color theme="0" tint="-0.24993999302387238"/>
      </right>
      <top style="thin"/>
      <bottom style="thin"/>
    </border>
    <border>
      <left style="hair">
        <color theme="0" tint="-0.24993999302387238"/>
      </left>
      <right style="hair">
        <color theme="0" tint="-0.24993999302387238"/>
      </right>
      <top/>
      <bottom/>
    </border>
    <border>
      <left style="hair">
        <color theme="0" tint="-0.24993999302387238"/>
      </left>
      <right style="hair">
        <color theme="0" tint="-0.24993999302387238"/>
      </right>
      <top style="hair">
        <color rgb="FFD0D1D2"/>
      </top>
      <bottom style="thin"/>
    </border>
    <border>
      <left/>
      <right/>
      <top style="hair">
        <color rgb="FFD0D1D2"/>
      </top>
      <bottom style="thin"/>
    </border>
    <border>
      <left/>
      <right/>
      <top/>
      <bottom style="thin"/>
    </border>
    <border>
      <left/>
      <right/>
      <top style="thin">
        <color rgb="FF000000"/>
      </top>
      <bottom/>
    </border>
    <border>
      <left style="medium"/>
      <right style="medium"/>
      <top style="medium"/>
      <bottom style="medium"/>
    </border>
    <border>
      <left/>
      <right/>
      <top/>
      <bottom style="thin">
        <color rgb="FF000000"/>
      </bottom>
    </border>
    <border>
      <left/>
      <right style="hair">
        <color rgb="FFD0D1D2"/>
      </right>
      <top/>
      <bottom style="thin"/>
    </border>
    <border>
      <left style="hair">
        <color theme="0" tint="-0.24993999302387238"/>
      </left>
      <right/>
      <top style="thin">
        <color rgb="FF000000"/>
      </top>
      <bottom style="thin"/>
    </border>
    <border>
      <left/>
      <right style="hair">
        <color theme="0" tint="-0.24993999302387238"/>
      </right>
      <top style="thin"/>
      <bottom/>
    </border>
    <border>
      <left style="hair">
        <color theme="0" tint="-0.24993999302387238"/>
      </left>
      <right/>
      <top/>
      <bottom style="thin"/>
    </border>
    <border>
      <left/>
      <right style="hair">
        <color theme="0" tint="-0.24993999302387238"/>
      </right>
      <top/>
      <bottom/>
    </border>
    <border>
      <left style="hair">
        <color theme="0" tint="-0.24993999302387238"/>
      </left>
      <right/>
      <top/>
      <bottom style="hair">
        <color theme="0" tint="-0.24993999302387238"/>
      </bottom>
    </border>
    <border>
      <left style="hair">
        <color theme="0" tint="-0.24993999302387238"/>
      </left>
      <right/>
      <top style="hair">
        <color theme="0" tint="-0.24993999302387238"/>
      </top>
      <bottom/>
    </border>
    <border>
      <left style="hair">
        <color theme="0" tint="-0.24993999302387238"/>
      </left>
      <right/>
      <top style="thin"/>
      <bottom style="thin"/>
    </border>
    <border>
      <left style="hair">
        <color theme="0" tint="-0.24993999302387238"/>
      </left>
      <right/>
      <top/>
      <bottom/>
    </border>
    <border>
      <left/>
      <right style="hair">
        <color theme="0" tint="-0.24993999302387238"/>
      </right>
      <top/>
      <bottom style="thin">
        <color rgb="FF000000"/>
      </bottom>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5" fontId="6"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5" fillId="0" borderId="0">
      <alignment/>
      <protection/>
    </xf>
    <xf numFmtId="0" fontId="2" fillId="0" borderId="0" applyNumberFormat="0" applyFill="0" applyBorder="0" applyProtection="0">
      <alignment vertical="center"/>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3" borderId="0" applyNumberFormat="0" applyBorder="0" applyAlignment="0" applyProtection="0"/>
    <xf numFmtId="0" fontId="24" fillId="20" borderId="2" applyNumberFormat="0" applyAlignment="0" applyProtection="0"/>
    <xf numFmtId="0" fontId="24" fillId="20" borderId="2" applyNumberFormat="0" applyAlignment="0" applyProtection="0"/>
    <xf numFmtId="0" fontId="25" fillId="21" borderId="3" applyNumberFormat="0" applyAlignment="0" applyProtection="0"/>
    <xf numFmtId="43" fontId="20" fillId="0" borderId="0" applyFont="0" applyFill="0" applyBorder="0" applyAlignment="0" applyProtection="0"/>
    <xf numFmtId="0" fontId="1" fillId="22" borderId="0" applyNumberFormat="0" applyFont="0" applyBorder="0" applyAlignment="0" applyProtection="0"/>
    <xf numFmtId="0" fontId="26" fillId="7" borderId="2" applyNumberFormat="0" applyAlignment="0" applyProtection="0"/>
    <xf numFmtId="0" fontId="27" fillId="0" borderId="4" applyNumberFormat="0" applyFill="0" applyAlignment="0" applyProtection="0"/>
    <xf numFmtId="0" fontId="28" fillId="0" borderId="0" applyNumberFormat="0" applyFill="0" applyBorder="0" applyAlignment="0" applyProtection="0"/>
    <xf numFmtId="171" fontId="1" fillId="0" borderId="0" applyFont="0" applyFill="0" applyBorder="0" applyAlignment="0" applyProtection="0"/>
    <xf numFmtId="0" fontId="1" fillId="0" borderId="0">
      <alignment/>
      <protection/>
    </xf>
    <xf numFmtId="0" fontId="28"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26" fillId="7" borderId="2" applyNumberFormat="0" applyAlignment="0" applyProtection="0"/>
    <xf numFmtId="0" fontId="33" fillId="0" borderId="8" applyNumberFormat="0" applyFill="0" applyAlignment="0" applyProtection="0"/>
    <xf numFmtId="0" fontId="34" fillId="23" borderId="0" applyNumberFormat="0" applyBorder="0" applyAlignment="0" applyProtection="0"/>
    <xf numFmtId="0" fontId="1" fillId="0" borderId="0" applyNumberFormat="0" applyFont="0" applyFill="0" applyBorder="0" applyAlignment="0" applyProtection="0"/>
    <xf numFmtId="0" fontId="1" fillId="0" borderId="0">
      <alignment/>
      <protection/>
    </xf>
    <xf numFmtId="0" fontId="1" fillId="24" borderId="9" applyNumberFormat="0" applyFont="0" applyAlignment="0" applyProtection="0"/>
    <xf numFmtId="0" fontId="1" fillId="24" borderId="9" applyNumberFormat="0" applyFont="0" applyAlignment="0" applyProtection="0"/>
    <xf numFmtId="0" fontId="22" fillId="20" borderId="1" applyNumberFormat="0" applyAlignment="0" applyProtection="0"/>
    <xf numFmtId="0" fontId="23" fillId="3" borderId="0" applyNumberFormat="0" applyBorder="0" applyAlignment="0" applyProtection="0"/>
    <xf numFmtId="0" fontId="35" fillId="0" borderId="0" applyNumberFormat="0" applyFill="0" applyBorder="0" applyAlignment="0" applyProtection="0"/>
    <xf numFmtId="0" fontId="27" fillId="0" borderId="4" applyNumberFormat="0" applyFill="0" applyAlignment="0" applyProtection="0"/>
    <xf numFmtId="0" fontId="35"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21" borderId="3" applyNumberFormat="0" applyAlignment="0" applyProtection="0"/>
    <xf numFmtId="0" fontId="0" fillId="0" borderId="0">
      <alignment/>
      <protection/>
    </xf>
  </cellStyleXfs>
  <cellXfs count="306">
    <xf numFmtId="0" fontId="0" fillId="0" borderId="0" xfId="0"/>
    <xf numFmtId="0" fontId="2" fillId="0" borderId="0" xfId="0" applyFont="1"/>
    <xf numFmtId="0" fontId="2" fillId="0" borderId="0" xfId="0" applyFont="1" applyFill="1"/>
    <xf numFmtId="0" fontId="6" fillId="0" borderId="0" xfId="0" applyFont="1"/>
    <xf numFmtId="0" fontId="2" fillId="0" borderId="0" xfId="0" applyFont="1" applyFill="1" applyBorder="1"/>
    <xf numFmtId="0" fontId="2" fillId="0" borderId="0" xfId="0" applyFont="1" applyFill="1" applyBorder="1" applyAlignment="1">
      <alignment vertical="center"/>
    </xf>
    <xf numFmtId="0" fontId="3" fillId="0" borderId="0" xfId="0" applyFont="1" applyFill="1" applyBorder="1"/>
    <xf numFmtId="0" fontId="6" fillId="0" borderId="0" xfId="0" applyFont="1" applyAlignment="1">
      <alignment horizontal="left"/>
    </xf>
    <xf numFmtId="0" fontId="4" fillId="25" borderId="10" xfId="0" applyNumberFormat="1" applyFont="1" applyFill="1" applyBorder="1" applyAlignment="1">
      <alignment horizontal="left" vertical="center"/>
    </xf>
    <xf numFmtId="0" fontId="4" fillId="25" borderId="11" xfId="0" applyNumberFormat="1" applyFont="1" applyFill="1" applyBorder="1" applyAlignment="1">
      <alignment horizontal="left" vertical="center"/>
    </xf>
    <xf numFmtId="167" fontId="2" fillId="0" borderId="0" xfId="0" applyNumberFormat="1" applyFont="1" applyFill="1" applyBorder="1" applyAlignment="1">
      <alignment horizontal="center" vertical="center"/>
    </xf>
    <xf numFmtId="0" fontId="2" fillId="0" borderId="0" xfId="0" applyNumberFormat="1" applyFont="1" applyFill="1" applyBorder="1" applyAlignment="1">
      <alignment/>
    </xf>
    <xf numFmtId="167" fontId="6" fillId="0" borderId="0" xfId="0" applyNumberFormat="1" applyFont="1"/>
    <xf numFmtId="0" fontId="6" fillId="0" borderId="12" xfId="0" applyFont="1" applyBorder="1"/>
    <xf numFmtId="0" fontId="6" fillId="0" borderId="13" xfId="0" applyFont="1" applyBorder="1"/>
    <xf numFmtId="0" fontId="6" fillId="0" borderId="0"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7" fillId="0" borderId="0" xfId="0" applyFont="1" applyBorder="1" applyAlignment="1">
      <alignment horizontal="left"/>
    </xf>
    <xf numFmtId="0" fontId="6" fillId="0" borderId="0" xfId="0" applyFont="1" applyBorder="1" applyAlignment="1">
      <alignment horizontal="left"/>
    </xf>
    <xf numFmtId="0" fontId="6" fillId="0" borderId="19" xfId="0" applyFont="1" applyBorder="1"/>
    <xf numFmtId="167" fontId="6" fillId="0" borderId="19" xfId="0" applyNumberFormat="1" applyFont="1" applyBorder="1"/>
    <xf numFmtId="0" fontId="6" fillId="26" borderId="0" xfId="0" applyFont="1" applyFill="1"/>
    <xf numFmtId="0" fontId="7" fillId="27" borderId="0" xfId="0" applyFont="1" applyFill="1"/>
    <xf numFmtId="0" fontId="6" fillId="27" borderId="0" xfId="0" applyFont="1" applyFill="1"/>
    <xf numFmtId="0" fontId="9" fillId="27" borderId="0" xfId="0" applyFont="1" applyFill="1" applyAlignment="1">
      <alignment vertical="center"/>
    </xf>
    <xf numFmtId="0" fontId="10" fillId="27" borderId="0" xfId="0" applyFont="1" applyFill="1"/>
    <xf numFmtId="0" fontId="9" fillId="27" borderId="0" xfId="0" applyFont="1" applyFill="1"/>
    <xf numFmtId="0" fontId="6" fillId="28" borderId="0" xfId="0" applyFont="1" applyFill="1"/>
    <xf numFmtId="0" fontId="11" fillId="27" borderId="0" xfId="34" applyFont="1" applyFill="1"/>
    <xf numFmtId="0" fontId="6" fillId="0" borderId="0" xfId="0" applyFont="1" applyFill="1"/>
    <xf numFmtId="0" fontId="9" fillId="0" borderId="0" xfId="0" applyFont="1"/>
    <xf numFmtId="0" fontId="7" fillId="0" borderId="0" xfId="0" applyFont="1"/>
    <xf numFmtId="17" fontId="6" fillId="0" borderId="0" xfId="0" applyNumberFormat="1" applyFont="1" quotePrefix="1"/>
    <xf numFmtId="0" fontId="12" fillId="0" borderId="0" xfId="0" applyFont="1"/>
    <xf numFmtId="0" fontId="11" fillId="0" borderId="0" xfId="34" applyFont="1"/>
    <xf numFmtId="0" fontId="6" fillId="0" borderId="0" xfId="0" applyFont="1" applyAlignment="1">
      <alignment vertical="top" wrapText="1"/>
    </xf>
    <xf numFmtId="0" fontId="10" fillId="26" borderId="0" xfId="0" applyFont="1" applyFill="1" applyAlignment="1">
      <alignment vertical="top"/>
    </xf>
    <xf numFmtId="0" fontId="6" fillId="26" borderId="0" xfId="0" applyFont="1" applyFill="1" applyAlignment="1">
      <alignment horizontal="left"/>
    </xf>
    <xf numFmtId="0" fontId="6" fillId="26" borderId="0" xfId="0" applyFont="1" applyFill="1" applyAlignment="1">
      <alignment horizontal="left" vertical="top" wrapText="1"/>
    </xf>
    <xf numFmtId="0" fontId="10" fillId="0" borderId="0" xfId="0" applyFont="1" applyFill="1" applyAlignment="1">
      <alignment vertical="top"/>
    </xf>
    <xf numFmtId="0" fontId="6" fillId="0" borderId="0" xfId="0" applyFont="1" applyFill="1" applyAlignment="1">
      <alignment horizontal="left"/>
    </xf>
    <xf numFmtId="0" fontId="6" fillId="0" borderId="0" xfId="0" applyFont="1" applyFill="1" applyAlignment="1">
      <alignment horizontal="left" vertical="top" wrapText="1"/>
    </xf>
    <xf numFmtId="0" fontId="9" fillId="0" borderId="0" xfId="0" applyFont="1" applyAlignment="1">
      <alignment vertical="top"/>
    </xf>
    <xf numFmtId="0" fontId="13" fillId="0" borderId="0" xfId="34" applyFont="1"/>
    <xf numFmtId="0" fontId="10" fillId="0" borderId="0" xfId="0" applyFont="1"/>
    <xf numFmtId="49" fontId="6" fillId="0" borderId="0" xfId="0" applyNumberFormat="1" applyFont="1"/>
    <xf numFmtId="0" fontId="7" fillId="0" borderId="0" xfId="0" applyFont="1" applyAlignment="1">
      <alignment horizontal="left"/>
    </xf>
    <xf numFmtId="0" fontId="14" fillId="0" borderId="0" xfId="0" applyFont="1" applyFill="1" applyBorder="1"/>
    <xf numFmtId="0" fontId="4" fillId="0" borderId="20" xfId="0" applyFont="1" applyFill="1" applyBorder="1" applyAlignment="1">
      <alignment horizontal="left" vertical="center"/>
    </xf>
    <xf numFmtId="167" fontId="2" fillId="0" borderId="21" xfId="0" applyNumberFormat="1" applyFont="1" applyFill="1" applyBorder="1" applyAlignment="1">
      <alignment horizontal="center" vertical="center"/>
    </xf>
    <xf numFmtId="167" fontId="2" fillId="0" borderId="22" xfId="0" applyNumberFormat="1" applyFont="1" applyFill="1" applyBorder="1" applyAlignment="1">
      <alignment horizontal="center" vertical="center"/>
    </xf>
    <xf numFmtId="167" fontId="4" fillId="0" borderId="21" xfId="0" applyNumberFormat="1" applyFont="1" applyFill="1" applyBorder="1" applyAlignment="1">
      <alignment horizontal="left" vertical="center"/>
    </xf>
    <xf numFmtId="167" fontId="4" fillId="0" borderId="23" xfId="0" applyNumberFormat="1" applyFont="1" applyFill="1" applyBorder="1" applyAlignment="1">
      <alignment horizontal="left" vertical="center"/>
    </xf>
    <xf numFmtId="167" fontId="4" fillId="0" borderId="24" xfId="0" applyNumberFormat="1" applyFont="1" applyFill="1" applyBorder="1" applyAlignment="1">
      <alignment horizontal="left" vertical="center"/>
    </xf>
    <xf numFmtId="167" fontId="2" fillId="0" borderId="24" xfId="0" applyNumberFormat="1" applyFont="1" applyFill="1" applyBorder="1" applyAlignment="1">
      <alignment horizontal="center" vertical="center"/>
    </xf>
    <xf numFmtId="3" fontId="4" fillId="0" borderId="25" xfId="0" applyNumberFormat="1" applyFont="1" applyFill="1" applyBorder="1" applyAlignment="1">
      <alignment horizontal="left" vertical="center"/>
    </xf>
    <xf numFmtId="3" fontId="2" fillId="0" borderId="2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4" fillId="0" borderId="28" xfId="0" applyNumberFormat="1" applyFont="1" applyFill="1" applyBorder="1" applyAlignment="1">
      <alignment horizontal="left" vertical="center"/>
    </xf>
    <xf numFmtId="3" fontId="2" fillId="0" borderId="21"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3" fontId="4" fillId="0" borderId="29" xfId="0" applyNumberFormat="1" applyFont="1" applyFill="1" applyBorder="1" applyAlignment="1">
      <alignment horizontal="left" vertical="center"/>
    </xf>
    <xf numFmtId="3" fontId="2" fillId="0" borderId="30" xfId="0" applyNumberFormat="1" applyFont="1" applyFill="1" applyBorder="1" applyAlignment="1">
      <alignment horizontal="center" vertical="center"/>
    </xf>
    <xf numFmtId="3" fontId="4" fillId="0" borderId="24" xfId="0" applyNumberFormat="1" applyFont="1" applyFill="1" applyBorder="1" applyAlignment="1">
      <alignment horizontal="left" vertical="center"/>
    </xf>
    <xf numFmtId="3" fontId="2" fillId="0" borderId="24" xfId="0" applyNumberFormat="1" applyFont="1" applyFill="1" applyBorder="1" applyAlignment="1">
      <alignment horizontal="center" vertical="center"/>
    </xf>
    <xf numFmtId="3" fontId="6" fillId="0" borderId="0" xfId="0" applyNumberFormat="1" applyFont="1"/>
    <xf numFmtId="0" fontId="16" fillId="0" borderId="0" xfId="0" applyFont="1" applyAlignment="1">
      <alignment/>
    </xf>
    <xf numFmtId="0" fontId="16" fillId="0" borderId="0" xfId="0" applyFont="1" applyFill="1" applyAlignment="1">
      <alignment/>
    </xf>
    <xf numFmtId="0" fontId="17" fillId="0" borderId="0" xfId="0" applyFont="1"/>
    <xf numFmtId="0" fontId="4" fillId="0" borderId="22" xfId="0" applyFont="1" applyFill="1" applyBorder="1" applyAlignment="1">
      <alignment horizontal="left" vertical="center"/>
    </xf>
    <xf numFmtId="164" fontId="2" fillId="0" borderId="21"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14" fillId="0" borderId="0" xfId="0" applyFont="1" applyFill="1" applyBorder="1" applyAlignment="1">
      <alignment horizontal="left" vertical="top"/>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14" fillId="0" borderId="0" xfId="0" applyFont="1" applyFill="1" applyBorder="1" applyAlignment="1">
      <alignment horizontal="left"/>
    </xf>
    <xf numFmtId="166" fontId="2" fillId="0" borderId="0" xfId="0" applyNumberFormat="1" applyFont="1" applyFill="1" applyBorder="1" applyAlignment="1" quotePrefix="1">
      <alignment/>
    </xf>
    <xf numFmtId="0" fontId="2" fillId="8" borderId="33" xfId="29" applyNumberFormat="1" applyFont="1" applyFill="1" applyBorder="1" applyAlignment="1">
      <alignment/>
      <protection/>
    </xf>
    <xf numFmtId="0" fontId="2" fillId="8" borderId="33" xfId="0" applyNumberFormat="1" applyFont="1" applyFill="1" applyBorder="1" applyAlignment="1">
      <alignment/>
    </xf>
    <xf numFmtId="3" fontId="2" fillId="0" borderId="33" xfId="0" applyNumberFormat="1" applyFont="1" applyFill="1" applyBorder="1" applyAlignment="1">
      <alignment/>
    </xf>
    <xf numFmtId="0" fontId="2" fillId="0" borderId="0" xfId="29" applyNumberFormat="1" applyFont="1" applyFill="1" applyBorder="1" applyAlignment="1">
      <alignment/>
      <protection/>
    </xf>
    <xf numFmtId="0" fontId="2" fillId="0" borderId="0" xfId="29" applyFont="1" applyBorder="1">
      <alignment/>
      <protection/>
    </xf>
    <xf numFmtId="0" fontId="2" fillId="0" borderId="15" xfId="29" applyNumberFormat="1" applyFont="1" applyFill="1" applyBorder="1" applyAlignment="1">
      <alignment/>
      <protection/>
    </xf>
    <xf numFmtId="0" fontId="4" fillId="25" borderId="11" xfId="0" applyFont="1" applyFill="1" applyBorder="1" applyAlignment="1">
      <alignment horizontal="center" vertical="center"/>
    </xf>
    <xf numFmtId="0" fontId="4" fillId="25" borderId="10" xfId="0" applyNumberFormat="1" applyFont="1" applyFill="1" applyBorder="1" applyAlignment="1">
      <alignment horizontal="center" vertical="center"/>
    </xf>
    <xf numFmtId="0" fontId="4" fillId="25" borderId="11" xfId="0" applyNumberFormat="1" applyFont="1" applyFill="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167" fontId="4" fillId="0" borderId="36" xfId="0" applyNumberFormat="1" applyFont="1" applyFill="1" applyBorder="1" applyAlignment="1">
      <alignment horizontal="left" vertical="center"/>
    </xf>
    <xf numFmtId="3" fontId="2" fillId="0" borderId="36" xfId="0" applyNumberFormat="1" applyFont="1" applyFill="1" applyBorder="1" applyAlignment="1">
      <alignment horizontal="center" vertical="center"/>
    </xf>
    <xf numFmtId="3" fontId="2" fillId="0" borderId="37" xfId="0" applyNumberFormat="1" applyFont="1" applyFill="1" applyBorder="1" applyAlignment="1">
      <alignment horizontal="center" vertical="center"/>
    </xf>
    <xf numFmtId="0" fontId="4" fillId="0" borderId="38" xfId="0" applyFont="1" applyFill="1" applyBorder="1" applyAlignment="1">
      <alignment horizontal="left" vertical="center"/>
    </xf>
    <xf numFmtId="167" fontId="4" fillId="0" borderId="39" xfId="0" applyNumberFormat="1" applyFont="1" applyFill="1" applyBorder="1" applyAlignment="1">
      <alignment horizontal="left" vertical="center"/>
    </xf>
    <xf numFmtId="3" fontId="2" fillId="0" borderId="39" xfId="0" applyNumberFormat="1" applyFont="1" applyFill="1" applyBorder="1" applyAlignment="1">
      <alignment horizontal="center" vertical="center"/>
    </xf>
    <xf numFmtId="3" fontId="2" fillId="0" borderId="40" xfId="0" applyNumberFormat="1" applyFont="1" applyFill="1" applyBorder="1" applyAlignment="1">
      <alignment horizontal="center" vertical="center"/>
    </xf>
    <xf numFmtId="0" fontId="4" fillId="0" borderId="41" xfId="0" applyFont="1" applyFill="1" applyBorder="1" applyAlignment="1">
      <alignment horizontal="left" vertical="center"/>
    </xf>
    <xf numFmtId="167" fontId="4" fillId="0" borderId="42" xfId="0" applyNumberFormat="1" applyFont="1" applyFill="1" applyBorder="1" applyAlignment="1">
      <alignment horizontal="left" vertical="center"/>
    </xf>
    <xf numFmtId="3" fontId="2" fillId="0" borderId="43" xfId="0" applyNumberFormat="1" applyFont="1" applyFill="1" applyBorder="1" applyAlignment="1">
      <alignment horizontal="center" vertical="center"/>
    </xf>
    <xf numFmtId="3" fontId="2" fillId="0" borderId="44"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4" fontId="2" fillId="0" borderId="36" xfId="0" applyNumberFormat="1" applyFont="1" applyFill="1" applyBorder="1" applyAlignment="1">
      <alignment horizontal="center" vertical="center"/>
    </xf>
    <xf numFmtId="164" fontId="2" fillId="0" borderId="39" xfId="0" applyNumberFormat="1" applyFont="1" applyFill="1" applyBorder="1" applyAlignment="1">
      <alignment horizontal="center" vertical="center"/>
    </xf>
    <xf numFmtId="0" fontId="4" fillId="0" borderId="39" xfId="0" applyFont="1" applyFill="1" applyBorder="1" applyAlignment="1">
      <alignment horizontal="left" vertical="center"/>
    </xf>
    <xf numFmtId="0" fontId="7" fillId="0" borderId="38" xfId="0" applyFont="1" applyBorder="1"/>
    <xf numFmtId="0" fontId="7" fillId="0" borderId="45" xfId="0" applyFont="1" applyBorder="1"/>
    <xf numFmtId="167" fontId="4" fillId="0" borderId="43" xfId="0" applyNumberFormat="1" applyFont="1" applyFill="1" applyBorder="1" applyAlignment="1">
      <alignment horizontal="left" vertical="center"/>
    </xf>
    <xf numFmtId="164" fontId="2" fillId="0" borderId="43" xfId="0" applyNumberFormat="1" applyFont="1" applyFill="1" applyBorder="1" applyAlignment="1">
      <alignment horizontal="center" vertical="center"/>
    </xf>
    <xf numFmtId="0" fontId="2" fillId="0" borderId="15" xfId="0" applyFont="1" applyFill="1" applyBorder="1" applyAlignment="1">
      <alignment horizontal="center"/>
    </xf>
    <xf numFmtId="0" fontId="2" fillId="0" borderId="0" xfId="0" applyFont="1" applyAlignment="1">
      <alignment horizontal="center"/>
    </xf>
    <xf numFmtId="0" fontId="2" fillId="0" borderId="0" xfId="0" applyFont="1" applyFill="1" applyAlignment="1">
      <alignment horizontal="center"/>
    </xf>
    <xf numFmtId="0" fontId="7" fillId="0" borderId="46" xfId="0" applyFont="1" applyBorder="1"/>
    <xf numFmtId="0" fontId="18" fillId="0" borderId="17" xfId="0" applyFont="1" applyBorder="1"/>
    <xf numFmtId="3" fontId="2" fillId="0" borderId="33" xfId="35" applyNumberFormat="1" applyFont="1" applyFill="1" applyBorder="1" applyAlignment="1">
      <alignment/>
      <protection/>
    </xf>
    <xf numFmtId="0" fontId="2" fillId="0" borderId="33" xfId="35" applyNumberFormat="1" applyFont="1" applyFill="1" applyBorder="1" applyAlignment="1">
      <alignment/>
      <protection/>
    </xf>
    <xf numFmtId="0" fontId="2" fillId="8" borderId="33" xfId="35" applyNumberFormat="1" applyFont="1" applyFill="1" applyBorder="1" applyAlignment="1">
      <alignment/>
      <protection/>
    </xf>
    <xf numFmtId="0" fontId="4" fillId="0" borderId="20" xfId="0" applyFont="1" applyFill="1" applyBorder="1" applyAlignment="1">
      <alignment vertical="center"/>
    </xf>
    <xf numFmtId="0" fontId="4" fillId="0" borderId="22" xfId="0" applyFont="1" applyFill="1" applyBorder="1" applyAlignment="1">
      <alignment vertical="center"/>
    </xf>
    <xf numFmtId="167" fontId="4" fillId="0" borderId="21" xfId="0" applyNumberFormat="1" applyFont="1" applyFill="1" applyBorder="1" applyAlignment="1">
      <alignment vertical="center"/>
    </xf>
    <xf numFmtId="3" fontId="2" fillId="0" borderId="21" xfId="0" applyNumberFormat="1" applyFont="1" applyFill="1" applyBorder="1" applyAlignment="1">
      <alignment horizontal="right" vertical="center"/>
    </xf>
    <xf numFmtId="0" fontId="7" fillId="0" borderId="28" xfId="0" applyFont="1" applyBorder="1" applyAlignment="1">
      <alignment/>
    </xf>
    <xf numFmtId="0" fontId="7" fillId="0" borderId="47" xfId="0" applyFont="1" applyFill="1" applyBorder="1" applyAlignment="1">
      <alignment/>
    </xf>
    <xf numFmtId="167" fontId="4" fillId="0" borderId="47" xfId="0" applyNumberFormat="1" applyFont="1" applyFill="1" applyBorder="1" applyAlignment="1">
      <alignment vertical="center"/>
    </xf>
    <xf numFmtId="3" fontId="6" fillId="0" borderId="28" xfId="0" applyNumberFormat="1" applyFont="1" applyBorder="1"/>
    <xf numFmtId="0" fontId="7" fillId="0" borderId="47" xfId="0" applyFont="1" applyBorder="1" applyAlignment="1">
      <alignment/>
    </xf>
    <xf numFmtId="0" fontId="7" fillId="0" borderId="47" xfId="0" applyFont="1" applyBorder="1"/>
    <xf numFmtId="3" fontId="2" fillId="0" borderId="48" xfId="0" applyNumberFormat="1" applyFont="1" applyFill="1" applyBorder="1" applyAlignment="1">
      <alignment horizontal="right" vertical="center"/>
    </xf>
    <xf numFmtId="0" fontId="7" fillId="0" borderId="49" xfId="0" applyFont="1" applyBorder="1"/>
    <xf numFmtId="0" fontId="7" fillId="0" borderId="50" xfId="0" applyFont="1" applyBorder="1" applyAlignment="1">
      <alignment/>
    </xf>
    <xf numFmtId="167" fontId="4" fillId="0" borderId="39" xfId="0" applyNumberFormat="1" applyFont="1" applyFill="1" applyBorder="1" applyAlignment="1">
      <alignment vertical="center"/>
    </xf>
    <xf numFmtId="3" fontId="2" fillId="0" borderId="39" xfId="0" applyNumberFormat="1" applyFont="1" applyFill="1" applyBorder="1" applyAlignment="1">
      <alignment horizontal="right" vertical="center"/>
    </xf>
    <xf numFmtId="3" fontId="2" fillId="0" borderId="40" xfId="0" applyNumberFormat="1" applyFont="1" applyFill="1" applyBorder="1" applyAlignment="1">
      <alignment horizontal="right" vertical="center"/>
    </xf>
    <xf numFmtId="0" fontId="7" fillId="0" borderId="39" xfId="0" applyFont="1" applyBorder="1" applyAlignment="1">
      <alignment/>
    </xf>
    <xf numFmtId="0" fontId="7" fillId="0" borderId="43" xfId="0" applyFont="1" applyBorder="1" applyAlignment="1">
      <alignment/>
    </xf>
    <xf numFmtId="3" fontId="2" fillId="0" borderId="43" xfId="0" applyNumberFormat="1" applyFont="1" applyFill="1" applyBorder="1" applyAlignment="1">
      <alignment horizontal="right" vertical="center"/>
    </xf>
    <xf numFmtId="3" fontId="2" fillId="0" borderId="44" xfId="0" applyNumberFormat="1" applyFont="1" applyFill="1" applyBorder="1" applyAlignment="1">
      <alignment horizontal="right" vertical="center"/>
    </xf>
    <xf numFmtId="168" fontId="2" fillId="0" borderId="21" xfId="0" applyNumberFormat="1" applyFont="1" applyFill="1" applyBorder="1" applyAlignment="1">
      <alignment horizontal="right" vertical="center"/>
    </xf>
    <xf numFmtId="0" fontId="7" fillId="0" borderId="15" xfId="0" applyFont="1" applyBorder="1"/>
    <xf numFmtId="168" fontId="6" fillId="0" borderId="0" xfId="0" applyNumberFormat="1" applyFont="1"/>
    <xf numFmtId="0" fontId="14" fillId="0" borderId="0" xfId="0" applyFont="1" applyFill="1" applyBorder="1" applyAlignment="1">
      <alignment horizontal="left" vertical="top"/>
    </xf>
    <xf numFmtId="0" fontId="4" fillId="25" borderId="10" xfId="0" applyNumberFormat="1" applyFont="1" applyFill="1" applyBorder="1" applyAlignment="1">
      <alignment horizontal="center" vertical="center" wrapText="1"/>
    </xf>
    <xf numFmtId="0" fontId="4" fillId="25" borderId="11" xfId="0" applyNumberFormat="1" applyFont="1" applyFill="1" applyBorder="1" applyAlignment="1">
      <alignment horizontal="center" vertical="center" wrapText="1"/>
    </xf>
    <xf numFmtId="3" fontId="2" fillId="0" borderId="0" xfId="0" applyNumberFormat="1" applyFont="1" applyFill="1" applyBorder="1" applyAlignment="1">
      <alignment/>
    </xf>
    <xf numFmtId="166" fontId="2" fillId="0" borderId="0" xfId="21" applyNumberFormat="1" applyFont="1" applyFill="1" applyBorder="1" applyAlignment="1">
      <alignment/>
      <protection/>
    </xf>
    <xf numFmtId="168" fontId="2" fillId="0" borderId="33" xfId="21" applyNumberFormat="1" applyFont="1" applyFill="1" applyBorder="1" applyAlignment="1">
      <alignment/>
      <protection/>
    </xf>
    <xf numFmtId="0" fontId="2" fillId="0" borderId="33" xfId="21" applyNumberFormat="1" applyFont="1" applyFill="1" applyBorder="1" applyAlignment="1">
      <alignment/>
      <protection/>
    </xf>
    <xf numFmtId="0" fontId="2" fillId="8" borderId="33" xfId="21" applyNumberFormat="1" applyFont="1" applyFill="1" applyBorder="1" applyAlignment="1">
      <alignment/>
      <protection/>
    </xf>
    <xf numFmtId="0" fontId="2" fillId="0" borderId="0" xfId="21" applyNumberFormat="1" applyFont="1" applyFill="1" applyBorder="1" applyAlignment="1">
      <alignment/>
      <protection/>
    </xf>
    <xf numFmtId="3" fontId="2" fillId="0" borderId="0" xfId="35" applyNumberFormat="1" applyFont="1" applyFill="1" applyBorder="1" applyAlignment="1">
      <alignment/>
      <protection/>
    </xf>
    <xf numFmtId="0" fontId="2" fillId="0" borderId="0" xfId="35" applyNumberFormat="1" applyFont="1" applyFill="1" applyBorder="1" applyAlignment="1">
      <alignment/>
      <protection/>
    </xf>
    <xf numFmtId="0" fontId="18" fillId="0" borderId="0" xfId="0" applyFont="1" applyBorder="1"/>
    <xf numFmtId="0" fontId="5" fillId="0" borderId="0" xfId="21">
      <alignment/>
      <protection/>
    </xf>
    <xf numFmtId="0" fontId="1" fillId="0" borderId="0" xfId="21" applyNumberFormat="1" applyFont="1" applyFill="1" applyBorder="1" applyAlignment="1">
      <alignment/>
      <protection/>
    </xf>
    <xf numFmtId="0" fontId="2" fillId="0" borderId="0" xfId="21" applyFont="1">
      <alignment/>
      <protection/>
    </xf>
    <xf numFmtId="167" fontId="2" fillId="0" borderId="33" xfId="21" applyNumberFormat="1" applyFont="1" applyFill="1" applyBorder="1" applyAlignment="1">
      <alignment/>
      <protection/>
    </xf>
    <xf numFmtId="164" fontId="6" fillId="0" borderId="0" xfId="0" applyNumberFormat="1" applyFont="1"/>
    <xf numFmtId="169" fontId="6" fillId="0" borderId="0" xfId="0" applyNumberFormat="1" applyFont="1"/>
    <xf numFmtId="167" fontId="2" fillId="0" borderId="29" xfId="0" applyNumberFormat="1" applyFont="1" applyFill="1" applyBorder="1" applyAlignment="1">
      <alignment horizontal="center" vertic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0" fontId="6" fillId="0" borderId="0" xfId="0" applyFont="1" applyAlignment="1">
      <alignment horizontal="center"/>
    </xf>
    <xf numFmtId="166" fontId="2" fillId="0" borderId="0" xfId="0" applyNumberFormat="1" applyFont="1" applyFill="1" applyBorder="1" applyAlignment="1">
      <alignment/>
    </xf>
    <xf numFmtId="4" fontId="2" fillId="0" borderId="33" xfId="0" applyNumberFormat="1" applyFont="1" applyFill="1" applyBorder="1" applyAlignment="1">
      <alignment/>
    </xf>
    <xf numFmtId="170" fontId="2" fillId="0" borderId="33" xfId="0" applyNumberFormat="1" applyFont="1" applyFill="1" applyBorder="1" applyAlignment="1">
      <alignment/>
    </xf>
    <xf numFmtId="168" fontId="2" fillId="0" borderId="33" xfId="0" applyNumberFormat="1" applyFont="1" applyFill="1" applyBorder="1" applyAlignment="1">
      <alignment/>
    </xf>
    <xf numFmtId="0" fontId="2" fillId="0" borderId="17" xfId="0" applyFont="1" applyBorder="1"/>
    <xf numFmtId="0" fontId="2" fillId="0" borderId="18" xfId="0" applyFont="1" applyBorder="1"/>
    <xf numFmtId="0" fontId="0" fillId="0" borderId="12" xfId="0" applyBorder="1"/>
    <xf numFmtId="0" fontId="2" fillId="0" borderId="0" xfId="0" applyFont="1" applyBorder="1"/>
    <xf numFmtId="0" fontId="2" fillId="0" borderId="13" xfId="0" applyFont="1" applyBorder="1"/>
    <xf numFmtId="0" fontId="2" fillId="0" borderId="12" xfId="0" applyFont="1" applyBorder="1"/>
    <xf numFmtId="0" fontId="0" fillId="0" borderId="14" xfId="0" applyBorder="1"/>
    <xf numFmtId="0" fontId="2" fillId="0" borderId="15" xfId="0" applyFont="1" applyBorder="1"/>
    <xf numFmtId="0" fontId="2" fillId="0" borderId="16" xfId="0" applyFont="1" applyBorder="1"/>
    <xf numFmtId="0" fontId="18" fillId="0" borderId="18" xfId="0" applyFont="1" applyBorder="1"/>
    <xf numFmtId="0" fontId="2" fillId="0" borderId="14" xfId="0" applyFont="1" applyBorder="1"/>
    <xf numFmtId="0" fontId="19" fillId="25" borderId="11" xfId="0" applyFont="1" applyFill="1" applyBorder="1" applyAlignment="1">
      <alignment horizontal="center" vertical="center"/>
    </xf>
    <xf numFmtId="0" fontId="7" fillId="25" borderId="11" xfId="0" applyFont="1" applyFill="1" applyBorder="1" applyAlignment="1">
      <alignment horizontal="left"/>
    </xf>
    <xf numFmtId="0" fontId="7" fillId="25" borderId="11" xfId="0" applyFont="1" applyFill="1" applyBorder="1" applyAlignment="1">
      <alignment horizontal="center" wrapText="1"/>
    </xf>
    <xf numFmtId="164" fontId="4" fillId="0" borderId="39" xfId="0" applyNumberFormat="1" applyFont="1" applyFill="1" applyBorder="1" applyAlignment="1">
      <alignment horizontal="left" vertical="center"/>
    </xf>
    <xf numFmtId="164" fontId="4" fillId="0" borderId="43" xfId="0" applyNumberFormat="1" applyFont="1" applyFill="1" applyBorder="1" applyAlignment="1">
      <alignment horizontal="left" vertical="center"/>
    </xf>
    <xf numFmtId="164" fontId="4" fillId="0" borderId="51" xfId="0" applyNumberFormat="1" applyFont="1" applyFill="1" applyBorder="1" applyAlignment="1">
      <alignment horizontal="left" vertical="center"/>
    </xf>
    <xf numFmtId="164" fontId="2" fillId="0" borderId="51" xfId="0" applyNumberFormat="1" applyFont="1" applyFill="1" applyBorder="1" applyAlignment="1">
      <alignment horizontal="center" vertical="center"/>
    </xf>
    <xf numFmtId="9" fontId="2" fillId="0" borderId="39" xfId="0" applyNumberFormat="1" applyFont="1" applyFill="1" applyBorder="1" applyAlignment="1">
      <alignment horizontal="center" vertical="center"/>
    </xf>
    <xf numFmtId="9" fontId="2" fillId="0" borderId="43" xfId="0" applyNumberFormat="1" applyFont="1" applyFill="1" applyBorder="1" applyAlignment="1">
      <alignment horizontal="center" vertical="center"/>
    </xf>
    <xf numFmtId="9" fontId="2" fillId="0" borderId="51" xfId="0" applyNumberFormat="1" applyFont="1" applyFill="1" applyBorder="1" applyAlignment="1">
      <alignment horizontal="center" vertical="center"/>
    </xf>
    <xf numFmtId="164" fontId="2" fillId="0" borderId="38" xfId="0" applyNumberFormat="1" applyFont="1" applyFill="1" applyBorder="1" applyAlignment="1">
      <alignment horizontal="center" vertical="center"/>
    </xf>
    <xf numFmtId="164" fontId="2" fillId="0" borderId="45" xfId="0" applyNumberFormat="1" applyFont="1" applyFill="1" applyBorder="1" applyAlignment="1">
      <alignment horizontal="center" vertical="center"/>
    </xf>
    <xf numFmtId="164" fontId="2" fillId="0" borderId="52" xfId="0" applyNumberFormat="1" applyFont="1" applyFill="1" applyBorder="1" applyAlignment="1">
      <alignment horizontal="center" vertical="center"/>
    </xf>
    <xf numFmtId="0" fontId="7" fillId="0" borderId="0" xfId="0" applyFont="1" applyFill="1" applyBorder="1" applyAlignment="1">
      <alignment horizontal="center" wrapText="1"/>
    </xf>
    <xf numFmtId="164" fontId="2" fillId="0" borderId="0" xfId="0" applyNumberFormat="1" applyFont="1" applyFill="1" applyBorder="1" applyAlignment="1">
      <alignment horizontal="center" vertical="center"/>
    </xf>
    <xf numFmtId="0" fontId="4" fillId="25" borderId="53" xfId="0" applyNumberFormat="1" applyFont="1" applyFill="1" applyBorder="1" applyAlignment="1">
      <alignment horizontal="center"/>
    </xf>
    <xf numFmtId="0" fontId="4" fillId="25" borderId="54" xfId="0" applyNumberFormat="1" applyFont="1" applyFill="1" applyBorder="1" applyAlignment="1">
      <alignment horizontal="center"/>
    </xf>
    <xf numFmtId="0" fontId="4" fillId="25" borderId="55" xfId="0" applyNumberFormat="1" applyFont="1" applyFill="1" applyBorder="1" applyAlignment="1">
      <alignment horizontal="center"/>
    </xf>
    <xf numFmtId="0" fontId="4" fillId="25" borderId="56" xfId="0" applyNumberFormat="1" applyFont="1" applyFill="1" applyBorder="1" applyAlignment="1">
      <alignment horizontal="center"/>
    </xf>
    <xf numFmtId="0" fontId="4" fillId="0" borderId="57" xfId="0" applyNumberFormat="1" applyFont="1" applyFill="1" applyBorder="1" applyAlignment="1">
      <alignment horizontal="left"/>
    </xf>
    <xf numFmtId="0" fontId="4" fillId="0" borderId="33" xfId="0" applyNumberFormat="1" applyFont="1" applyFill="1" applyBorder="1" applyAlignment="1">
      <alignment horizontal="left"/>
    </xf>
    <xf numFmtId="167" fontId="2" fillId="0" borderId="57" xfId="0" applyNumberFormat="1" applyFont="1" applyFill="1" applyBorder="1" applyAlignment="1">
      <alignment/>
    </xf>
    <xf numFmtId="167" fontId="2" fillId="0" borderId="33" xfId="0" applyNumberFormat="1" applyFont="1" applyFill="1" applyBorder="1" applyAlignment="1">
      <alignment/>
    </xf>
    <xf numFmtId="0" fontId="37" fillId="0" borderId="0" xfId="0" applyFont="1"/>
    <xf numFmtId="167" fontId="38" fillId="0" borderId="0" xfId="0" applyNumberFormat="1" applyFont="1"/>
    <xf numFmtId="0" fontId="39" fillId="0" borderId="0" xfId="0" applyFont="1"/>
    <xf numFmtId="167" fontId="16" fillId="0" borderId="0" xfId="0" applyNumberFormat="1" applyFont="1"/>
    <xf numFmtId="0" fontId="16" fillId="0" borderId="0" xfId="0" applyFont="1"/>
    <xf numFmtId="2" fontId="16" fillId="0" borderId="0" xfId="0" applyNumberFormat="1" applyFont="1"/>
    <xf numFmtId="2" fontId="17" fillId="0" borderId="0" xfId="0" applyNumberFormat="1" applyFont="1"/>
    <xf numFmtId="9" fontId="40" fillId="0" borderId="0" xfId="0" applyNumberFormat="1" applyFont="1"/>
    <xf numFmtId="0" fontId="14" fillId="0" borderId="0" xfId="0" applyFont="1" applyFill="1" applyBorder="1" applyAlignment="1">
      <alignment vertical="top"/>
    </xf>
    <xf numFmtId="0" fontId="41" fillId="0" borderId="0" xfId="0" applyFont="1"/>
    <xf numFmtId="0" fontId="42" fillId="0" borderId="17" xfId="0" applyFont="1" applyBorder="1"/>
    <xf numFmtId="0" fontId="0" fillId="0" borderId="0" xfId="0" applyBorder="1"/>
    <xf numFmtId="0" fontId="0" fillId="0" borderId="13" xfId="0" applyBorder="1"/>
    <xf numFmtId="9" fontId="17" fillId="0" borderId="0" xfId="0" applyNumberFormat="1" applyFont="1"/>
    <xf numFmtId="166"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43" xfId="0" applyFont="1" applyBorder="1"/>
    <xf numFmtId="164" fontId="0" fillId="0" borderId="0" xfId="0" applyNumberFormat="1"/>
    <xf numFmtId="0" fontId="43" fillId="0" borderId="0" xfId="0" applyFont="1" applyAlignment="1">
      <alignment horizontal="left"/>
    </xf>
    <xf numFmtId="0" fontId="14" fillId="0" borderId="0" xfId="0" applyFont="1" applyFill="1" applyBorder="1" applyAlignment="1">
      <alignment horizontal="left"/>
    </xf>
    <xf numFmtId="0" fontId="44" fillId="0" borderId="0" xfId="34" applyFont="1"/>
    <xf numFmtId="0" fontId="14" fillId="0" borderId="0" xfId="0" applyFont="1" applyFill="1" applyBorder="1" applyAlignment="1">
      <alignment horizontal="left" vertical="top"/>
    </xf>
    <xf numFmtId="0" fontId="14" fillId="0" borderId="0" xfId="0" applyFont="1" applyFill="1" applyBorder="1" applyAlignment="1">
      <alignment horizontal="left" vertical="top"/>
    </xf>
    <xf numFmtId="0" fontId="45" fillId="0" borderId="0" xfId="0" applyFont="1" applyAlignment="1">
      <alignment horizontal="left"/>
    </xf>
    <xf numFmtId="0" fontId="46" fillId="0" borderId="0" xfId="0" applyFont="1"/>
    <xf numFmtId="0" fontId="47" fillId="0" borderId="0" xfId="0" applyFont="1" applyFill="1" applyBorder="1" applyAlignment="1">
      <alignment vertical="top"/>
    </xf>
    <xf numFmtId="167" fontId="49" fillId="25" borderId="58" xfId="0" applyNumberFormat="1" applyFont="1" applyFill="1" applyBorder="1" applyAlignment="1">
      <alignment horizontal="left" wrapText="1"/>
    </xf>
    <xf numFmtId="164" fontId="49" fillId="25" borderId="59" xfId="0" applyNumberFormat="1" applyFont="1" applyFill="1" applyBorder="1" applyAlignment="1">
      <alignment horizontal="center" vertical="center" wrapText="1"/>
    </xf>
    <xf numFmtId="164" fontId="49" fillId="29" borderId="43" xfId="0" applyNumberFormat="1" applyFont="1" applyFill="1" applyBorder="1" applyAlignment="1">
      <alignment horizontal="left" vertical="center"/>
    </xf>
    <xf numFmtId="165" fontId="37" fillId="0" borderId="51" xfId="30" applyNumberFormat="1" applyFont="1" applyFill="1" applyBorder="1" applyAlignment="1">
      <alignment horizontal="center"/>
    </xf>
    <xf numFmtId="164" fontId="49" fillId="29" borderId="60" xfId="0" applyNumberFormat="1" applyFont="1" applyFill="1" applyBorder="1" applyAlignment="1">
      <alignment horizontal="left" vertical="center"/>
    </xf>
    <xf numFmtId="165" fontId="37" fillId="0" borderId="60" xfId="30" applyNumberFormat="1" applyFont="1" applyFill="1" applyBorder="1" applyAlignment="1">
      <alignment horizontal="center"/>
    </xf>
    <xf numFmtId="164" fontId="49" fillId="29" borderId="39" xfId="0" applyNumberFormat="1" applyFont="1" applyFill="1" applyBorder="1" applyAlignment="1">
      <alignment horizontal="left" vertical="center"/>
    </xf>
    <xf numFmtId="165" fontId="37" fillId="0" borderId="39" xfId="30" applyNumberFormat="1" applyFont="1" applyFill="1" applyBorder="1" applyAlignment="1">
      <alignment horizontal="center"/>
    </xf>
    <xf numFmtId="164" fontId="49" fillId="29" borderId="61" xfId="0" applyNumberFormat="1" applyFont="1" applyFill="1" applyBorder="1" applyAlignment="1">
      <alignment horizontal="left" vertical="center"/>
    </xf>
    <xf numFmtId="165" fontId="37" fillId="0" borderId="61" xfId="30" applyNumberFormat="1" applyFont="1" applyFill="1" applyBorder="1" applyAlignment="1">
      <alignment horizontal="center"/>
    </xf>
    <xf numFmtId="0" fontId="49" fillId="0" borderId="24" xfId="0" applyNumberFormat="1" applyFont="1" applyFill="1" applyBorder="1" applyAlignment="1">
      <alignment horizontal="left" vertical="center"/>
    </xf>
    <xf numFmtId="164" fontId="49" fillId="29" borderId="24" xfId="0" applyNumberFormat="1" applyFont="1" applyFill="1" applyBorder="1" applyAlignment="1">
      <alignment horizontal="left" vertical="center"/>
    </xf>
    <xf numFmtId="165" fontId="37" fillId="0" borderId="24" xfId="30" applyNumberFormat="1" applyFont="1" applyFill="1" applyBorder="1" applyAlignment="1">
      <alignment horizontal="center"/>
    </xf>
    <xf numFmtId="164" fontId="49" fillId="29" borderId="62" xfId="0" applyNumberFormat="1" applyFont="1" applyFill="1" applyBorder="1" applyAlignment="1">
      <alignment horizontal="left" vertical="center"/>
    </xf>
    <xf numFmtId="165" fontId="37" fillId="0" borderId="62" xfId="30" applyNumberFormat="1" applyFont="1" applyFill="1" applyBorder="1" applyAlignment="1">
      <alignment horizontal="center"/>
    </xf>
    <xf numFmtId="164" fontId="49" fillId="29" borderId="51" xfId="0" applyNumberFormat="1" applyFont="1" applyFill="1" applyBorder="1" applyAlignment="1">
      <alignment horizontal="left" vertical="center"/>
    </xf>
    <xf numFmtId="49" fontId="49" fillId="29" borderId="61" xfId="0" applyNumberFormat="1" applyFont="1" applyFill="1" applyBorder="1" applyAlignment="1">
      <alignment horizontal="left" vertical="center" wrapText="1"/>
    </xf>
    <xf numFmtId="165" fontId="37" fillId="0" borderId="63" xfId="30" applyNumberFormat="1" applyFont="1" applyFill="1" applyBorder="1" applyAlignment="1">
      <alignment horizontal="center"/>
    </xf>
    <xf numFmtId="0" fontId="49" fillId="0" borderId="24" xfId="0" applyNumberFormat="1" applyFont="1" applyFill="1" applyBorder="1" applyAlignment="1">
      <alignment horizontal="left" vertical="center" wrapText="1"/>
    </xf>
    <xf numFmtId="164" fontId="49" fillId="29" borderId="42" xfId="0" applyNumberFormat="1" applyFont="1" applyFill="1" applyBorder="1" applyAlignment="1">
      <alignment horizontal="left" vertical="center"/>
    </xf>
    <xf numFmtId="165" fontId="37" fillId="0" borderId="43" xfId="30" applyNumberFormat="1" applyFont="1" applyFill="1" applyBorder="1" applyAlignment="1">
      <alignment horizontal="center"/>
    </xf>
    <xf numFmtId="0" fontId="43" fillId="0" borderId="0" xfId="0" applyFont="1"/>
    <xf numFmtId="0" fontId="8" fillId="0" borderId="0" xfId="34"/>
    <xf numFmtId="168" fontId="2" fillId="0" borderId="64" xfId="0" applyNumberFormat="1" applyFont="1" applyFill="1" applyBorder="1" applyAlignment="1">
      <alignment horizontal="right" vertical="center"/>
    </xf>
    <xf numFmtId="0" fontId="41" fillId="0" borderId="0" xfId="0" applyFont="1" applyBorder="1"/>
    <xf numFmtId="164" fontId="2" fillId="0" borderId="48" xfId="0" applyNumberFormat="1" applyFont="1" applyFill="1" applyBorder="1" applyAlignment="1">
      <alignment horizontal="center" vertical="center"/>
    </xf>
    <xf numFmtId="0" fontId="4" fillId="0" borderId="65" xfId="0" applyFont="1" applyFill="1" applyBorder="1" applyAlignment="1">
      <alignment horizontal="left" vertical="center" wrapText="1"/>
    </xf>
    <xf numFmtId="164" fontId="2" fillId="0" borderId="30" xfId="0" applyNumberFormat="1" applyFont="1" applyFill="1" applyBorder="1" applyAlignment="1">
      <alignment horizontal="center" vertical="center"/>
    </xf>
    <xf numFmtId="0" fontId="4" fillId="0" borderId="66" xfId="0" applyFont="1" applyFill="1" applyBorder="1" applyAlignment="1">
      <alignment horizontal="left" vertical="center"/>
    </xf>
    <xf numFmtId="0" fontId="14" fillId="0" borderId="0" xfId="0" applyFont="1" applyFill="1" applyBorder="1" applyAlignment="1">
      <alignment horizontal="left"/>
    </xf>
    <xf numFmtId="167" fontId="2" fillId="0" borderId="65" xfId="0" applyNumberFormat="1" applyFont="1" applyFill="1" applyBorder="1" applyAlignment="1">
      <alignment horizontal="center" vertical="center"/>
    </xf>
    <xf numFmtId="167" fontId="2" fillId="0" borderId="23" xfId="0" applyNumberFormat="1" applyFont="1" applyFill="1" applyBorder="1" applyAlignment="1">
      <alignment horizontal="center" vertical="center"/>
    </xf>
    <xf numFmtId="2" fontId="6" fillId="0" borderId="19" xfId="0" applyNumberFormat="1" applyFont="1" applyBorder="1"/>
    <xf numFmtId="9" fontId="2" fillId="0" borderId="0" xfId="0" applyNumberFormat="1" applyFont="1"/>
    <xf numFmtId="172" fontId="2" fillId="0" borderId="0" xfId="0" applyNumberFormat="1" applyFont="1"/>
    <xf numFmtId="0" fontId="6" fillId="0" borderId="67" xfId="0" applyFont="1" applyBorder="1"/>
    <xf numFmtId="1" fontId="6" fillId="0" borderId="67" xfId="0" applyNumberFormat="1" applyFont="1" applyBorder="1"/>
    <xf numFmtId="0" fontId="6" fillId="0" borderId="66" xfId="0" applyFont="1" applyBorder="1"/>
    <xf numFmtId="1" fontId="6" fillId="0" borderId="66" xfId="0" applyNumberFormat="1" applyFont="1" applyBorder="1"/>
    <xf numFmtId="172" fontId="6" fillId="0" borderId="66" xfId="0" applyNumberFormat="1" applyFont="1" applyBorder="1"/>
    <xf numFmtId="0" fontId="2" fillId="25" borderId="11" xfId="0" applyNumberFormat="1" applyFont="1" applyFill="1" applyBorder="1" applyAlignment="1">
      <alignment horizontal="left" vertical="center"/>
    </xf>
    <xf numFmtId="0" fontId="2" fillId="25" borderId="10" xfId="0" applyNumberFormat="1" applyFont="1" applyFill="1" applyBorder="1" applyAlignment="1">
      <alignment horizontal="left" vertical="center"/>
    </xf>
    <xf numFmtId="0" fontId="50" fillId="0" borderId="0" xfId="0" applyFont="1"/>
    <xf numFmtId="0" fontId="2" fillId="8" borderId="33" xfId="0" applyNumberFormat="1" applyFont="1" applyFill="1" applyBorder="1" applyAlignment="1">
      <alignment horizontal="left"/>
    </xf>
    <xf numFmtId="0" fontId="2" fillId="8" borderId="33" xfId="21" applyNumberFormat="1" applyFont="1" applyFill="1" applyBorder="1" applyAlignment="1">
      <alignment horizontal="left"/>
      <protection/>
    </xf>
    <xf numFmtId="0" fontId="6" fillId="30" borderId="0" xfId="0" applyFont="1" applyFill="1" applyAlignment="1">
      <alignment/>
    </xf>
    <xf numFmtId="0" fontId="6" fillId="30" borderId="0" xfId="0" applyFont="1" applyFill="1"/>
    <xf numFmtId="0" fontId="6" fillId="30" borderId="68" xfId="0" applyFont="1" applyFill="1" applyBorder="1" applyAlignment="1">
      <alignment horizontal="center"/>
    </xf>
    <xf numFmtId="9" fontId="2" fillId="0" borderId="0" xfId="0" applyNumberFormat="1" applyFont="1" applyBorder="1"/>
    <xf numFmtId="9" fontId="2" fillId="0" borderId="69" xfId="0" applyNumberFormat="1" applyFont="1" applyBorder="1"/>
    <xf numFmtId="0" fontId="6" fillId="0" borderId="0" xfId="0" applyFont="1" applyAlignment="1">
      <alignment horizontal="left" vertical="top" wrapText="1"/>
    </xf>
    <xf numFmtId="49" fontId="6" fillId="0" borderId="0" xfId="0" applyNumberFormat="1" applyFont="1" applyAlignment="1">
      <alignment horizontal="left"/>
    </xf>
    <xf numFmtId="0" fontId="14" fillId="0" borderId="0" xfId="0" applyFont="1" applyFill="1" applyBorder="1" applyAlignment="1">
      <alignment horizontal="left"/>
    </xf>
    <xf numFmtId="0" fontId="4" fillId="25" borderId="11" xfId="0" applyNumberFormat="1" applyFont="1" applyFill="1" applyBorder="1" applyAlignment="1">
      <alignment horizontal="center" vertical="center" wrapText="1"/>
    </xf>
    <xf numFmtId="0" fontId="14" fillId="0" borderId="0" xfId="0" applyFont="1" applyFill="1" applyBorder="1" applyAlignment="1">
      <alignment horizontal="left" vertical="top"/>
    </xf>
    <xf numFmtId="0" fontId="4" fillId="25" borderId="24" xfId="0" applyFont="1" applyFill="1" applyBorder="1" applyAlignment="1">
      <alignment horizontal="center" vertical="center"/>
    </xf>
    <xf numFmtId="172" fontId="2" fillId="0" borderId="30" xfId="0" applyNumberFormat="1" applyFont="1" applyFill="1" applyBorder="1" applyAlignment="1">
      <alignment horizontal="center" vertical="center"/>
    </xf>
    <xf numFmtId="172" fontId="2" fillId="0" borderId="70" xfId="0" applyNumberFormat="1" applyFont="1" applyFill="1" applyBorder="1" applyAlignment="1">
      <alignment horizontal="center" vertical="center"/>
    </xf>
    <xf numFmtId="172" fontId="2" fillId="0" borderId="66" xfId="0" applyNumberFormat="1" applyFont="1" applyFill="1" applyBorder="1" applyAlignment="1">
      <alignment horizontal="center" vertical="center"/>
    </xf>
    <xf numFmtId="167" fontId="49" fillId="25" borderId="19" xfId="0" applyNumberFormat="1" applyFont="1" applyFill="1" applyBorder="1" applyAlignment="1">
      <alignment horizontal="left" wrapText="1"/>
    </xf>
    <xf numFmtId="164" fontId="49" fillId="25" borderId="71" xfId="0" applyNumberFormat="1" applyFont="1" applyFill="1" applyBorder="1" applyAlignment="1">
      <alignment horizontal="center" vertical="center" wrapText="1"/>
    </xf>
    <xf numFmtId="0" fontId="49" fillId="0" borderId="72" xfId="0" applyNumberFormat="1" applyFont="1" applyFill="1" applyBorder="1" applyAlignment="1">
      <alignment horizontal="left" vertical="center"/>
    </xf>
    <xf numFmtId="165" fontId="37" fillId="0" borderId="73" xfId="30" applyNumberFormat="1" applyFont="1" applyFill="1" applyBorder="1" applyAlignment="1">
      <alignment horizontal="center"/>
    </xf>
    <xf numFmtId="0" fontId="49" fillId="0" borderId="74" xfId="0" applyNumberFormat="1" applyFont="1" applyFill="1" applyBorder="1" applyAlignment="1">
      <alignment horizontal="left" vertical="center"/>
    </xf>
    <xf numFmtId="165" fontId="37" fillId="0" borderId="75" xfId="30" applyNumberFormat="1" applyFont="1" applyFill="1" applyBorder="1" applyAlignment="1">
      <alignment horizontal="center"/>
    </xf>
    <xf numFmtId="165" fontId="37" fillId="0" borderId="40" xfId="30" applyNumberFormat="1" applyFont="1" applyFill="1" applyBorder="1" applyAlignment="1">
      <alignment horizontal="center"/>
    </xf>
    <xf numFmtId="165" fontId="37" fillId="0" borderId="76" xfId="30" applyNumberFormat="1" applyFont="1" applyFill="1" applyBorder="1" applyAlignment="1">
      <alignment horizontal="center"/>
    </xf>
    <xf numFmtId="165" fontId="37" fillId="0" borderId="77" xfId="30" applyNumberFormat="1" applyFont="1" applyFill="1" applyBorder="1" applyAlignment="1">
      <alignment horizontal="center"/>
    </xf>
    <xf numFmtId="165" fontId="37" fillId="0" borderId="78" xfId="30" applyNumberFormat="1" applyFont="1" applyFill="1" applyBorder="1" applyAlignment="1">
      <alignment horizontal="center"/>
    </xf>
    <xf numFmtId="0" fontId="49" fillId="0" borderId="72" xfId="0" applyNumberFormat="1" applyFont="1" applyFill="1" applyBorder="1" applyAlignment="1">
      <alignment horizontal="left" vertical="center" wrapText="1"/>
    </xf>
    <xf numFmtId="0" fontId="49" fillId="0" borderId="74" xfId="0" applyNumberFormat="1" applyFont="1" applyFill="1" applyBorder="1" applyAlignment="1">
      <alignment horizontal="left" vertical="center" wrapText="1"/>
    </xf>
    <xf numFmtId="0" fontId="49" fillId="0" borderId="79" xfId="0" applyNumberFormat="1" applyFont="1" applyFill="1" applyBorder="1" applyAlignment="1">
      <alignment horizontal="left" vertical="center" wrapText="1"/>
    </xf>
    <xf numFmtId="165" fontId="37" fillId="0" borderId="44" xfId="30" applyNumberFormat="1" applyFont="1" applyFill="1" applyBorder="1" applyAlignment="1">
      <alignment horizontal="center"/>
    </xf>
    <xf numFmtId="0" fontId="49" fillId="0" borderId="0" xfId="0" applyNumberFormat="1" applyFont="1" applyFill="1" applyBorder="1" applyAlignment="1">
      <alignment horizontal="left" vertical="center" wrapText="1"/>
    </xf>
    <xf numFmtId="164" fontId="49" fillId="29" borderId="0" xfId="0" applyNumberFormat="1" applyFont="1" applyFill="1" applyBorder="1" applyAlignment="1">
      <alignment horizontal="left" vertical="center"/>
    </xf>
    <xf numFmtId="165" fontId="37" fillId="0" borderId="0" xfId="30" applyNumberFormat="1" applyFont="1" applyFill="1" applyBorder="1" applyAlignment="1">
      <alignment horizontal="center"/>
    </xf>
  </cellXfs>
  <cellStyles count="111">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3" xfId="23"/>
    <cellStyle name="Normal 4" xfId="24"/>
    <cellStyle name="Normal 5" xfId="25"/>
    <cellStyle name="Normal 6" xfId="26"/>
    <cellStyle name="Normal 7" xfId="27"/>
    <cellStyle name="Normal 8" xfId="28"/>
    <cellStyle name="Normal 9" xfId="29"/>
    <cellStyle name="NumberCellStyle" xfId="30"/>
    <cellStyle name="Percent 2" xfId="31"/>
    <cellStyle name="Percent 2 2" xfId="32"/>
    <cellStyle name="Percent 3" xfId="33"/>
    <cellStyle name="Hyperlink" xfId="34"/>
    <cellStyle name="Normal 10" xfId="35"/>
    <cellStyle name="Normal 11" xfId="36"/>
    <cellStyle name="20% - Accent1 2" xfId="37"/>
    <cellStyle name="20% - Accent2 2" xfId="38"/>
    <cellStyle name="20% - Accent3 2" xfId="39"/>
    <cellStyle name="20% - Accent4 2" xfId="40"/>
    <cellStyle name="20% - Accent5 2" xfId="41"/>
    <cellStyle name="20% - Accent6 2" xfId="42"/>
    <cellStyle name="20% - Akzent1" xfId="43"/>
    <cellStyle name="20% - Akzent2" xfId="44"/>
    <cellStyle name="20% - Akzent3" xfId="45"/>
    <cellStyle name="20% - Akzent4" xfId="46"/>
    <cellStyle name="20% - Akzent5" xfId="47"/>
    <cellStyle name="20% - Akzent6" xfId="48"/>
    <cellStyle name="40% - Accent1 2" xfId="49"/>
    <cellStyle name="40% - Accent2 2" xfId="50"/>
    <cellStyle name="40% - Accent3 2" xfId="51"/>
    <cellStyle name="40% - Accent4 2" xfId="52"/>
    <cellStyle name="40% - Accent5 2" xfId="53"/>
    <cellStyle name="40% - Accent6 2" xfId="54"/>
    <cellStyle name="40% - Akzent1" xfId="55"/>
    <cellStyle name="40% - Akzent2" xfId="56"/>
    <cellStyle name="40% - Akzent3" xfId="57"/>
    <cellStyle name="40% - Akzent4" xfId="58"/>
    <cellStyle name="40% - Akzent5" xfId="59"/>
    <cellStyle name="40% - Akzent6" xfId="60"/>
    <cellStyle name="60% - Accent1 2" xfId="61"/>
    <cellStyle name="60% - Accent2 2" xfId="62"/>
    <cellStyle name="60% - Accent3 2" xfId="63"/>
    <cellStyle name="60% - Accent4 2" xfId="64"/>
    <cellStyle name="60% - Accent5 2" xfId="65"/>
    <cellStyle name="60% - Accent6 2" xfId="66"/>
    <cellStyle name="60% - Akzent1" xfId="67"/>
    <cellStyle name="60% - Akzent2" xfId="68"/>
    <cellStyle name="60% - Akzent3" xfId="69"/>
    <cellStyle name="60% - Akzent4" xfId="70"/>
    <cellStyle name="60% - Akzent5" xfId="71"/>
    <cellStyle name="60% - Akzent6" xfId="72"/>
    <cellStyle name="Accent1 2" xfId="73"/>
    <cellStyle name="Accent2 2" xfId="74"/>
    <cellStyle name="Accent3 2" xfId="75"/>
    <cellStyle name="Accent4 2" xfId="76"/>
    <cellStyle name="Accent5 2" xfId="77"/>
    <cellStyle name="Accent6 2" xfId="78"/>
    <cellStyle name="Akzent1" xfId="79"/>
    <cellStyle name="Akzent2" xfId="80"/>
    <cellStyle name="Akzent3" xfId="81"/>
    <cellStyle name="Akzent4" xfId="82"/>
    <cellStyle name="Akzent5" xfId="83"/>
    <cellStyle name="Akzent6" xfId="84"/>
    <cellStyle name="Ausgabe" xfId="85"/>
    <cellStyle name="Bad 2" xfId="86"/>
    <cellStyle name="Berechnung" xfId="87"/>
    <cellStyle name="Calculation 2" xfId="88"/>
    <cellStyle name="Check Cell 2" xfId="89"/>
    <cellStyle name="Comma 2" xfId="90"/>
    <cellStyle name="ConditionalStyle_1" xfId="91"/>
    <cellStyle name="Eingabe" xfId="92"/>
    <cellStyle name="Ergebnis" xfId="93"/>
    <cellStyle name="Erklärender Text" xfId="94"/>
    <cellStyle name="Euro" xfId="95"/>
    <cellStyle name="Excel Built-in Normal" xfId="96"/>
    <cellStyle name="Explanatory Text 2" xfId="97"/>
    <cellStyle name="Good 2" xfId="98"/>
    <cellStyle name="Gut" xfId="99"/>
    <cellStyle name="Heading 1 2" xfId="100"/>
    <cellStyle name="Heading 2 2" xfId="101"/>
    <cellStyle name="Heading 3 2" xfId="102"/>
    <cellStyle name="Heading 4 2" xfId="103"/>
    <cellStyle name="Input 2" xfId="104"/>
    <cellStyle name="Linked Cell 2" xfId="105"/>
    <cellStyle name="Neutral 2" xfId="106"/>
    <cellStyle name="Normal 2 4" xfId="107"/>
    <cellStyle name="Normál_Ques_15-19_4.1" xfId="108"/>
    <cellStyle name="Note 2" xfId="109"/>
    <cellStyle name="Notiz" xfId="110"/>
    <cellStyle name="Output 2" xfId="111"/>
    <cellStyle name="Schlecht" xfId="112"/>
    <cellStyle name="Title 2" xfId="113"/>
    <cellStyle name="Total 2" xfId="114"/>
    <cellStyle name="Überschrift" xfId="115"/>
    <cellStyle name="Überschrift 1" xfId="116"/>
    <cellStyle name="Überschrift 2" xfId="117"/>
    <cellStyle name="Überschrift 3" xfId="118"/>
    <cellStyle name="Überschrift 4" xfId="119"/>
    <cellStyle name="Verknüpfte Zelle" xfId="120"/>
    <cellStyle name="Warnender Text" xfId="121"/>
    <cellStyle name="Warning Text 2" xfId="122"/>
    <cellStyle name="Zelle überprüfen" xfId="123"/>
    <cellStyle name="Normal 4 2"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Comparison of the actual weight of traded goods with trade in raw material equivalents (RME), EU, 2019</a:t>
            </a:r>
            <a:r>
              <a:rPr lang="en-US" cap="none" sz="1600" b="0" u="none" baseline="0">
                <a:solidFill>
                  <a:srgbClr val="000000"/>
                </a:solidFill>
                <a:latin typeface="Arial"/>
                <a:ea typeface="Arial"/>
                <a:cs typeface="Arial"/>
              </a:rPr>
              <a:t>
(tonnes per capita)</a:t>
            </a:r>
          </a:p>
        </c:rich>
      </c:tx>
      <c:layout>
        <c:manualLayout>
          <c:xMode val="edge"/>
          <c:yMode val="edge"/>
          <c:x val="0.00525"/>
          <c:y val="0.00775"/>
        </c:manualLayout>
      </c:layout>
      <c:overlay val="0"/>
      <c:spPr>
        <a:noFill/>
        <a:ln>
          <a:noFill/>
        </a:ln>
      </c:spPr>
    </c:title>
    <c:plotArea>
      <c:layout>
        <c:manualLayout>
          <c:xMode val="edge"/>
          <c:yMode val="edge"/>
          <c:x val="0.01875"/>
          <c:y val="0.15725"/>
          <c:w val="0.94475"/>
          <c:h val="0.65625"/>
        </c:manualLayout>
      </c:layout>
      <c:barChart>
        <c:barDir val="col"/>
        <c:grouping val="stacked"/>
        <c:varyColors val="0"/>
        <c:ser>
          <c:idx val="0"/>
          <c:order val="0"/>
          <c:tx>
            <c:strRef>
              <c:f>Fig1!$C$59</c:f>
              <c:strCache>
                <c:ptCount val="1"/>
                <c:pt idx="0">
                  <c:v>Biomass</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Fig1!$D$58:$G$58</c:f>
              <c:strCache/>
            </c:strRef>
          </c:cat>
          <c:val>
            <c:numRef>
              <c:f>Fig1!$D$59:$G$59</c:f>
              <c:numCache/>
            </c:numRef>
          </c:val>
        </c:ser>
        <c:ser>
          <c:idx val="1"/>
          <c:order val="1"/>
          <c:tx>
            <c:strRef>
              <c:f>Fig1!$C$60</c:f>
              <c:strCache>
                <c:ptCount val="1"/>
                <c:pt idx="0">
                  <c:v>Metal ores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Fig1!$D$58:$G$58</c:f>
              <c:strCache/>
            </c:strRef>
          </c:cat>
          <c:val>
            <c:numRef>
              <c:f>Fig1!$D$60:$G$60</c:f>
              <c:numCache/>
            </c:numRef>
          </c:val>
        </c:ser>
        <c:ser>
          <c:idx val="2"/>
          <c:order val="2"/>
          <c:tx>
            <c:strRef>
              <c:f>Fig1!$C$61</c:f>
              <c:strCache>
                <c:ptCount val="1"/>
                <c:pt idx="0">
                  <c:v>Non-metallic minerals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Fig1!$D$58:$G$58</c:f>
              <c:strCache/>
            </c:strRef>
          </c:cat>
          <c:val>
            <c:numRef>
              <c:f>Fig1!$D$61:$G$61</c:f>
              <c:numCache/>
            </c:numRef>
          </c:val>
        </c:ser>
        <c:ser>
          <c:idx val="3"/>
          <c:order val="3"/>
          <c:tx>
            <c:strRef>
              <c:f>Fig1!$C$62</c:f>
              <c:strCache>
                <c:ptCount val="1"/>
                <c:pt idx="0">
                  <c:v>Fossil energy materials</c:v>
                </c:pt>
              </c:strCache>
            </c:strRef>
          </c:tx>
          <c:spPr>
            <a:solidFill>
              <a:schemeClr val="accent6"/>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Fig1!$D$58:$G$58</c:f>
              <c:strCache/>
            </c:strRef>
          </c:cat>
          <c:val>
            <c:numRef>
              <c:f>Fig1!$D$62:$G$62</c:f>
              <c:numCache/>
            </c:numRef>
          </c:val>
        </c:ser>
        <c:overlap val="100"/>
        <c:gapWidth val="75"/>
        <c:axId val="3344358"/>
        <c:axId val="30099223"/>
      </c:barChart>
      <c:catAx>
        <c:axId val="3344358"/>
        <c:scaling>
          <c:orientation val="minMax"/>
        </c:scaling>
        <c:axPos val="b"/>
        <c:delete val="0"/>
        <c:numFmt formatCode="General" sourceLinked="1"/>
        <c:majorTickMark val="out"/>
        <c:minorTickMark val="none"/>
        <c:tickLblPos val="nextTo"/>
        <c:spPr>
          <a:ln>
            <a:solidFill>
              <a:srgbClr val="000000"/>
            </a:solidFill>
            <a:prstDash val="solid"/>
          </a:ln>
        </c:spPr>
        <c:crossAx val="30099223"/>
        <c:crosses val="autoZero"/>
        <c:auto val="1"/>
        <c:lblOffset val="100"/>
        <c:noMultiLvlLbl val="0"/>
      </c:catAx>
      <c:valAx>
        <c:axId val="30099223"/>
        <c:scaling>
          <c:orientation val="minMax"/>
          <c:max val="8"/>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44358"/>
        <c:crosses val="autoZero"/>
        <c:crossBetween val="between"/>
        <c:dispUnits/>
      </c:valAx>
      <c:spPr>
        <a:noFill/>
        <a:ln w="25400">
          <a:noFill/>
        </a:ln>
      </c:spPr>
    </c:plotArea>
    <c:legend>
      <c:legendPos val="b"/>
      <c:layout>
        <c:manualLayout>
          <c:xMode val="edge"/>
          <c:yMode val="edge"/>
          <c:x val="0.16725"/>
          <c:y val="0.84075"/>
          <c:w val="0.66525"/>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ln>
      <a:noFill/>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Material flow indicators derived from EW-MFA and MFA in RME, EU, 2019</a:t>
            </a:r>
            <a:r>
              <a:rPr lang="en-US" cap="none" sz="1600" b="0" i="0" u="none" baseline="0">
                <a:solidFill>
                  <a:srgbClr val="000000"/>
                </a:solidFill>
                <a:latin typeface="Arial"/>
                <a:ea typeface="Arial"/>
                <a:cs typeface="Arial"/>
              </a:rPr>
              <a:t>
(tonnes per capita) </a:t>
            </a:r>
          </a:p>
        </c:rich>
      </c:tx>
      <c:layout>
        <c:manualLayout>
          <c:xMode val="edge"/>
          <c:yMode val="edge"/>
          <c:x val="0.00525"/>
          <c:y val="0.00225"/>
        </c:manualLayout>
      </c:layout>
      <c:overlay val="0"/>
      <c:spPr>
        <a:noFill/>
        <a:ln>
          <a:noFill/>
        </a:ln>
      </c:spPr>
    </c:title>
    <c:plotArea>
      <c:layout>
        <c:manualLayout>
          <c:xMode val="edge"/>
          <c:yMode val="edge"/>
          <c:x val="0.01225"/>
          <c:y val="0.15975"/>
          <c:w val="0.95025"/>
          <c:h val="0.75325"/>
        </c:manualLayout>
      </c:layout>
      <c:barChart>
        <c:barDir val="col"/>
        <c:grouping val="stacked"/>
        <c:varyColors val="0"/>
        <c:ser>
          <c:idx val="0"/>
          <c:order val="0"/>
          <c:tx>
            <c:v>Series 1</c:v>
          </c:tx>
          <c:spPr>
            <a:solidFill>
              <a:srgbClr val="32AFAF">
                <a:lumMod val="100000"/>
              </a:srgbClr>
            </a:solidFill>
            <a:ln w="127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2AFAF">
                  <a:lumMod val="100000"/>
                </a:srgbClr>
              </a:solidFill>
              <a:ln w="12700">
                <a:noFill/>
              </a:ln>
            </c:spPr>
          </c:dPt>
          <c:dPt>
            <c:idx val="1"/>
            <c:invertIfNegative val="0"/>
            <c:spPr>
              <a:solidFill>
                <a:schemeClr val="accent5"/>
              </a:solidFill>
              <a:ln w="12700">
                <a:noFill/>
              </a:ln>
            </c:spPr>
          </c:dPt>
          <c:dPt>
            <c:idx val="2"/>
            <c:invertIfNegative val="0"/>
            <c:spPr>
              <a:solidFill>
                <a:srgbClr val="32AFAF">
                  <a:lumMod val="100000"/>
                </a:srgbClr>
              </a:solidFill>
              <a:ln w="12700">
                <a:noFill/>
              </a:ln>
            </c:spPr>
          </c:dPt>
          <c:dPt>
            <c:idx val="3"/>
            <c:invertIfNegative val="0"/>
            <c:spPr>
              <a:solidFill>
                <a:schemeClr val="accent5">
                  <a:lumMod val="20000"/>
                  <a:lumOff val="80000"/>
                </a:schemeClr>
              </a:solidFill>
              <a:ln w="12700">
                <a:noFill/>
              </a:ln>
            </c:spPr>
          </c:dPt>
          <c:dLbls>
            <c:dLbl>
              <c:idx val="0"/>
              <c:layout>
                <c:manualLayout>
                  <c:x val="0.0005"/>
                  <c:y val="-0.0225"/>
                </c:manualLayout>
              </c:layout>
              <c:numFmt formatCode="#,##0.0" sourceLinked="0"/>
              <c:spPr>
                <a:noFill/>
                <a:ln>
                  <a:noFill/>
                </a:ln>
              </c:spPr>
              <c:dLblPos val="ctr"/>
              <c:showLegendKey val="0"/>
              <c:showVal val="1"/>
              <c:showBubbleSize val="0"/>
              <c:showCatName val="1"/>
              <c:showSerName val="0"/>
              <c:showPercent val="0"/>
            </c:dLbl>
            <c:dLbl>
              <c:idx val="1"/>
              <c:layout>
                <c:manualLayout>
                  <c:x val="-0.001"/>
                  <c:y val="-0.015"/>
                </c:manualLayout>
              </c:layout>
              <c:numFmt formatCode="#,##0.0" sourceLinked="0"/>
              <c:spPr>
                <a:noFill/>
                <a:ln>
                  <a:noFill/>
                </a:ln>
              </c:spPr>
              <c:dLblPos val="ctr"/>
              <c:showLegendKey val="0"/>
              <c:showVal val="1"/>
              <c:showBubbleSize val="0"/>
              <c:showCatName val="1"/>
              <c:showSerName val="0"/>
              <c:showPercent val="0"/>
            </c:dLbl>
            <c:dLbl>
              <c:idx val="2"/>
              <c:delete val="1"/>
            </c:dLbl>
            <c:dLbl>
              <c:idx val="3"/>
              <c:layout>
                <c:manualLayout>
                  <c:x val="0"/>
                  <c:y val="-0.0275"/>
                </c:manualLayout>
              </c:layout>
              <c:numFmt formatCode="#,##0.0" sourceLinked="0"/>
              <c:spPr>
                <a:noFill/>
                <a:ln>
                  <a:noFill/>
                </a:ln>
              </c:spPr>
              <c:dLblPos val="ctr"/>
              <c:showLegendKey val="0"/>
              <c:showVal val="1"/>
              <c:showBubbleSize val="0"/>
              <c:showCatName val="1"/>
              <c:showSerName val="0"/>
              <c:showPercent val="0"/>
            </c:dLbl>
            <c:numFmt formatCode="#,##0.0" sourceLinked="0"/>
            <c:spPr>
              <a:noFill/>
              <a:ln>
                <a:noFill/>
              </a:ln>
            </c:spPr>
            <c:dLblPos val="ctr"/>
            <c:showLegendKey val="0"/>
            <c:showVal val="1"/>
            <c:showBubbleSize val="0"/>
            <c:showCatName val="1"/>
            <c:showSerName val="0"/>
            <c:showPercent val="0"/>
          </c:dLbls>
          <c:cat>
            <c:strRef>
              <c:f>Fig2!$C$51:$C$54</c:f>
              <c:strCache/>
            </c:strRef>
          </c:cat>
          <c:val>
            <c:numRef>
              <c:f>Fig2!$D$51:$D$54</c:f>
              <c:numCache/>
            </c:numRef>
          </c:val>
        </c:ser>
        <c:ser>
          <c:idx val="1"/>
          <c:order val="1"/>
          <c:tx>
            <c:v>Series 2</c:v>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chemeClr val="accent3"/>
              </a:solidFill>
              <a:ln>
                <a:noFill/>
              </a:ln>
            </c:spPr>
          </c:dPt>
          <c:dPt>
            <c:idx val="2"/>
            <c:invertIfNegative val="0"/>
            <c:spPr>
              <a:solidFill>
                <a:schemeClr val="accent2">
                  <a:lumMod val="40000"/>
                  <a:lumOff val="60000"/>
                </a:schemeClr>
              </a:solidFill>
              <a:ln>
                <a:noFill/>
              </a:ln>
            </c:spPr>
          </c:dPt>
          <c:dPt>
            <c:idx val="3"/>
            <c:invertIfNegative val="0"/>
            <c:spPr>
              <a:solidFill>
                <a:schemeClr val="accent3">
                  <a:lumMod val="40000"/>
                  <a:lumOff val="60000"/>
                </a:schemeClr>
              </a:solidFill>
              <a:ln>
                <a:noFill/>
              </a:ln>
            </c:spPr>
          </c:dPt>
          <c:dLbls>
            <c:dLbl>
              <c:idx val="0"/>
              <c:tx>
                <c:rich>
                  <a:bodyPr vert="horz" rot="0" anchor="ctr"/>
                  <a:lstStyle/>
                  <a:p>
                    <a:pPr algn="ctr">
                      <a:defRPr/>
                    </a:pPr>
                    <a:r>
                      <a:rPr lang="en-US" cap="none" u="none" baseline="0">
                        <a:solidFill>
                          <a:schemeClr val="bg1"/>
                        </a:solidFill>
                        <a:latin typeface="Calibri"/>
                        <a:ea typeface="Calibri"/>
                        <a:cs typeface="Calibri"/>
                      </a:rPr>
                      <a:t>  Imports,</a:t>
                    </a:r>
                    <a:r>
                      <a:rPr lang="en-US" cap="none" u="none" baseline="0">
                        <a:solidFill>
                          <a:schemeClr val="bg1"/>
                        </a:solidFill>
                        <a:latin typeface="Calibri"/>
                        <a:ea typeface="Calibri"/>
                        <a:cs typeface="Calibri"/>
                      </a:rPr>
                      <a:t>
3.8</a:t>
                    </a:r>
                  </a:p>
                </c:rich>
              </c:tx>
              <c:showLegendKey val="0"/>
              <c:showVal val="0"/>
              <c:showBubbleSize val="0"/>
              <c:showCatName val="0"/>
              <c:showSerName val="0"/>
              <c:showPercent val="0"/>
            </c:dLbl>
            <c:dLbl>
              <c:idx val="1"/>
              <c:tx>
                <c:rich>
                  <a:bodyPr vert="horz" rot="0" anchor="ctr"/>
                  <a:lstStyle/>
                  <a:p>
                    <a:pPr algn="ctr">
                      <a:defRPr/>
                    </a:pPr>
                    <a:r>
                      <a:rPr lang="en-US" cap="none" u="none" baseline="0">
                        <a:solidFill>
                          <a:schemeClr val="bg1"/>
                        </a:solidFill>
                        <a:latin typeface="Calibri"/>
                        <a:ea typeface="Calibri"/>
                        <a:cs typeface="Calibri"/>
                      </a:rPr>
                      <a:t>   Exports, 1.7</a:t>
                    </a:r>
                  </a:p>
                </c:rich>
              </c:tx>
              <c:showLegendKey val="0"/>
              <c:showVal val="0"/>
              <c:showBubbleSize val="0"/>
              <c:showCatName val="0"/>
              <c:showSerName val="0"/>
              <c:showPercent val="0"/>
            </c:dLbl>
            <c:dLbl>
              <c:idx val="2"/>
              <c:tx>
                <c:rich>
                  <a:bodyPr vert="horz" rot="0" anchor="ctr"/>
                  <a:lstStyle/>
                  <a:p>
                    <a:pPr algn="ctr">
                      <a:defRPr/>
                    </a:pPr>
                    <a:r>
                      <a:rPr lang="en-US" cap="none" u="none" baseline="0">
                        <a:latin typeface="Calibri"/>
                        <a:ea typeface="Calibri"/>
                        <a:cs typeface="Calibri"/>
                      </a:rPr>
                      <a:t>  Imports in RME,</a:t>
                    </a:r>
                    <a:r>
                      <a:rPr lang="en-US" cap="none" u="none" baseline="0">
                        <a:latin typeface="Calibri"/>
                        <a:ea typeface="Calibri"/>
                        <a:cs typeface="Calibri"/>
                      </a:rPr>
                      <a:t>
7.8</a:t>
                    </a:r>
                  </a:p>
                </c:rich>
              </c:tx>
              <c:showLegendKey val="0"/>
              <c:showVal val="0"/>
              <c:showBubbleSize val="0"/>
              <c:showCatName val="0"/>
              <c:showSerName val="0"/>
              <c:showPercent val="0"/>
            </c:dLbl>
            <c:dLbl>
              <c:idx val="3"/>
              <c:tx>
                <c:rich>
                  <a:bodyPr vert="horz" rot="0" anchor="ctr"/>
                  <a:lstStyle/>
                  <a:p>
                    <a:pPr algn="ctr">
                      <a:defRPr/>
                    </a:pPr>
                    <a:r>
                      <a:rPr lang="en-US" cap="none" sz="1400" u="none" baseline="0">
                        <a:latin typeface="Calibri"/>
                        <a:ea typeface="Calibri"/>
                        <a:cs typeface="Calibri"/>
                      </a:rPr>
                      <a:t> </a:t>
                    </a:r>
                    <a:r>
                      <a:rPr lang="en-US" cap="none" sz="1200" u="none" baseline="0">
                        <a:latin typeface="Calibri"/>
                        <a:ea typeface="Calibri"/>
                        <a:cs typeface="Calibri"/>
                      </a:rPr>
                      <a:t>Exports in RME,</a:t>
                    </a:r>
                    <a:r>
                      <a:rPr lang="en-US" cap="none" sz="1200" u="none" baseline="0">
                        <a:latin typeface="Calibri"/>
                        <a:ea typeface="Calibri"/>
                        <a:cs typeface="Calibri"/>
                      </a:rPr>
                      <a:t>
5.3</a:t>
                    </a:r>
                  </a:p>
                </c:rich>
              </c:tx>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strRef>
              <c:f>Fig2!$C$51:$C$54</c:f>
              <c:strCache/>
            </c:strRef>
          </c:cat>
          <c:val>
            <c:numRef>
              <c:f>Fig2!$F$51:$F$54</c:f>
              <c:numCache/>
            </c:numRef>
          </c:val>
        </c:ser>
        <c:overlap val="100"/>
        <c:gapWidth val="70"/>
        <c:axId val="2457552"/>
        <c:axId val="22117969"/>
      </c:barChart>
      <c:catAx>
        <c:axId val="2457552"/>
        <c:scaling>
          <c:orientation val="minMax"/>
        </c:scaling>
        <c:axPos val="b"/>
        <c:delete val="0"/>
        <c:numFmt formatCode="General" sourceLinked="0"/>
        <c:majorTickMark val="out"/>
        <c:minorTickMark val="none"/>
        <c:tickLblPos val="none"/>
        <c:spPr>
          <a:ln>
            <a:solidFill>
              <a:srgbClr val="000000"/>
            </a:solidFill>
            <a:prstDash val="solid"/>
          </a:ln>
        </c:spPr>
        <c:crossAx val="22117969"/>
        <c:crosses val="autoZero"/>
        <c:auto val="1"/>
        <c:lblOffset val="100"/>
        <c:noMultiLvlLbl val="0"/>
      </c:catAx>
      <c:valAx>
        <c:axId val="22117969"/>
        <c:scaling>
          <c:orientation val="minMax"/>
          <c:max val="20"/>
        </c:scaling>
        <c:axPos val="l"/>
        <c:majorGridlines>
          <c:spPr>
            <a:ln w="3175" cap="rnd">
              <a:solidFill>
                <a:srgbClr val="C0C0C0"/>
              </a:solidFill>
              <a:prstDash val="sysDash"/>
            </a:ln>
          </c:spPr>
        </c:majorGridlines>
        <c:delete val="0"/>
        <c:numFmt formatCode="#,##0" sourceLinked="0"/>
        <c:majorTickMark val="out"/>
        <c:minorTickMark val="none"/>
        <c:tickLblPos val="nextTo"/>
        <c:spPr>
          <a:ln>
            <a:noFill/>
          </a:ln>
        </c:spPr>
        <c:crossAx val="2457552"/>
        <c:crosses val="autoZero"/>
        <c:crossBetween val="between"/>
        <c:dispUnits/>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8740157499999996" l="0.7" r="0.7" t="0.78740157499999996" header="0.3" footer="0.3"/>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Raw material consumption (RMC) by main material categories, EU, 2000-2019</a:t>
            </a:r>
            <a:r>
              <a:rPr lang="en-US" cap="none" sz="1600" b="0" u="none" baseline="0">
                <a:solidFill>
                  <a:srgbClr val="000000"/>
                </a:solidFill>
                <a:latin typeface="Arial"/>
                <a:ea typeface="Arial"/>
                <a:cs typeface="Arial"/>
              </a:rPr>
              <a:t>
(tonnes per capita)</a:t>
            </a:r>
          </a:p>
        </c:rich>
      </c:tx>
      <c:layout>
        <c:manualLayout>
          <c:xMode val="edge"/>
          <c:yMode val="edge"/>
          <c:x val="0.00525"/>
          <c:y val="0.00875"/>
        </c:manualLayout>
      </c:layout>
      <c:overlay val="0"/>
      <c:spPr>
        <a:noFill/>
        <a:ln>
          <a:noFill/>
        </a:ln>
      </c:spPr>
    </c:title>
    <c:plotArea>
      <c:layout>
        <c:manualLayout>
          <c:xMode val="edge"/>
          <c:yMode val="edge"/>
          <c:x val="0.01825"/>
          <c:y val="0.17"/>
          <c:w val="0.7265"/>
          <c:h val="0.7305"/>
        </c:manualLayout>
      </c:layout>
      <c:areaChart>
        <c:grouping val="stacked"/>
        <c:varyColors val="0"/>
        <c:ser>
          <c:idx val="0"/>
          <c:order val="0"/>
          <c:tx>
            <c:strRef>
              <c:f>Fig3!$C$54</c:f>
              <c:strCache>
                <c:ptCount val="1"/>
                <c:pt idx="0">
                  <c:v>Biomass</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Fig3!$D$53:$W$53</c:f>
              <c:numCache/>
            </c:numRef>
          </c:cat>
          <c:val>
            <c:numRef>
              <c:f>Fig3!$D$54:$W$54</c:f>
              <c:numCache/>
            </c:numRef>
          </c:val>
        </c:ser>
        <c:ser>
          <c:idx val="1"/>
          <c:order val="1"/>
          <c:tx>
            <c:strRef>
              <c:f>Fig3!$C$55</c:f>
              <c:strCache>
                <c:ptCount val="1"/>
                <c:pt idx="0">
                  <c:v>Metal ores</c:v>
                </c:pt>
              </c:strCache>
            </c:strRef>
          </c:tx>
          <c:spPr>
            <a:solidFill>
              <a:schemeClr val="accent2"/>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Fig3!$D$53:$W$53</c:f>
              <c:numCache/>
            </c:numRef>
          </c:cat>
          <c:val>
            <c:numRef>
              <c:f>Fig3!$D$55:$W$55</c:f>
              <c:numCache/>
            </c:numRef>
          </c:val>
        </c:ser>
        <c:ser>
          <c:idx val="2"/>
          <c:order val="2"/>
          <c:tx>
            <c:strRef>
              <c:f>Fig3!$C$56</c:f>
              <c:strCache>
                <c:ptCount val="1"/>
                <c:pt idx="0">
                  <c:v>Non-metallic minerals</c:v>
                </c:pt>
              </c:strCache>
            </c:strRef>
          </c:tx>
          <c:spPr>
            <a:solidFill>
              <a:schemeClr val="accent3"/>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Fig3!$D$53:$W$53</c:f>
              <c:numCache/>
            </c:numRef>
          </c:cat>
          <c:val>
            <c:numRef>
              <c:f>Fig3!$D$56:$W$56</c:f>
              <c:numCache/>
            </c:numRef>
          </c:val>
        </c:ser>
        <c:ser>
          <c:idx val="3"/>
          <c:order val="3"/>
          <c:tx>
            <c:strRef>
              <c:f>Fig3!$C$57</c:f>
              <c:strCache>
                <c:ptCount val="1"/>
                <c:pt idx="0">
                  <c:v>Fossil energy materials</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Fig3!$D$53:$W$53</c:f>
              <c:numCache/>
            </c:numRef>
          </c:cat>
          <c:val>
            <c:numRef>
              <c:f>Fig3!$D$57:$W$57</c:f>
              <c:numCache/>
            </c:numRef>
          </c:val>
        </c:ser>
        <c:axId val="64843994"/>
        <c:axId val="46725035"/>
      </c:areaChart>
      <c:lineChart>
        <c:grouping val="standard"/>
        <c:varyColors val="0"/>
        <c:ser>
          <c:idx val="4"/>
          <c:order val="4"/>
          <c:tx>
            <c:strRef>
              <c:f>Fig3!$C$63</c:f>
              <c:strCache>
                <c:ptCount val="1"/>
                <c:pt idx="0">
                  <c:v>DMC</c:v>
                </c:pt>
              </c:strCache>
            </c:strRef>
          </c:tx>
          <c:spPr>
            <a:ln>
              <a:solidFill>
                <a:schemeClr val="tx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Fig3!$D$53:$T$53</c:f>
              <c:numCache/>
            </c:numRef>
          </c:cat>
          <c:val>
            <c:numRef>
              <c:f>Fig3!$D$63:$W$63</c:f>
              <c:numCache/>
            </c:numRef>
          </c:val>
          <c:smooth val="0"/>
        </c:ser>
        <c:axId val="64843994"/>
        <c:axId val="46725035"/>
      </c:lineChart>
      <c:catAx>
        <c:axId val="6484399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6725035"/>
        <c:crosses val="autoZero"/>
        <c:auto val="1"/>
        <c:lblOffset val="100"/>
        <c:noMultiLvlLbl val="0"/>
      </c:catAx>
      <c:valAx>
        <c:axId val="46725035"/>
        <c:scaling>
          <c:orientation val="minMax"/>
        </c:scaling>
        <c:axPos val="l"/>
        <c:majorGridlines>
          <c:spPr>
            <a:ln w="3175">
              <a:solidFill>
                <a:srgbClr val="C0C0C0"/>
              </a:solidFill>
              <a:prstDash val="sysDash"/>
            </a:ln>
          </c:spPr>
        </c:majorGridlines>
        <c:delete val="0"/>
        <c:numFmt formatCode="#,##0;[Red]#,##0" sourceLinked="0"/>
        <c:majorTickMark val="out"/>
        <c:minorTickMark val="none"/>
        <c:tickLblPos val="nextTo"/>
        <c:spPr>
          <a:noFill/>
          <a:ln w="9525">
            <a:noFill/>
            <a:prstDash val="solid"/>
            <a:round/>
          </a:ln>
        </c:spPr>
        <c:crossAx val="64843994"/>
        <c:crosses val="autoZero"/>
        <c:crossBetween val="midCat"/>
        <c:dispUnits/>
      </c:valAx>
    </c:plotArea>
    <c:legend>
      <c:legendPos val="r"/>
      <c:layout>
        <c:manualLayout>
          <c:xMode val="edge"/>
          <c:yMode val="edge"/>
          <c:x val="0.74275"/>
          <c:y val="0.47175"/>
          <c:w val="0.22925"/>
          <c:h val="0.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ln>
      <a:noFill/>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Raw material consumption (RMC) as result of final consumption expenditure and gross capital formation, by type of material, EU, 2019</a:t>
            </a:r>
            <a:r>
              <a:rPr lang="en-US" cap="none" sz="1600" b="0" u="none" baseline="0">
                <a:solidFill>
                  <a:srgbClr val="000000"/>
                </a:solidFill>
                <a:latin typeface="Arial"/>
                <a:ea typeface="Arial"/>
                <a:cs typeface="Arial"/>
              </a:rPr>
              <a:t>
(tonnes per capita)</a:t>
            </a:r>
          </a:p>
        </c:rich>
      </c:tx>
      <c:layout>
        <c:manualLayout>
          <c:xMode val="edge"/>
          <c:yMode val="edge"/>
          <c:x val="0.00525"/>
          <c:y val="0.0065"/>
        </c:manualLayout>
      </c:layout>
      <c:overlay val="0"/>
      <c:spPr>
        <a:noFill/>
        <a:ln>
          <a:noFill/>
        </a:ln>
      </c:spPr>
    </c:title>
    <c:plotArea>
      <c:layout>
        <c:manualLayout>
          <c:layoutTarget val="inner"/>
          <c:xMode val="edge"/>
          <c:yMode val="edge"/>
          <c:x val="0.04125"/>
          <c:y val="0.17725"/>
          <c:w val="0.8245"/>
          <c:h val="0.6565"/>
        </c:manualLayout>
      </c:layout>
      <c:barChart>
        <c:barDir val="col"/>
        <c:grouping val="stacked"/>
        <c:varyColors val="0"/>
        <c:ser>
          <c:idx val="0"/>
          <c:order val="0"/>
          <c:tx>
            <c:strRef>
              <c:f>Fig4!$G$53</c:f>
              <c:strCache>
                <c:ptCount val="1"/>
                <c:pt idx="0">
                  <c:v>RMC as result of final consumption expenditure</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Fig4!$C$54:$C$58</c:f>
              <c:strCache/>
            </c:strRef>
          </c:cat>
          <c:val>
            <c:numRef>
              <c:f>Fig4!$G$54:$G$58</c:f>
              <c:numCache/>
            </c:numRef>
          </c:val>
        </c:ser>
        <c:ser>
          <c:idx val="1"/>
          <c:order val="1"/>
          <c:tx>
            <c:strRef>
              <c:f>Fig4!$H$53</c:f>
              <c:strCache>
                <c:ptCount val="1"/>
                <c:pt idx="0">
                  <c:v>RMC as result of gross capital formation </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Fig4!$C$54:$C$58</c:f>
              <c:strCache/>
            </c:strRef>
          </c:cat>
          <c:val>
            <c:numRef>
              <c:f>Fig4!$H$54:$H$58</c:f>
              <c:numCache/>
            </c:numRef>
          </c:val>
        </c:ser>
        <c:overlap val="100"/>
        <c:gapWidth val="75"/>
        <c:axId val="17872132"/>
        <c:axId val="26631461"/>
      </c:barChart>
      <c:catAx>
        <c:axId val="17872132"/>
        <c:scaling>
          <c:orientation val="minMax"/>
        </c:scaling>
        <c:axPos val="b"/>
        <c:delete val="0"/>
        <c:numFmt formatCode="General" sourceLinked="1"/>
        <c:majorTickMark val="out"/>
        <c:minorTickMark val="none"/>
        <c:tickLblPos val="nextTo"/>
        <c:spPr>
          <a:ln>
            <a:solidFill>
              <a:srgbClr val="000000"/>
            </a:solidFill>
            <a:prstDash val="solid"/>
          </a:ln>
        </c:spPr>
        <c:crossAx val="26631461"/>
        <c:crosses val="autoZero"/>
        <c:auto val="1"/>
        <c:lblOffset val="100"/>
        <c:noMultiLvlLbl val="0"/>
      </c:catAx>
      <c:valAx>
        <c:axId val="26631461"/>
        <c:scaling>
          <c:orientation val="minMax"/>
          <c:max val="16"/>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872132"/>
        <c:crosses val="autoZero"/>
        <c:crossBetween val="between"/>
        <c:dispUnits/>
      </c:valAx>
      <c:spPr>
        <a:noFill/>
        <a:ln w="25400">
          <a:noFill/>
        </a:ln>
      </c:spPr>
    </c:plotArea>
    <c:legend>
      <c:legendPos val="b"/>
      <c:layout>
        <c:manualLayout>
          <c:xMode val="edge"/>
          <c:yMode val="edge"/>
          <c:x val="0.07525"/>
          <c:y val="0.89925"/>
          <c:w val="0.80525"/>
          <c:h val="0.04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ln>
      <a:noFill/>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47625</xdr:rowOff>
    </xdr:from>
    <xdr:to>
      <xdr:col>1</xdr:col>
      <xdr:colOff>47625</xdr:colOff>
      <xdr:row>5</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200025"/>
          <a:ext cx="0" cy="400050"/>
        </a:xfrm>
        <a:prstGeom prst="rect">
          <a:avLst/>
        </a:prstGeom>
        <a:ln>
          <a:noFill/>
        </a:ln>
      </xdr:spPr>
    </xdr:pic>
    <xdr:clientData/>
  </xdr:twoCellAnchor>
  <xdr:twoCellAnchor editAs="oneCell">
    <xdr:from>
      <xdr:col>18</xdr:col>
      <xdr:colOff>381000</xdr:colOff>
      <xdr:row>4</xdr:row>
      <xdr:rowOff>47625</xdr:rowOff>
    </xdr:from>
    <xdr:to>
      <xdr:col>18</xdr:col>
      <xdr:colOff>381000</xdr:colOff>
      <xdr:row>9</xdr:row>
      <xdr:rowOff>19050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39050" y="476250"/>
          <a:ext cx="0" cy="733425"/>
        </a:xfrm>
        <a:prstGeom prst="rect">
          <a:avLst/>
        </a:prstGeom>
        <a:noFill/>
        <a:ln>
          <a:noFill/>
        </a:ln>
      </xdr:spPr>
    </xdr:pic>
    <xdr:clientData/>
  </xdr:twoCellAnchor>
  <xdr:twoCellAnchor editAs="oneCell">
    <xdr:from>
      <xdr:col>1</xdr:col>
      <xdr:colOff>47625</xdr:colOff>
      <xdr:row>2</xdr:row>
      <xdr:rowOff>57150</xdr:rowOff>
    </xdr:from>
    <xdr:to>
      <xdr:col>7</xdr:col>
      <xdr:colOff>171450</xdr:colOff>
      <xdr:row>5</xdr:row>
      <xdr:rowOff>28575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209550"/>
          <a:ext cx="2638425" cy="400050"/>
        </a:xfrm>
        <a:prstGeom prst="rect">
          <a:avLst/>
        </a:prstGeom>
        <a:ln>
          <a:noFill/>
        </a:ln>
      </xdr:spPr>
    </xdr:pic>
    <xdr:clientData/>
  </xdr:twoCellAnchor>
  <xdr:twoCellAnchor editAs="oneCell">
    <xdr:from>
      <xdr:col>18</xdr:col>
      <xdr:colOff>400050</xdr:colOff>
      <xdr:row>4</xdr:row>
      <xdr:rowOff>9525</xdr:rowOff>
    </xdr:from>
    <xdr:to>
      <xdr:col>24</xdr:col>
      <xdr:colOff>190500</xdr:colOff>
      <xdr:row>8</xdr:row>
      <xdr:rowOff>133350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58100" y="438150"/>
          <a:ext cx="230505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0.8845</cdr:y>
    </cdr:from>
    <cdr:to>
      <cdr:x>0</cdr:x>
      <cdr:y>0</cdr:y>
    </cdr:to>
    <cdr:sp macro="" textlink="">
      <cdr:nvSpPr>
        <cdr:cNvPr id="2" name="FootonotesShape"/>
        <cdr:cNvSpPr txBox="1"/>
      </cdr:nvSpPr>
      <cdr:spPr>
        <a:xfrm>
          <a:off x="38100" y="5753100"/>
          <a:ext cx="0" cy="0"/>
        </a:xfrm>
        <a:prstGeom prst="rect">
          <a:avLst/>
        </a:prstGeom>
        <a:ln>
          <a:noFill/>
        </a:ln>
      </cdr:spPr>
      <cdr:txBody>
        <a:bodyPr vertOverflow="clip" vert="horz" wrap="square" rtlCol="0">
          <a:noAutofit/>
        </a:bodyPr>
        <a:lstStyle/>
        <a:p>
          <a:r>
            <a:rPr lang="en-GB" sz="1200">
              <a:latin typeface="Arial" panose="020B0604020202020204" pitchFamily="34" charset="0"/>
            </a:rPr>
            <a:t>* Note: the material categories 'other products' and 'waste' from EW-MFA are proportionally assigned to the four main material categories represented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env_ac_mfa, env_ac_rme)</a:t>
          </a:r>
        </a:p>
      </cdr:txBody>
    </cdr:sp>
  </cdr:relSizeAnchor>
  <cdr:relSizeAnchor xmlns:cdr="http://schemas.openxmlformats.org/drawingml/2006/chartDrawing">
    <cdr:from>
      <cdr:x>0.826</cdr:x>
      <cdr:y>0.9355</cdr:y>
    </cdr:from>
    <cdr:to>
      <cdr:x>0.99975</cdr:x>
      <cdr:y>0.99975</cdr:y>
    </cdr:to>
    <cdr:pic>
      <cdr:nvPicPr>
        <cdr:cNvPr id="4" name="LogoShape"/>
        <cdr:cNvPicPr preferRelativeResize="1">
          <a:picLocks noChangeAspect="1"/>
        </cdr:cNvPicPr>
      </cdr:nvPicPr>
      <cdr:blipFill>
        <a:blip r:link="rId1"/>
        <a:srcRect b="16915"/>
        <a:stretch>
          <a:fillRect/>
        </a:stretch>
      </cdr:blipFill>
      <cdr:spPr>
        <a:xfrm>
          <a:off x="7267575" y="6076950"/>
          <a:ext cx="1533525" cy="41910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xdr:row>
      <xdr:rowOff>66675</xdr:rowOff>
    </xdr:from>
    <xdr:to>
      <xdr:col>10</xdr:col>
      <xdr:colOff>152400</xdr:colOff>
      <xdr:row>45</xdr:row>
      <xdr:rowOff>19050</xdr:rowOff>
    </xdr:to>
    <xdr:graphicFrame macro="">
      <xdr:nvGraphicFramePr>
        <xdr:cNvPr id="4" name="Graf 1"/>
        <xdr:cNvGraphicFramePr/>
      </xdr:nvGraphicFramePr>
      <xdr:xfrm>
        <a:off x="609600" y="419100"/>
        <a:ext cx="8801100" cy="650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0.18925</cdr:y>
    </cdr:from>
    <cdr:to>
      <cdr:x>0.7055</cdr:x>
      <cdr:y>0.8935</cdr:y>
    </cdr:to>
    <cdr:sp macro="" textlink="">
      <cdr:nvSpPr>
        <cdr:cNvPr id="9" name="Right Brace 4"/>
        <cdr:cNvSpPr/>
      </cdr:nvSpPr>
      <cdr:spPr>
        <a:xfrm>
          <a:off x="6810375" y="981075"/>
          <a:ext cx="180975" cy="3676650"/>
        </a:xfrm>
        <a:prstGeom prst="rightBrace">
          <a:avLst/>
        </a:prstGeom>
        <a:noFill/>
        <a:ln w="38100">
          <a:solidFill>
            <a:schemeClr val="bg1">
              <a:lumMod val="75000"/>
            </a:schemeClr>
          </a:solidFill>
          <a:headEnd type="none"/>
          <a:tailEnd type="none"/>
        </a:ln>
      </cdr:spPr>
      <cdr:style>
        <a:lnRef idx="1">
          <a:schemeClr val="accent1"/>
        </a:lnRef>
        <a:fillRef idx="0">
          <a:schemeClr val="accent1"/>
        </a:fillRef>
        <a:effectRef idx="0">
          <a:schemeClr val="accent1"/>
        </a:effectRef>
        <a:fontRef idx="minor">
          <a:schemeClr val="tx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p>
      </cdr:txBody>
    </cdr:sp>
  </cdr:relSizeAnchor>
  <cdr:relSizeAnchor xmlns:cdr="http://schemas.openxmlformats.org/drawingml/2006/chartDrawing">
    <cdr:from>
      <cdr:x>0.2365</cdr:x>
      <cdr:y>0.5315</cdr:y>
    </cdr:from>
    <cdr:to>
      <cdr:x>0.31725</cdr:x>
      <cdr:y>0.711</cdr:y>
    </cdr:to>
    <cdr:sp macro="" textlink="">
      <cdr:nvSpPr>
        <cdr:cNvPr id="10" name="TextBox 9"/>
        <cdr:cNvSpPr txBox="1"/>
      </cdr:nvSpPr>
      <cdr:spPr>
        <a:xfrm>
          <a:off x="2343150" y="2771775"/>
          <a:ext cx="800100" cy="933450"/>
        </a:xfrm>
        <a:prstGeom prst="rect">
          <a:avLst/>
        </a:prstGeom>
        <a:ln>
          <a:noFill/>
        </a:ln>
      </cdr:spPr>
      <cdr:txBody>
        <a:bodyPr vertOverflow="clip" wrap="square" rtlCol="0"/>
        <a:lstStyle/>
        <a:p>
          <a:r>
            <a:rPr lang="en-GB" sz="1200">
              <a:latin typeface="Arial" panose="020B0604020202020204" pitchFamily="34" charset="0"/>
              <a:cs typeface="Arial" panose="020B0604020202020204" pitchFamily="34" charset="0"/>
            </a:rPr>
            <a:t>Direct material input (DMI)</a:t>
          </a:r>
        </a:p>
      </cdr:txBody>
    </cdr:sp>
  </cdr:relSizeAnchor>
  <cdr:relSizeAnchor xmlns:cdr="http://schemas.openxmlformats.org/drawingml/2006/chartDrawing">
    <cdr:from>
      <cdr:x>0.7005</cdr:x>
      <cdr:y>0.4665</cdr:y>
    </cdr:from>
    <cdr:to>
      <cdr:x>0.78275</cdr:x>
      <cdr:y>0.62</cdr:y>
    </cdr:to>
    <cdr:sp macro="" textlink="">
      <cdr:nvSpPr>
        <cdr:cNvPr id="11" name="TextBox 1"/>
        <cdr:cNvSpPr txBox="1"/>
      </cdr:nvSpPr>
      <cdr:spPr>
        <a:xfrm>
          <a:off x="6943725" y="2428875"/>
          <a:ext cx="819150" cy="80010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Raw material input (</a:t>
          </a:r>
          <a:r>
            <a:rPr lang="en-GB" sz="1200" baseline="0">
              <a:latin typeface="Arial" panose="020B0604020202020204" pitchFamily="34" charset="0"/>
              <a:cs typeface="Arial" panose="020B0604020202020204" pitchFamily="34" charset="0"/>
            </a:rPr>
            <a:t>RMI</a:t>
          </a:r>
          <a:r>
            <a:rPr lang="en-GB"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0.23175</cdr:x>
      <cdr:y>0.33375</cdr:y>
    </cdr:from>
    <cdr:to>
      <cdr:x>0.23825</cdr:x>
      <cdr:y>0.8925</cdr:y>
    </cdr:to>
    <cdr:sp macro="" textlink="">
      <cdr:nvSpPr>
        <cdr:cNvPr id="6" name="Right Brace 5"/>
        <cdr:cNvSpPr/>
      </cdr:nvSpPr>
      <cdr:spPr>
        <a:xfrm>
          <a:off x="2295525" y="1733550"/>
          <a:ext cx="66675" cy="2914650"/>
        </a:xfrm>
        <a:prstGeom prst="rightBrace">
          <a:avLst/>
        </a:prstGeom>
        <a:noFill/>
        <a:ln w="38100">
          <a:solidFill>
            <a:schemeClr val="bg1">
              <a:lumMod val="75000"/>
            </a:schemeClr>
          </a:solidFill>
          <a:headEnd type="none"/>
          <a:tailEnd type="none"/>
        </a:ln>
      </cdr:spPr>
      <cdr:style>
        <a:lnRef idx="1">
          <a:schemeClr val="accent1"/>
        </a:lnRef>
        <a:fillRef idx="0">
          <a:schemeClr val="accent1"/>
        </a:fillRef>
        <a:effectRef idx="0">
          <a:schemeClr val="accent1"/>
        </a:effectRef>
        <a:fontRef idx="minor">
          <a:schemeClr val="tx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p>
      </cdr:txBody>
    </cdr:sp>
  </cdr:relSizeAnchor>
  <cdr:relSizeAnchor xmlns:cdr="http://schemas.openxmlformats.org/drawingml/2006/chartDrawing">
    <cdr:from>
      <cdr:x>0.0125</cdr:x>
      <cdr:y>0.94475</cdr:y>
    </cdr:from>
    <cdr:to>
      <cdr:x>0</cdr:x>
      <cdr:y>0</cdr:y>
    </cdr:to>
    <cdr:sp macro="" textlink="">
      <cdr:nvSpPr>
        <cdr:cNvPr id="2" name="FootonotesShape"/>
        <cdr:cNvSpPr txBox="1"/>
      </cdr:nvSpPr>
      <cdr:spPr>
        <a:xfrm>
          <a:off x="123825" y="4924425"/>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env_ac_mfa, env_ac_rme)</a:t>
          </a:r>
        </a:p>
      </cdr:txBody>
    </cdr:sp>
  </cdr:relSizeAnchor>
  <cdr:relSizeAnchor xmlns:cdr="http://schemas.openxmlformats.org/drawingml/2006/chartDrawing">
    <cdr:from>
      <cdr:x>0.58075</cdr:x>
      <cdr:y>0.61475</cdr:y>
    </cdr:from>
    <cdr:to>
      <cdr:x>0.6615</cdr:x>
      <cdr:y>0.72375</cdr:y>
    </cdr:to>
    <cdr:sp macro="" textlink="">
      <cdr:nvSpPr>
        <cdr:cNvPr id="20" name="TextBox 19"/>
        <cdr:cNvSpPr txBox="1"/>
      </cdr:nvSpPr>
      <cdr:spPr>
        <a:xfrm>
          <a:off x="5753100" y="3200400"/>
          <a:ext cx="800100" cy="571500"/>
        </a:xfrm>
        <a:prstGeom prst="rect">
          <a:avLst/>
        </a:prstGeom>
        <a:ln>
          <a:noFill/>
        </a:ln>
      </cdr:spPr>
      <cdr:txBody>
        <a:bodyPr vertOverflow="clip" wrap="square" rtlCol="0"/>
        <a:lstStyle/>
        <a:p>
          <a:endParaRPr lang="en-GB" sz="1100"/>
        </a:p>
      </cdr:txBody>
    </cdr:sp>
  </cdr:relSizeAnchor>
  <cdr:relSizeAnchor xmlns:cdr="http://schemas.openxmlformats.org/drawingml/2006/chartDrawing">
    <cdr:from>
      <cdr:x>0.5845</cdr:x>
      <cdr:y>0.582</cdr:y>
    </cdr:from>
    <cdr:to>
      <cdr:x>0.677</cdr:x>
      <cdr:y>0.796</cdr:y>
    </cdr:to>
    <cdr:sp macro="" textlink="">
      <cdr:nvSpPr>
        <cdr:cNvPr id="21" name="TextBox 20"/>
        <cdr:cNvSpPr txBox="1"/>
      </cdr:nvSpPr>
      <cdr:spPr>
        <a:xfrm>
          <a:off x="5791200" y="3028950"/>
          <a:ext cx="914400" cy="1114425"/>
        </a:xfrm>
        <a:prstGeom prst="rect">
          <a:avLst/>
        </a:prstGeom>
        <a:ln>
          <a:noFill/>
        </a:ln>
      </cdr:spPr>
      <cdr:txBody>
        <a:bodyPr vertOverflow="clip" wrap="square" rtlCol="0"/>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0" i="0" baseline="0">
              <a:effectLst/>
              <a:latin typeface="Arial" panose="020B0604020202020204" pitchFamily="34" charset="0"/>
              <a:ea typeface="+mn-ea"/>
              <a:cs typeface="Arial" panose="020B0604020202020204" pitchFamily="34" charset="0"/>
            </a:rPr>
            <a:t>Domestic extraction; 11.9</a:t>
          </a:r>
          <a:endParaRPr lang="en-GB" sz="1200">
            <a:effectLst/>
            <a:latin typeface="Arial" panose="020B0604020202020204" pitchFamily="34" charset="0"/>
            <a:cs typeface="Arial" panose="020B0604020202020204" pitchFamily="34" charset="0"/>
          </a:endParaRPr>
        </a:p>
        <a:p>
          <a:endParaRPr lang="en-GB" sz="1100"/>
        </a:p>
      </cdr:txBody>
    </cdr:sp>
  </cdr:relSizeAnchor>
  <cdr:relSizeAnchor xmlns:cdr="http://schemas.openxmlformats.org/drawingml/2006/chartDrawing">
    <cdr:from>
      <cdr:x>0.8475</cdr:x>
      <cdr:y>0.9165</cdr:y>
    </cdr:from>
    <cdr:to>
      <cdr:x>0.99975</cdr:x>
      <cdr:y>0.99975</cdr:y>
    </cdr:to>
    <cdr:pic>
      <cdr:nvPicPr>
        <cdr:cNvPr id="12" name="LogoShape"/>
        <cdr:cNvPicPr preferRelativeResize="1">
          <a:picLocks noChangeAspect="1"/>
        </cdr:cNvPicPr>
      </cdr:nvPicPr>
      <cdr:blipFill>
        <a:blip r:link="rId1"/>
        <a:srcRect b="16915"/>
        <a:stretch>
          <a:fillRect/>
        </a:stretch>
      </cdr:blipFill>
      <cdr:spPr>
        <a:xfrm>
          <a:off x="8401050" y="4781550"/>
          <a:ext cx="1504950" cy="43815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17</xdr:row>
      <xdr:rowOff>66675</xdr:rowOff>
    </xdr:from>
    <xdr:to>
      <xdr:col>4</xdr:col>
      <xdr:colOff>209550</xdr:colOff>
      <xdr:row>19</xdr:row>
      <xdr:rowOff>47625</xdr:rowOff>
    </xdr:to>
    <xdr:sp macro="" textlink="">
      <xdr:nvSpPr>
        <xdr:cNvPr id="1404" name="TextBox 1"/>
        <xdr:cNvSpPr txBox="1">
          <a:spLocks noChangeArrowheads="1"/>
        </xdr:cNvSpPr>
      </xdr:nvSpPr>
      <xdr:spPr bwMode="auto">
        <a:xfrm>
          <a:off x="3419475" y="270510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171450</xdr:colOff>
      <xdr:row>17</xdr:row>
      <xdr:rowOff>66675</xdr:rowOff>
    </xdr:from>
    <xdr:to>
      <xdr:col>8</xdr:col>
      <xdr:colOff>419100</xdr:colOff>
      <xdr:row>19</xdr:row>
      <xdr:rowOff>47625</xdr:rowOff>
    </xdr:to>
    <xdr:sp macro="" textlink="">
      <xdr:nvSpPr>
        <xdr:cNvPr id="1405" name="TextBox 1"/>
        <xdr:cNvSpPr txBox="1">
          <a:spLocks noChangeArrowheads="1"/>
        </xdr:cNvSpPr>
      </xdr:nvSpPr>
      <xdr:spPr bwMode="auto">
        <a:xfrm>
          <a:off x="7010400" y="2705100"/>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552450</xdr:colOff>
      <xdr:row>17</xdr:row>
      <xdr:rowOff>66675</xdr:rowOff>
    </xdr:from>
    <xdr:to>
      <xdr:col>4</xdr:col>
      <xdr:colOff>209550</xdr:colOff>
      <xdr:row>19</xdr:row>
      <xdr:rowOff>47625</xdr:rowOff>
    </xdr:to>
    <xdr:sp macro="" textlink="">
      <xdr:nvSpPr>
        <xdr:cNvPr id="1406" name="TextBox 1"/>
        <xdr:cNvSpPr txBox="1">
          <a:spLocks noChangeArrowheads="1"/>
        </xdr:cNvSpPr>
      </xdr:nvSpPr>
      <xdr:spPr bwMode="auto">
        <a:xfrm>
          <a:off x="3419475" y="270510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171450</xdr:colOff>
      <xdr:row>17</xdr:row>
      <xdr:rowOff>66675</xdr:rowOff>
    </xdr:from>
    <xdr:to>
      <xdr:col>8</xdr:col>
      <xdr:colOff>419100</xdr:colOff>
      <xdr:row>19</xdr:row>
      <xdr:rowOff>47625</xdr:rowOff>
    </xdr:to>
    <xdr:sp macro="" textlink="">
      <xdr:nvSpPr>
        <xdr:cNvPr id="1407" name="TextBox 1"/>
        <xdr:cNvSpPr txBox="1">
          <a:spLocks noChangeArrowheads="1"/>
        </xdr:cNvSpPr>
      </xdr:nvSpPr>
      <xdr:spPr bwMode="auto">
        <a:xfrm>
          <a:off x="7010400" y="2705100"/>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238125</xdr:colOff>
      <xdr:row>3</xdr:row>
      <xdr:rowOff>9525</xdr:rowOff>
    </xdr:from>
    <xdr:to>
      <xdr:col>12</xdr:col>
      <xdr:colOff>657225</xdr:colOff>
      <xdr:row>37</xdr:row>
      <xdr:rowOff>47625</xdr:rowOff>
    </xdr:to>
    <xdr:graphicFrame macro="">
      <xdr:nvGraphicFramePr>
        <xdr:cNvPr id="1408" name="Chart 5"/>
        <xdr:cNvGraphicFramePr/>
      </xdr:nvGraphicFramePr>
      <xdr:xfrm>
        <a:off x="552450" y="514350"/>
        <a:ext cx="99155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0.9515</cdr:y>
    </cdr:from>
    <cdr:to>
      <cdr:x>0</cdr:x>
      <cdr:y>0</cdr:y>
    </cdr:to>
    <cdr:sp macro="" textlink="">
      <cdr:nvSpPr>
        <cdr:cNvPr id="2" name="FootonotesShape"/>
        <cdr:cNvSpPr txBox="1"/>
      </cdr:nvSpPr>
      <cdr:spPr>
        <a:xfrm>
          <a:off x="57150" y="55626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env_ac_mfa, env_ac_rme)</a:t>
          </a:r>
        </a:p>
      </cdr:txBody>
    </cdr:sp>
  </cdr:relSizeAnchor>
  <cdr:relSizeAnchor xmlns:cdr="http://schemas.openxmlformats.org/drawingml/2006/chartDrawing">
    <cdr:from>
      <cdr:x>0.83875</cdr:x>
      <cdr:y>0.92475</cdr:y>
    </cdr:from>
    <cdr:to>
      <cdr:x>0.99975</cdr:x>
      <cdr:y>0.99975</cdr:y>
    </cdr:to>
    <cdr:pic>
      <cdr:nvPicPr>
        <cdr:cNvPr id="5" name="LogoShape"/>
        <cdr:cNvPicPr preferRelativeResize="1">
          <a:picLocks noChangeAspect="1"/>
        </cdr:cNvPicPr>
      </cdr:nvPicPr>
      <cdr:blipFill>
        <a:blip r:link="rId1"/>
        <a:srcRect b="16915"/>
        <a:stretch>
          <a:fillRect/>
        </a:stretch>
      </cdr:blipFill>
      <cdr:spPr>
        <a:xfrm>
          <a:off x="9124950" y="5400675"/>
          <a:ext cx="1752600" cy="43815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xdr:row>
      <xdr:rowOff>0</xdr:rowOff>
    </xdr:from>
    <xdr:to>
      <xdr:col>17</xdr:col>
      <xdr:colOff>276225</xdr:colOff>
      <xdr:row>41</xdr:row>
      <xdr:rowOff>57150</xdr:rowOff>
    </xdr:to>
    <xdr:graphicFrame macro="">
      <xdr:nvGraphicFramePr>
        <xdr:cNvPr id="35903" name="Graf 1"/>
        <xdr:cNvGraphicFramePr/>
      </xdr:nvGraphicFramePr>
      <xdr:xfrm>
        <a:off x="647700" y="504825"/>
        <a:ext cx="10887075" cy="5848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0.95175</cdr:y>
    </cdr:from>
    <cdr:to>
      <cdr:x>0</cdr:x>
      <cdr:y>0</cdr:y>
    </cdr:to>
    <cdr:sp macro="" textlink="">
      <cdr:nvSpPr>
        <cdr:cNvPr id="2" name="FootonotesShape"/>
        <cdr:cNvSpPr txBox="1"/>
      </cdr:nvSpPr>
      <cdr:spPr>
        <a:xfrm>
          <a:off x="85725" y="5734050"/>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env_ac_rmefd)</a:t>
          </a:r>
        </a:p>
      </cdr:txBody>
    </cdr:sp>
  </cdr:relSizeAnchor>
  <cdr:relSizeAnchor xmlns:cdr="http://schemas.openxmlformats.org/drawingml/2006/chartDrawing">
    <cdr:from>
      <cdr:x>0.8475</cdr:x>
      <cdr:y>0.9305</cdr:y>
    </cdr:from>
    <cdr:to>
      <cdr:x>0.99975</cdr:x>
      <cdr:y>0.99975</cdr:y>
    </cdr:to>
    <cdr:pic>
      <cdr:nvPicPr>
        <cdr:cNvPr id="4" name="LogoShape"/>
        <cdr:cNvPicPr preferRelativeResize="1">
          <a:picLocks noChangeAspect="1"/>
        </cdr:cNvPicPr>
      </cdr:nvPicPr>
      <cdr:blipFill>
        <a:blip r:link="rId1"/>
        <a:srcRect b="16915"/>
        <a:stretch>
          <a:fillRect/>
        </a:stretch>
      </cdr:blipFill>
      <cdr:spPr>
        <a:xfrm>
          <a:off x="8515350" y="5610225"/>
          <a:ext cx="1533525" cy="41910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76200</xdr:rowOff>
    </xdr:from>
    <xdr:to>
      <xdr:col>13</xdr:col>
      <xdr:colOff>190500</xdr:colOff>
      <xdr:row>42</xdr:row>
      <xdr:rowOff>9525</xdr:rowOff>
    </xdr:to>
    <xdr:graphicFrame macro="">
      <xdr:nvGraphicFramePr>
        <xdr:cNvPr id="4" name="Graf 1"/>
        <xdr:cNvGraphicFramePr/>
      </xdr:nvGraphicFramePr>
      <xdr:xfrm>
        <a:off x="647700" y="466725"/>
        <a:ext cx="10048875" cy="6029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Material_flow_accounts_statistics_-_material_footprints"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A1:Z42"/>
  <sheetViews>
    <sheetView showGridLines="0" workbookViewId="0" topLeftCell="A2">
      <selection activeCell="E29" sqref="E29:Y29"/>
    </sheetView>
  </sheetViews>
  <sheetFormatPr defaultColWidth="0" defaultRowHeight="0" customHeight="1" zeroHeight="1"/>
  <cols>
    <col min="1" max="1" width="2.00390625" style="3" customWidth="1"/>
    <col min="2" max="25" width="6.28125" style="3" customWidth="1"/>
    <col min="26" max="26" width="2.28125" style="33" customWidth="1"/>
    <col min="27" max="16384" width="9.140625" style="3" hidden="1" customWidth="1"/>
  </cols>
  <sheetData>
    <row r="1" spans="1:26" ht="15.95" customHeight="1" hidden="1" thickBot="1">
      <c r="A1" s="275"/>
      <c r="B1" s="276" t="s">
        <v>330</v>
      </c>
      <c r="C1" s="277">
        <v>2019</v>
      </c>
      <c r="D1" s="276"/>
      <c r="E1" s="276"/>
      <c r="F1" s="276"/>
      <c r="G1" s="276"/>
      <c r="H1" s="276"/>
      <c r="I1" s="276"/>
      <c r="J1" s="276"/>
      <c r="K1" s="276"/>
      <c r="L1" s="276"/>
      <c r="M1" s="276"/>
      <c r="N1" s="276"/>
      <c r="O1" s="276"/>
      <c r="P1" s="276"/>
      <c r="Q1" s="276"/>
      <c r="R1" s="276"/>
      <c r="S1" s="276"/>
      <c r="T1" s="276"/>
      <c r="U1" s="276"/>
      <c r="V1" s="276"/>
      <c r="W1" s="276"/>
      <c r="X1" s="276"/>
      <c r="Y1" s="276"/>
      <c r="Z1" s="276"/>
    </row>
    <row r="2" spans="1:26" ht="12" customHeight="1">
      <c r="A2" s="25"/>
      <c r="B2" s="25"/>
      <c r="C2" s="25"/>
      <c r="D2" s="25"/>
      <c r="E2" s="25"/>
      <c r="F2" s="25"/>
      <c r="G2" s="25"/>
      <c r="H2" s="25"/>
      <c r="I2" s="25"/>
      <c r="J2" s="25"/>
      <c r="K2" s="25"/>
      <c r="L2" s="25"/>
      <c r="M2" s="25"/>
      <c r="N2" s="25"/>
      <c r="O2" s="25"/>
      <c r="P2" s="25"/>
      <c r="Q2" s="25"/>
      <c r="R2" s="25"/>
      <c r="S2" s="25"/>
      <c r="T2" s="25"/>
      <c r="U2" s="25"/>
      <c r="V2" s="25"/>
      <c r="W2" s="25"/>
      <c r="X2" s="25"/>
      <c r="Y2" s="25"/>
      <c r="Z2" s="25"/>
    </row>
    <row r="3" spans="1:26" ht="9.95" customHeight="1">
      <c r="A3" s="25"/>
      <c r="B3" s="26"/>
      <c r="C3" s="27"/>
      <c r="D3" s="27"/>
      <c r="E3" s="27"/>
      <c r="F3" s="27"/>
      <c r="G3" s="27"/>
      <c r="H3" s="27"/>
      <c r="I3" s="27"/>
      <c r="J3" s="27"/>
      <c r="K3" s="27"/>
      <c r="L3" s="27"/>
      <c r="M3" s="27"/>
      <c r="N3" s="27"/>
      <c r="O3" s="27"/>
      <c r="P3" s="27"/>
      <c r="Q3" s="27"/>
      <c r="R3" s="27"/>
      <c r="S3" s="27"/>
      <c r="T3" s="27"/>
      <c r="U3" s="27"/>
      <c r="V3" s="27"/>
      <c r="W3" s="27"/>
      <c r="X3" s="27"/>
      <c r="Y3" s="27"/>
      <c r="Z3" s="25"/>
    </row>
    <row r="4" spans="1:26" ht="12">
      <c r="A4" s="25"/>
      <c r="B4" s="27"/>
      <c r="C4" s="27"/>
      <c r="D4" s="27"/>
      <c r="E4" s="27"/>
      <c r="F4" s="27"/>
      <c r="G4" s="27"/>
      <c r="H4" s="27"/>
      <c r="I4" s="27"/>
      <c r="J4" s="27"/>
      <c r="K4" s="27"/>
      <c r="L4" s="27"/>
      <c r="M4" s="27"/>
      <c r="N4" s="27"/>
      <c r="O4" s="27"/>
      <c r="P4" s="27"/>
      <c r="Q4" s="27"/>
      <c r="R4" s="27"/>
      <c r="S4" s="27"/>
      <c r="T4" s="27"/>
      <c r="U4" s="27"/>
      <c r="V4" s="27"/>
      <c r="W4" s="27"/>
      <c r="X4" s="27"/>
      <c r="Y4" s="27"/>
      <c r="Z4" s="25"/>
    </row>
    <row r="5" spans="1:26" ht="12">
      <c r="A5" s="25"/>
      <c r="B5" s="27"/>
      <c r="C5" s="27"/>
      <c r="D5" s="27"/>
      <c r="E5" s="27"/>
      <c r="F5" s="27"/>
      <c r="G5" s="27"/>
      <c r="H5" s="27"/>
      <c r="I5" s="27"/>
      <c r="J5" s="27"/>
      <c r="K5" s="27"/>
      <c r="L5" s="27"/>
      <c r="M5" s="27"/>
      <c r="N5" s="27"/>
      <c r="O5" s="27"/>
      <c r="P5" s="27"/>
      <c r="Q5" s="27"/>
      <c r="R5" s="27"/>
      <c r="S5" s="27"/>
      <c r="T5" s="27"/>
      <c r="U5" s="27"/>
      <c r="V5" s="27"/>
      <c r="W5" s="27"/>
      <c r="X5" s="27"/>
      <c r="Y5" s="27"/>
      <c r="Z5" s="25"/>
    </row>
    <row r="6" spans="1:26" ht="12">
      <c r="A6" s="25"/>
      <c r="B6" s="28" t="s">
        <v>55</v>
      </c>
      <c r="C6" s="29"/>
      <c r="D6" s="27"/>
      <c r="E6" s="27"/>
      <c r="F6" s="27"/>
      <c r="G6" s="27"/>
      <c r="H6" s="27"/>
      <c r="I6" s="27"/>
      <c r="J6" s="27"/>
      <c r="K6" s="27"/>
      <c r="L6" s="27"/>
      <c r="M6" s="27"/>
      <c r="N6" s="27"/>
      <c r="O6" s="27"/>
      <c r="P6" s="27"/>
      <c r="Q6" s="27"/>
      <c r="R6" s="27"/>
      <c r="S6" s="27"/>
      <c r="T6" s="27"/>
      <c r="U6" s="27"/>
      <c r="V6" s="27"/>
      <c r="W6" s="27"/>
      <c r="X6" s="27"/>
      <c r="Y6" s="27"/>
      <c r="Z6" s="25"/>
    </row>
    <row r="7" spans="1:26" ht="12">
      <c r="A7" s="25"/>
      <c r="B7" s="30" t="s">
        <v>56</v>
      </c>
      <c r="C7" s="27"/>
      <c r="D7" s="27"/>
      <c r="E7" s="27"/>
      <c r="F7" s="27"/>
      <c r="G7" s="27"/>
      <c r="H7" s="27"/>
      <c r="I7" s="27"/>
      <c r="J7" s="27"/>
      <c r="K7" s="27"/>
      <c r="L7" s="27"/>
      <c r="M7" s="27"/>
      <c r="N7" s="27"/>
      <c r="O7" s="27"/>
      <c r="P7" s="27"/>
      <c r="Q7" s="27"/>
      <c r="R7" s="27"/>
      <c r="S7" s="27"/>
      <c r="T7" s="27"/>
      <c r="U7" s="27"/>
      <c r="V7" s="27"/>
      <c r="W7" s="27"/>
      <c r="X7" s="27"/>
      <c r="Y7" s="27"/>
      <c r="Z7" s="25"/>
    </row>
    <row r="8" spans="1:26" ht="12">
      <c r="A8" s="25"/>
      <c r="B8" s="30" t="s">
        <v>57</v>
      </c>
      <c r="C8" s="27"/>
      <c r="D8" s="27"/>
      <c r="E8" s="27"/>
      <c r="F8" s="27"/>
      <c r="G8" s="27"/>
      <c r="H8" s="27"/>
      <c r="I8" s="27"/>
      <c r="J8" s="27"/>
      <c r="K8" s="27"/>
      <c r="L8" s="27"/>
      <c r="M8" s="27"/>
      <c r="N8" s="27"/>
      <c r="O8" s="27"/>
      <c r="P8" s="27"/>
      <c r="Q8" s="27"/>
      <c r="R8" s="27"/>
      <c r="S8" s="27"/>
      <c r="T8" s="27"/>
      <c r="U8" s="27"/>
      <c r="V8" s="27"/>
      <c r="W8" s="27"/>
      <c r="X8" s="27"/>
      <c r="Y8" s="27"/>
      <c r="Z8" s="25"/>
    </row>
    <row r="9" spans="1:26" ht="12">
      <c r="A9" s="25"/>
      <c r="B9" s="30" t="s">
        <v>58</v>
      </c>
      <c r="C9" s="27"/>
      <c r="D9" s="27"/>
      <c r="E9" s="27"/>
      <c r="F9" s="27"/>
      <c r="G9" s="27"/>
      <c r="H9" s="27"/>
      <c r="I9" s="27"/>
      <c r="J9" s="27"/>
      <c r="K9" s="27"/>
      <c r="L9" s="27"/>
      <c r="M9" s="27"/>
      <c r="N9" s="27"/>
      <c r="O9" s="27"/>
      <c r="P9" s="27"/>
      <c r="Q9" s="27"/>
      <c r="R9" s="27"/>
      <c r="S9" s="27"/>
      <c r="T9" s="27"/>
      <c r="U9" s="27"/>
      <c r="V9" s="27"/>
      <c r="W9" s="27"/>
      <c r="X9" s="27"/>
      <c r="Y9" s="27"/>
      <c r="Z9" s="31"/>
    </row>
    <row r="10" spans="1:26" ht="9.95" customHeight="1">
      <c r="A10" s="25"/>
      <c r="B10" s="30"/>
      <c r="C10" s="27"/>
      <c r="D10" s="27"/>
      <c r="E10" s="32"/>
      <c r="F10" s="27"/>
      <c r="G10" s="27"/>
      <c r="H10" s="27"/>
      <c r="I10" s="27"/>
      <c r="J10" s="27"/>
      <c r="K10" s="27"/>
      <c r="L10" s="27"/>
      <c r="M10" s="27"/>
      <c r="N10" s="27"/>
      <c r="O10" s="27"/>
      <c r="P10" s="27"/>
      <c r="Q10" s="27"/>
      <c r="R10" s="27"/>
      <c r="S10" s="27"/>
      <c r="T10" s="27"/>
      <c r="U10" s="27"/>
      <c r="V10" s="27"/>
      <c r="W10" s="27"/>
      <c r="X10" s="27"/>
      <c r="Y10" s="27"/>
      <c r="Z10" s="31"/>
    </row>
    <row r="11" spans="1:26" ht="6"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9.95" customHeight="1">
      <c r="A12" s="25"/>
      <c r="B12" s="33"/>
      <c r="C12" s="33"/>
      <c r="D12" s="33"/>
      <c r="E12" s="33"/>
      <c r="F12" s="33"/>
      <c r="G12" s="33"/>
      <c r="H12" s="33"/>
      <c r="I12" s="33"/>
      <c r="J12" s="33"/>
      <c r="K12" s="33"/>
      <c r="L12" s="33"/>
      <c r="M12" s="33"/>
      <c r="N12" s="33"/>
      <c r="O12" s="33"/>
      <c r="P12" s="33"/>
      <c r="Q12" s="33"/>
      <c r="R12" s="33"/>
      <c r="S12" s="33"/>
      <c r="T12" s="33"/>
      <c r="U12" s="33"/>
      <c r="V12" s="33"/>
      <c r="W12" s="33"/>
      <c r="X12" s="33"/>
      <c r="Y12" s="33"/>
      <c r="Z12" s="25"/>
    </row>
    <row r="13" spans="1:26" ht="12">
      <c r="A13" s="25"/>
      <c r="B13" s="34" t="s">
        <v>59</v>
      </c>
      <c r="E13" s="35" t="s">
        <v>283</v>
      </c>
      <c r="Z13" s="25"/>
    </row>
    <row r="14" spans="1:26" ht="12">
      <c r="A14" s="25"/>
      <c r="Z14" s="25"/>
    </row>
    <row r="15" spans="1:26" ht="15" customHeight="1">
      <c r="A15" s="25"/>
      <c r="B15" s="34" t="s">
        <v>60</v>
      </c>
      <c r="E15" s="280" t="s">
        <v>284</v>
      </c>
      <c r="F15" s="280"/>
      <c r="G15" s="280"/>
      <c r="H15" s="280"/>
      <c r="I15" s="280"/>
      <c r="J15" s="280"/>
      <c r="K15" s="280"/>
      <c r="L15" s="280"/>
      <c r="M15" s="280"/>
      <c r="N15" s="280"/>
      <c r="O15" s="280"/>
      <c r="P15" s="280"/>
      <c r="Q15" s="280"/>
      <c r="R15" s="280"/>
      <c r="S15" s="280"/>
      <c r="T15" s="280"/>
      <c r="U15" s="280"/>
      <c r="V15" s="280"/>
      <c r="W15" s="280"/>
      <c r="X15" s="280"/>
      <c r="Y15" s="280"/>
      <c r="Z15" s="25"/>
    </row>
    <row r="16" spans="1:26" ht="12">
      <c r="A16" s="25"/>
      <c r="E16" s="280"/>
      <c r="F16" s="280"/>
      <c r="G16" s="280"/>
      <c r="H16" s="280"/>
      <c r="I16" s="280"/>
      <c r="J16" s="280"/>
      <c r="K16" s="280"/>
      <c r="L16" s="280"/>
      <c r="M16" s="280"/>
      <c r="N16" s="280"/>
      <c r="O16" s="280"/>
      <c r="P16" s="280"/>
      <c r="Q16" s="280"/>
      <c r="R16" s="280"/>
      <c r="S16" s="280"/>
      <c r="T16" s="280"/>
      <c r="U16" s="280"/>
      <c r="V16" s="280"/>
      <c r="W16" s="280"/>
      <c r="X16" s="280"/>
      <c r="Y16" s="280"/>
      <c r="Z16" s="25"/>
    </row>
    <row r="17" spans="1:26" ht="12">
      <c r="A17" s="25"/>
      <c r="Z17" s="25"/>
    </row>
    <row r="18" spans="1:26" ht="12">
      <c r="A18" s="25"/>
      <c r="B18" s="34" t="s">
        <v>61</v>
      </c>
      <c r="E18" s="36" t="s">
        <v>329</v>
      </c>
      <c r="Z18" s="25"/>
    </row>
    <row r="19" spans="1:26" ht="12">
      <c r="A19" s="25"/>
      <c r="D19" s="37"/>
      <c r="Z19" s="25"/>
    </row>
    <row r="20" spans="1:26" ht="12">
      <c r="A20" s="25"/>
      <c r="B20" s="34" t="s">
        <v>62</v>
      </c>
      <c r="E20" s="38" t="s">
        <v>285</v>
      </c>
      <c r="G20" s="39"/>
      <c r="Z20" s="25"/>
    </row>
    <row r="21" spans="1:26" ht="9.95" customHeight="1">
      <c r="A21" s="25"/>
      <c r="Z21" s="25"/>
    </row>
    <row r="22" spans="1:26" ht="6" customHeight="1">
      <c r="A22" s="25"/>
      <c r="B22" s="40"/>
      <c r="C22" s="41"/>
      <c r="D22" s="25"/>
      <c r="E22" s="42"/>
      <c r="F22" s="42"/>
      <c r="G22" s="42"/>
      <c r="H22" s="42"/>
      <c r="I22" s="42"/>
      <c r="J22" s="42"/>
      <c r="K22" s="42"/>
      <c r="L22" s="42"/>
      <c r="M22" s="42"/>
      <c r="N22" s="42"/>
      <c r="O22" s="42"/>
      <c r="P22" s="42"/>
      <c r="Q22" s="42"/>
      <c r="R22" s="42"/>
      <c r="S22" s="42"/>
      <c r="T22" s="42"/>
      <c r="U22" s="42"/>
      <c r="V22" s="42"/>
      <c r="W22" s="42"/>
      <c r="X22" s="42"/>
      <c r="Y22" s="42"/>
      <c r="Z22" s="25"/>
    </row>
    <row r="23" spans="1:26" ht="9.95" customHeight="1">
      <c r="A23" s="25"/>
      <c r="B23" s="43"/>
      <c r="C23" s="44"/>
      <c r="D23" s="33"/>
      <c r="E23" s="45"/>
      <c r="F23" s="45"/>
      <c r="G23" s="45"/>
      <c r="H23" s="45"/>
      <c r="I23" s="45"/>
      <c r="J23" s="45"/>
      <c r="K23" s="45"/>
      <c r="L23" s="45"/>
      <c r="M23" s="45"/>
      <c r="N23" s="45"/>
      <c r="O23" s="45"/>
      <c r="P23" s="45"/>
      <c r="Q23" s="45"/>
      <c r="R23" s="45"/>
      <c r="S23" s="45"/>
      <c r="T23" s="45"/>
      <c r="U23" s="45"/>
      <c r="V23" s="45"/>
      <c r="W23" s="45"/>
      <c r="X23" s="45"/>
      <c r="Y23" s="45"/>
      <c r="Z23" s="25"/>
    </row>
    <row r="24" spans="1:26" ht="36" customHeight="1">
      <c r="A24" s="25"/>
      <c r="B24" s="46" t="s">
        <v>63</v>
      </c>
      <c r="E24" s="280" t="s">
        <v>64</v>
      </c>
      <c r="F24" s="280"/>
      <c r="G24" s="280"/>
      <c r="H24" s="280"/>
      <c r="I24" s="280"/>
      <c r="J24" s="280"/>
      <c r="K24" s="280"/>
      <c r="L24" s="280"/>
      <c r="M24" s="280"/>
      <c r="N24" s="280"/>
      <c r="O24" s="280"/>
      <c r="P24" s="280"/>
      <c r="Q24" s="280"/>
      <c r="R24" s="280"/>
      <c r="S24" s="280"/>
      <c r="T24" s="280"/>
      <c r="U24" s="280"/>
      <c r="V24" s="280"/>
      <c r="W24" s="280"/>
      <c r="X24" s="280"/>
      <c r="Y24" s="280"/>
      <c r="Z24" s="25"/>
    </row>
    <row r="25" spans="1:26" ht="12.95" customHeight="1">
      <c r="A25" s="25"/>
      <c r="E25" s="281" t="s">
        <v>292</v>
      </c>
      <c r="F25" s="281"/>
      <c r="G25" s="281"/>
      <c r="H25" s="281"/>
      <c r="I25" s="281"/>
      <c r="J25" s="281"/>
      <c r="K25" s="281"/>
      <c r="L25" s="281"/>
      <c r="M25" s="281"/>
      <c r="N25" s="281"/>
      <c r="O25" s="281"/>
      <c r="P25" s="281"/>
      <c r="Q25" s="281"/>
      <c r="R25" s="281"/>
      <c r="S25" s="281"/>
      <c r="T25" s="281"/>
      <c r="U25" s="281"/>
      <c r="V25" s="281"/>
      <c r="W25" s="281"/>
      <c r="X25" s="281"/>
      <c r="Y25" s="281"/>
      <c r="Z25" s="25"/>
    </row>
    <row r="26" spans="1:26" ht="12.95" customHeight="1">
      <c r="A26" s="25"/>
      <c r="E26" s="3" t="s">
        <v>293</v>
      </c>
      <c r="Z26" s="25"/>
    </row>
    <row r="27" spans="1:26" ht="12.95" customHeight="1">
      <c r="A27" s="25"/>
      <c r="E27" s="3" t="s">
        <v>65</v>
      </c>
      <c r="N27" s="252" t="s">
        <v>294</v>
      </c>
      <c r="Z27" s="25"/>
    </row>
    <row r="28" spans="1:26" ht="12.95" customHeight="1">
      <c r="A28" s="25"/>
      <c r="E28" s="3" t="s">
        <v>295</v>
      </c>
      <c r="K28" s="47"/>
      <c r="O28" s="224" t="s">
        <v>296</v>
      </c>
      <c r="Z28" s="25"/>
    </row>
    <row r="29" spans="1:26" ht="49.5" customHeight="1">
      <c r="A29" s="25"/>
      <c r="B29" s="46" t="s">
        <v>66</v>
      </c>
      <c r="E29" s="280" t="s">
        <v>67</v>
      </c>
      <c r="F29" s="280"/>
      <c r="G29" s="280"/>
      <c r="H29" s="280"/>
      <c r="I29" s="280"/>
      <c r="J29" s="280"/>
      <c r="K29" s="280"/>
      <c r="L29" s="280"/>
      <c r="M29" s="280"/>
      <c r="N29" s="280"/>
      <c r="O29" s="280"/>
      <c r="P29" s="280"/>
      <c r="Q29" s="280"/>
      <c r="R29" s="280"/>
      <c r="S29" s="280"/>
      <c r="T29" s="280"/>
      <c r="U29" s="280"/>
      <c r="V29" s="280"/>
      <c r="W29" s="280"/>
      <c r="X29" s="280"/>
      <c r="Y29" s="280"/>
      <c r="Z29" s="25"/>
    </row>
    <row r="30" spans="1:26" ht="9.95" customHeight="1">
      <c r="A30" s="25"/>
      <c r="B30" s="48"/>
      <c r="E30" s="49"/>
      <c r="Z30" s="25"/>
    </row>
    <row r="31" spans="1:26" ht="12"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ht="12" hidden="1"/>
    <row r="33" ht="12" hidden="1">
      <c r="Z33" s="3"/>
    </row>
    <row r="34" ht="12" hidden="1">
      <c r="Z34" s="3"/>
    </row>
    <row r="35" ht="12" hidden="1">
      <c r="Z35" s="3"/>
    </row>
    <row r="36" ht="12" hidden="1">
      <c r="Z36" s="3"/>
    </row>
    <row r="37" ht="15" customHeight="1" hidden="1">
      <c r="Z37" s="3"/>
    </row>
    <row r="38" ht="15" customHeight="1" hidden="1">
      <c r="Z38" s="3"/>
    </row>
    <row r="39" ht="15" customHeight="1" hidden="1">
      <c r="Z39" s="3"/>
    </row>
    <row r="40" ht="15" customHeight="1" hidden="1">
      <c r="Z40" s="3"/>
    </row>
    <row r="41" ht="15" customHeight="1" hidden="1">
      <c r="Z41" s="3"/>
    </row>
    <row r="42" ht="15" customHeight="1" hidden="1">
      <c r="Z42" s="3"/>
    </row>
    <row r="43" ht="12" hidden="1"/>
    <row r="44" ht="12" hidden="1"/>
  </sheetData>
  <mergeCells count="4">
    <mergeCell ref="E15:Y16"/>
    <mergeCell ref="E24:Y24"/>
    <mergeCell ref="E25:Y25"/>
    <mergeCell ref="E29:Y29"/>
  </mergeCells>
  <hyperlinks>
    <hyperlink ref="E20" r:id="rId1" display="https://ec.europa.eu/eurostat/statistics-explained/index.php?title=Material_flow_accounts_statistics_-_material_footprints"/>
    <hyperlink ref="N27" r:id="rId2" display="https://ec.europa.eu/eurostat/about/policies/copyright"/>
    <hyperlink ref="O28" r:id="rId3" display="https://ec.europa.eu/eurostat/web/european-statistical-system/reuse-ess-statistic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topLeftCell="A1"/>
  </sheetViews>
  <sheetFormatPr defaultColWidth="8.8515625" defaultRowHeight="15"/>
  <cols>
    <col min="1" max="3" width="4.7109375" style="3" customWidth="1"/>
    <col min="4" max="4" width="69.28125" style="3" bestFit="1" customWidth="1"/>
    <col min="5" max="5" width="11.140625" style="3" customWidth="1"/>
    <col min="6" max="18" width="11.140625" style="3" bestFit="1" customWidth="1"/>
    <col min="19" max="25" width="11.140625" style="3" customWidth="1"/>
    <col min="26" max="16384" width="8.8515625" style="3" customWidth="1"/>
  </cols>
  <sheetData>
    <row r="1" ht="15.75">
      <c r="A1" s="222" t="s">
        <v>71</v>
      </c>
    </row>
    <row r="2" ht="12.75" thickBot="1"/>
    <row r="3" spans="3:26" ht="15">
      <c r="C3" s="116" t="s">
        <v>51</v>
      </c>
      <c r="D3" s="19"/>
      <c r="E3" s="19" t="s">
        <v>96</v>
      </c>
      <c r="F3" s="19"/>
      <c r="G3" s="117" t="s">
        <v>332</v>
      </c>
      <c r="H3" s="19"/>
      <c r="I3" s="19"/>
      <c r="J3" s="19"/>
      <c r="K3" s="19"/>
      <c r="L3" s="19"/>
      <c r="M3" s="19"/>
      <c r="N3" s="19"/>
      <c r="O3" s="19"/>
      <c r="P3" s="19"/>
      <c r="Q3" s="19"/>
      <c r="R3" s="19"/>
      <c r="S3" s="19"/>
      <c r="T3" s="19"/>
      <c r="U3" s="19"/>
      <c r="V3" s="19"/>
      <c r="W3" s="19"/>
      <c r="X3" s="19"/>
      <c r="Y3" s="19"/>
      <c r="Z3" s="20"/>
    </row>
    <row r="4" spans="3:26" ht="15">
      <c r="C4" s="13"/>
      <c r="D4" s="15"/>
      <c r="E4" s="15"/>
      <c r="F4" s="15"/>
      <c r="G4" s="15"/>
      <c r="H4" s="15"/>
      <c r="I4" s="15"/>
      <c r="J4" s="15"/>
      <c r="K4" s="15"/>
      <c r="L4" s="15"/>
      <c r="M4" s="15"/>
      <c r="N4" s="15"/>
      <c r="O4" s="15"/>
      <c r="P4" s="15"/>
      <c r="Q4" s="15"/>
      <c r="R4" s="15"/>
      <c r="S4" s="15"/>
      <c r="T4" s="15"/>
      <c r="U4" s="15"/>
      <c r="V4" s="15"/>
      <c r="W4" s="15"/>
      <c r="X4" s="15"/>
      <c r="Y4" s="15"/>
      <c r="Z4" s="14"/>
    </row>
    <row r="5" spans="3:26" ht="15">
      <c r="C5" s="13"/>
      <c r="D5" s="11" t="s">
        <v>102</v>
      </c>
      <c r="Z5" s="14"/>
    </row>
    <row r="6" spans="3:26" ht="15">
      <c r="C6" s="13"/>
      <c r="Z6" s="14"/>
    </row>
    <row r="7" spans="3:26" ht="15">
      <c r="C7" s="13"/>
      <c r="D7" s="11" t="s">
        <v>9</v>
      </c>
      <c r="E7" s="148">
        <v>44448.12659722222</v>
      </c>
      <c r="Z7" s="14"/>
    </row>
    <row r="8" spans="3:26" ht="15">
      <c r="C8" s="13"/>
      <c r="D8" s="11" t="s">
        <v>10</v>
      </c>
      <c r="E8" s="148">
        <v>44449.75073443287</v>
      </c>
      <c r="Z8" s="14"/>
    </row>
    <row r="9" spans="3:26" ht="15">
      <c r="C9" s="13"/>
      <c r="D9" s="11" t="s">
        <v>11</v>
      </c>
      <c r="E9" s="11" t="s">
        <v>12</v>
      </c>
      <c r="Z9" s="14"/>
    </row>
    <row r="10" spans="3:26" ht="15">
      <c r="C10" s="13"/>
      <c r="Z10" s="14"/>
    </row>
    <row r="11" spans="3:26" ht="15">
      <c r="C11" s="13"/>
      <c r="D11" s="11" t="s">
        <v>68</v>
      </c>
      <c r="E11" s="11" t="s">
        <v>69</v>
      </c>
      <c r="Z11" s="14"/>
    </row>
    <row r="12" spans="3:26" ht="15">
      <c r="C12" s="13"/>
      <c r="D12" s="11" t="s">
        <v>103</v>
      </c>
      <c r="E12" s="11" t="s">
        <v>104</v>
      </c>
      <c r="Z12" s="14"/>
    </row>
    <row r="13" spans="3:26" ht="15">
      <c r="C13" s="13"/>
      <c r="D13" s="11" t="s">
        <v>15</v>
      </c>
      <c r="E13" s="11" t="s">
        <v>303</v>
      </c>
      <c r="Z13" s="14"/>
    </row>
    <row r="14" spans="3:26" ht="15">
      <c r="C14" s="13"/>
      <c r="Z14" s="14"/>
    </row>
    <row r="15" spans="3:26" ht="15">
      <c r="C15" s="13"/>
      <c r="D15" s="84" t="s">
        <v>70</v>
      </c>
      <c r="E15" s="84" t="s">
        <v>16</v>
      </c>
      <c r="F15" s="84" t="s">
        <v>17</v>
      </c>
      <c r="G15" s="84" t="s">
        <v>18</v>
      </c>
      <c r="H15" s="84" t="s">
        <v>19</v>
      </c>
      <c r="I15" s="84" t="s">
        <v>20</v>
      </c>
      <c r="J15" s="84" t="s">
        <v>21</v>
      </c>
      <c r="K15" s="84" t="s">
        <v>22</v>
      </c>
      <c r="L15" s="84" t="s">
        <v>23</v>
      </c>
      <c r="M15" s="84" t="s">
        <v>24</v>
      </c>
      <c r="N15" s="84" t="s">
        <v>25</v>
      </c>
      <c r="O15" s="84" t="s">
        <v>26</v>
      </c>
      <c r="P15" s="84" t="s">
        <v>27</v>
      </c>
      <c r="Q15" s="84" t="s">
        <v>28</v>
      </c>
      <c r="R15" s="84" t="s">
        <v>48</v>
      </c>
      <c r="S15" s="84" t="s">
        <v>76</v>
      </c>
      <c r="T15" s="84" t="s">
        <v>101</v>
      </c>
      <c r="U15" s="84" t="s">
        <v>106</v>
      </c>
      <c r="V15" s="84" t="s">
        <v>289</v>
      </c>
      <c r="W15" s="84" t="s">
        <v>291</v>
      </c>
      <c r="X15" s="84" t="s">
        <v>300</v>
      </c>
      <c r="Y15" s="84" t="s">
        <v>326</v>
      </c>
      <c r="Z15" s="14"/>
    </row>
    <row r="16" spans="3:26" ht="15">
      <c r="C16" s="13"/>
      <c r="D16" s="84" t="s">
        <v>107</v>
      </c>
      <c r="E16" s="149">
        <v>101.356</v>
      </c>
      <c r="F16" s="149">
        <v>102.435</v>
      </c>
      <c r="G16" s="149">
        <v>102.441</v>
      </c>
      <c r="H16" s="149">
        <v>103.458</v>
      </c>
      <c r="I16" s="149">
        <v>105.176</v>
      </c>
      <c r="J16" s="149">
        <v>106.466</v>
      </c>
      <c r="K16" s="149">
        <v>110.838</v>
      </c>
      <c r="L16" s="149">
        <v>112.967</v>
      </c>
      <c r="M16" s="149">
        <v>111.859</v>
      </c>
      <c r="N16" s="149">
        <v>105.066</v>
      </c>
      <c r="O16" s="149">
        <v>100</v>
      </c>
      <c r="P16" s="149">
        <v>97.662</v>
      </c>
      <c r="Q16" s="149">
        <v>92.688</v>
      </c>
      <c r="R16" s="149">
        <v>89.453</v>
      </c>
      <c r="S16" s="150">
        <v>89.397</v>
      </c>
      <c r="T16" s="150">
        <v>90.904</v>
      </c>
      <c r="U16" s="150">
        <v>91.912</v>
      </c>
      <c r="V16" s="150">
        <v>94.135</v>
      </c>
      <c r="W16" s="150">
        <v>96.613</v>
      </c>
      <c r="X16" s="150">
        <v>98.534</v>
      </c>
      <c r="Y16" s="150">
        <v>93.745</v>
      </c>
      <c r="Z16" s="14"/>
    </row>
    <row r="17" spans="3:26" ht="15">
      <c r="C17" s="13"/>
      <c r="D17" s="151" t="s">
        <v>105</v>
      </c>
      <c r="E17" s="149">
        <v>578184.9</v>
      </c>
      <c r="F17" s="149">
        <v>584338.7</v>
      </c>
      <c r="G17" s="149">
        <v>584371.4</v>
      </c>
      <c r="H17" s="149">
        <v>590177</v>
      </c>
      <c r="I17" s="149">
        <v>599976.2</v>
      </c>
      <c r="J17" s="149">
        <v>607336</v>
      </c>
      <c r="K17" s="149">
        <v>632271.9</v>
      </c>
      <c r="L17" s="149">
        <v>644419.7</v>
      </c>
      <c r="M17" s="149">
        <v>638097.4</v>
      </c>
      <c r="N17" s="149">
        <v>599345.8</v>
      </c>
      <c r="O17" s="149">
        <v>570449.2</v>
      </c>
      <c r="P17" s="149">
        <v>557111.1</v>
      </c>
      <c r="Q17" s="149">
        <v>528737.4</v>
      </c>
      <c r="R17" s="149">
        <v>510282.5</v>
      </c>
      <c r="S17" s="149">
        <v>509964.2</v>
      </c>
      <c r="T17" s="149">
        <v>518561.1</v>
      </c>
      <c r="U17" s="149">
        <v>524311.5</v>
      </c>
      <c r="V17" s="149">
        <v>536993.9</v>
      </c>
      <c r="W17" s="149">
        <v>551127.9</v>
      </c>
      <c r="X17" s="149">
        <v>562083.9</v>
      </c>
      <c r="Y17" s="149">
        <v>534766</v>
      </c>
      <c r="Z17" s="14"/>
    </row>
    <row r="18" spans="3:26" ht="15">
      <c r="C18" s="13"/>
      <c r="D18" s="84" t="s">
        <v>108</v>
      </c>
      <c r="E18" s="150">
        <v>3.1</v>
      </c>
      <c r="F18" s="149">
        <v>4.1</v>
      </c>
      <c r="G18" s="149">
        <v>3.9</v>
      </c>
      <c r="H18" s="149">
        <v>3.2</v>
      </c>
      <c r="I18" s="149">
        <v>4.3</v>
      </c>
      <c r="J18" s="149">
        <v>4.6</v>
      </c>
      <c r="K18" s="149">
        <v>5.3</v>
      </c>
      <c r="L18" s="149">
        <v>5.2</v>
      </c>
      <c r="M18" s="149">
        <v>5.7</v>
      </c>
      <c r="N18" s="149">
        <v>-0.3</v>
      </c>
      <c r="O18" s="149">
        <v>0.6</v>
      </c>
      <c r="P18" s="149">
        <v>2.1</v>
      </c>
      <c r="Q18" s="149">
        <v>2.1</v>
      </c>
      <c r="R18" s="149">
        <v>1.1</v>
      </c>
      <c r="S18" s="150">
        <v>0.7</v>
      </c>
      <c r="T18" s="150">
        <v>0.7</v>
      </c>
      <c r="U18" s="150">
        <v>1.8</v>
      </c>
      <c r="V18" s="150">
        <v>2.5</v>
      </c>
      <c r="W18" s="150">
        <v>3.5</v>
      </c>
      <c r="X18" s="150">
        <v>4.6</v>
      </c>
      <c r="Y18" s="150">
        <v>3.7</v>
      </c>
      <c r="Z18" s="14"/>
    </row>
    <row r="19" spans="3:26" ht="15">
      <c r="C19" s="13"/>
      <c r="Z19" s="14"/>
    </row>
    <row r="20" spans="3:26" ht="15">
      <c r="C20" s="13"/>
      <c r="D20" s="11" t="s">
        <v>38</v>
      </c>
      <c r="Z20" s="14"/>
    </row>
    <row r="21" spans="3:26" ht="15">
      <c r="C21" s="13"/>
      <c r="D21" s="11" t="s">
        <v>36</v>
      </c>
      <c r="E21" s="11" t="s">
        <v>39</v>
      </c>
      <c r="M21" s="143"/>
      <c r="Z21" s="14"/>
    </row>
    <row r="22" spans="3:26" ht="12.75" thickBot="1">
      <c r="C22" s="16"/>
      <c r="D22" s="17"/>
      <c r="E22" s="17"/>
      <c r="F22" s="17"/>
      <c r="G22" s="17"/>
      <c r="H22" s="17"/>
      <c r="I22" s="17"/>
      <c r="J22" s="17"/>
      <c r="K22" s="17"/>
      <c r="L22" s="17"/>
      <c r="M22" s="17"/>
      <c r="N22" s="17"/>
      <c r="O22" s="17"/>
      <c r="P22" s="17"/>
      <c r="Q22" s="17"/>
      <c r="R22" s="17"/>
      <c r="S22" s="17"/>
      <c r="T22" s="17"/>
      <c r="U22" s="17"/>
      <c r="V22" s="17"/>
      <c r="W22" s="17"/>
      <c r="X22" s="17"/>
      <c r="Y22" s="17"/>
      <c r="Z22" s="18"/>
    </row>
    <row r="26" spans="12:25" ht="15">
      <c r="L26" s="3" t="s">
        <v>321</v>
      </c>
      <c r="O26" s="3" t="s">
        <v>322</v>
      </c>
      <c r="T26" s="3" t="s">
        <v>323</v>
      </c>
      <c r="U26" s="3" t="s">
        <v>323</v>
      </c>
      <c r="V26" s="3" t="s">
        <v>323</v>
      </c>
      <c r="W26" s="3" t="s">
        <v>323</v>
      </c>
      <c r="X26" s="3" t="s">
        <v>323</v>
      </c>
      <c r="Y26" s="3" t="s">
        <v>323</v>
      </c>
    </row>
    <row r="27" spans="12:25" ht="15">
      <c r="L27" s="263">
        <f>(L16-E16)/E16</f>
        <v>0.1145566123367142</v>
      </c>
      <c r="M27" s="1"/>
      <c r="N27" s="1"/>
      <c r="O27" s="263">
        <f>(O16-L16)/L16</f>
        <v>-0.11478573388688731</v>
      </c>
      <c r="P27" s="1"/>
      <c r="Q27" s="1"/>
      <c r="R27" s="1"/>
      <c r="S27" s="1"/>
      <c r="T27" s="263">
        <f aca="true" t="shared" si="0" ref="T27:Y27">(T16-$O$16)/$O$16</f>
        <v>-0.09096000000000004</v>
      </c>
      <c r="U27" s="263">
        <f t="shared" si="0"/>
        <v>-0.08087999999999994</v>
      </c>
      <c r="V27" s="263">
        <f t="shared" si="0"/>
        <v>-0.05864999999999995</v>
      </c>
      <c r="W27" s="263">
        <f t="shared" si="0"/>
        <v>-0.033870000000000004</v>
      </c>
      <c r="X27" s="264">
        <f t="shared" si="0"/>
        <v>-0.01465999999999994</v>
      </c>
      <c r="Y27" s="263">
        <f t="shared" si="0"/>
        <v>-0.06254999999999995</v>
      </c>
    </row>
    <row r="29" spans="4:25" ht="15">
      <c r="D29" s="89"/>
      <c r="E29" s="89" t="s">
        <v>16</v>
      </c>
      <c r="F29" s="89" t="s">
        <v>17</v>
      </c>
      <c r="G29" s="90" t="s">
        <v>18</v>
      </c>
      <c r="H29" s="91" t="s">
        <v>19</v>
      </c>
      <c r="I29" s="90" t="s">
        <v>20</v>
      </c>
      <c r="J29" s="91" t="s">
        <v>21</v>
      </c>
      <c r="K29" s="90" t="s">
        <v>22</v>
      </c>
      <c r="L29" s="91" t="s">
        <v>23</v>
      </c>
      <c r="M29" s="90" t="s">
        <v>24</v>
      </c>
      <c r="N29" s="91" t="s">
        <v>25</v>
      </c>
      <c r="O29" s="90" t="s">
        <v>26</v>
      </c>
      <c r="P29" s="91" t="s">
        <v>27</v>
      </c>
      <c r="Q29" s="90" t="s">
        <v>28</v>
      </c>
      <c r="R29" s="91" t="s">
        <v>48</v>
      </c>
      <c r="S29" s="91" t="s">
        <v>76</v>
      </c>
      <c r="T29" s="91" t="s">
        <v>101</v>
      </c>
      <c r="U29" s="91" t="s">
        <v>106</v>
      </c>
      <c r="V29" s="91" t="s">
        <v>289</v>
      </c>
      <c r="W29" s="91" t="s">
        <v>291</v>
      </c>
      <c r="X29" s="91" t="s">
        <v>300</v>
      </c>
      <c r="Y29" s="91" t="s">
        <v>326</v>
      </c>
    </row>
    <row r="30" spans="4:25" ht="15">
      <c r="D30" s="265" t="s">
        <v>324</v>
      </c>
      <c r="E30" s="266">
        <v>100</v>
      </c>
      <c r="F30" s="266">
        <f>E30/'RME data'!G30*'RME data'!H30</f>
        <v>102.26365650010847</v>
      </c>
      <c r="G30" s="266">
        <f>F30/'RME data'!H30*'RME data'!I30</f>
        <v>102.03059833796377</v>
      </c>
      <c r="H30" s="266">
        <f>G30/'RME data'!I30*'RME data'!J30</f>
        <v>102.81482316116539</v>
      </c>
      <c r="I30" s="266">
        <f>H30/'RME data'!J30*'RME data'!K30</f>
        <v>107.14626771629399</v>
      </c>
      <c r="J30" s="266">
        <f>I30/'RME data'!K30*'RME data'!L30</f>
        <v>108.57786990726288</v>
      </c>
      <c r="K30" s="266">
        <f>J30/'RME data'!L30*'RME data'!M30</f>
        <v>112.68758361982562</v>
      </c>
      <c r="L30" s="266">
        <f>K30/'RME data'!M30*'RME data'!N30</f>
        <v>115.51375213827647</v>
      </c>
      <c r="M30" s="266">
        <f>L30/'RME data'!N30*'RME data'!O30</f>
        <v>113.18465594790223</v>
      </c>
      <c r="N30" s="266">
        <f>M30/'RME data'!O30*'RME data'!P30</f>
        <v>97.98457702089142</v>
      </c>
      <c r="O30" s="266">
        <f>N30/'RME data'!P30*'RME data'!Q30</f>
        <v>95.53276727248746</v>
      </c>
      <c r="P30" s="266">
        <f>O30/'RME data'!Q30*'RME data'!R30</f>
        <v>98.97172761393163</v>
      </c>
      <c r="Q30" s="266">
        <f>P30/'RME data'!R30*'RME data'!S30</f>
        <v>90.98502488389224</v>
      </c>
      <c r="R30" s="266">
        <f>Q30/'RME data'!S30*'RME data'!T30</f>
        <v>88.91238877741196</v>
      </c>
      <c r="S30" s="266">
        <f>R30/'RME data'!T30*'RME data'!U30</f>
        <v>89.42676393404106</v>
      </c>
      <c r="T30" s="266">
        <f>S30/'RME data'!U30*'RME data'!V30</f>
        <v>89.0042113797738</v>
      </c>
      <c r="U30" s="266">
        <f>T30/'RME data'!V30*'RME data'!W30</f>
        <v>88.71732463827203</v>
      </c>
      <c r="V30" s="266">
        <f>U30/'RME data'!W30*'RME data'!X30</f>
        <v>91.9910176047567</v>
      </c>
      <c r="W30" s="266">
        <f>V30/'RME data'!X30*'RME data'!Y30</f>
        <v>93.6080251031489</v>
      </c>
      <c r="X30" s="266">
        <f>W30/'RME data'!Y30*'RME data'!Z30</f>
        <v>93.08729656776246</v>
      </c>
      <c r="Y30" s="266">
        <f>X30/'RME data'!Z30*'RME data'!AA30</f>
        <v>0</v>
      </c>
    </row>
    <row r="31" spans="4:25" ht="15">
      <c r="D31" s="267" t="s">
        <v>325</v>
      </c>
      <c r="E31" s="268">
        <v>100</v>
      </c>
      <c r="F31" s="268">
        <f>E31/E16*F16</f>
        <v>101.06456450530803</v>
      </c>
      <c r="G31" s="268">
        <f>F31/F16*G16</f>
        <v>101.07048423378981</v>
      </c>
      <c r="H31" s="268">
        <f aca="true" t="shared" si="1" ref="H31:T31">G31/G16*H16</f>
        <v>102.0738782114527</v>
      </c>
      <c r="I31" s="268">
        <f t="shared" si="1"/>
        <v>103.76889380007103</v>
      </c>
      <c r="J31" s="268">
        <f t="shared" si="1"/>
        <v>105.04163542365521</v>
      </c>
      <c r="K31" s="268">
        <f t="shared" si="1"/>
        <v>109.35514424405065</v>
      </c>
      <c r="L31" s="268">
        <f t="shared" si="1"/>
        <v>111.45566123367139</v>
      </c>
      <c r="M31" s="268">
        <f t="shared" si="1"/>
        <v>110.36248470736807</v>
      </c>
      <c r="N31" s="268">
        <f t="shared" si="1"/>
        <v>103.6603654445716</v>
      </c>
      <c r="O31" s="268">
        <f t="shared" si="1"/>
        <v>98.66214136311613</v>
      </c>
      <c r="P31" s="268">
        <f t="shared" si="1"/>
        <v>96.35542049804648</v>
      </c>
      <c r="Q31" s="268">
        <f t="shared" si="1"/>
        <v>91.44796558664508</v>
      </c>
      <c r="R31" s="268">
        <f t="shared" si="1"/>
        <v>88.25624531354828</v>
      </c>
      <c r="S31" s="268">
        <f>R31/R16*S16</f>
        <v>88.20099451438493</v>
      </c>
      <c r="T31" s="268">
        <f t="shared" si="1"/>
        <v>89.68783298472708</v>
      </c>
      <c r="U31" s="268">
        <f>T31/T16*U16</f>
        <v>90.6823473696673</v>
      </c>
      <c r="V31" s="268">
        <f aca="true" t="shared" si="2" ref="V31">U31/U16*V16</f>
        <v>92.87560677216938</v>
      </c>
      <c r="W31" s="268">
        <f>V31/V16*W16</f>
        <v>95.32045463514739</v>
      </c>
      <c r="X31" s="268">
        <f>W31/W16*X16</f>
        <v>97.21575437073285</v>
      </c>
      <c r="Y31" s="268">
        <f>X31/X16*Y16</f>
        <v>92.49082442085322</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tabSelected="1" workbookViewId="0" topLeftCell="A1"/>
  </sheetViews>
  <sheetFormatPr defaultColWidth="8.8515625" defaultRowHeight="15"/>
  <cols>
    <col min="1" max="3" width="4.7109375" style="3" customWidth="1"/>
    <col min="4" max="4" width="13.57421875" style="3" customWidth="1"/>
    <col min="5" max="5" width="18.57421875" style="3" customWidth="1"/>
    <col min="6" max="6" width="22.28125" style="3" bestFit="1" customWidth="1"/>
    <col min="7" max="7" width="18.421875" style="3" customWidth="1"/>
    <col min="8" max="8" width="22.8515625" style="3" bestFit="1" customWidth="1"/>
    <col min="9" max="9" width="12.7109375" style="3" bestFit="1" customWidth="1"/>
    <col min="10" max="16384" width="8.8515625" style="3" customWidth="1"/>
  </cols>
  <sheetData>
    <row r="1" ht="15.75">
      <c r="A1" s="222" t="s">
        <v>269</v>
      </c>
    </row>
    <row r="2" ht="12" customHeight="1" thickBot="1"/>
    <row r="3" spans="3:10" ht="12" customHeight="1">
      <c r="C3" s="116" t="s">
        <v>51</v>
      </c>
      <c r="D3" s="19"/>
      <c r="E3" s="19" t="s">
        <v>96</v>
      </c>
      <c r="F3" s="19"/>
      <c r="G3" s="214" t="s">
        <v>331</v>
      </c>
      <c r="H3" s="214"/>
      <c r="I3" s="19"/>
      <c r="J3" s="20"/>
    </row>
    <row r="4" spans="3:10" ht="12" customHeight="1">
      <c r="C4" s="13"/>
      <c r="D4" s="15"/>
      <c r="E4" s="15"/>
      <c r="F4" s="15"/>
      <c r="G4" s="15"/>
      <c r="H4" s="15"/>
      <c r="I4" s="15"/>
      <c r="J4" s="14"/>
    </row>
    <row r="5" spans="3:12" ht="12" customHeight="1">
      <c r="C5" s="13"/>
      <c r="D5" s="11" t="s">
        <v>270</v>
      </c>
      <c r="E5" s="254"/>
      <c r="F5" s="215"/>
      <c r="G5" s="215"/>
      <c r="H5" s="215"/>
      <c r="I5" s="215"/>
      <c r="J5" s="216"/>
      <c r="K5"/>
      <c r="L5"/>
    </row>
    <row r="6" spans="3:12" ht="12" customHeight="1">
      <c r="C6" s="13"/>
      <c r="D6" s="254"/>
      <c r="E6" s="254"/>
      <c r="F6" s="215"/>
      <c r="G6" s="215"/>
      <c r="H6" s="215"/>
      <c r="I6" s="215"/>
      <c r="J6" s="216"/>
      <c r="K6"/>
      <c r="L6"/>
    </row>
    <row r="7" spans="3:12" ht="12" customHeight="1">
      <c r="C7" s="13"/>
      <c r="D7" s="219" t="s">
        <v>9</v>
      </c>
      <c r="E7" s="218">
        <v>44363.39769675926</v>
      </c>
      <c r="F7" s="215"/>
      <c r="G7" s="215"/>
      <c r="H7" s="215"/>
      <c r="I7" s="215"/>
      <c r="J7" s="216"/>
      <c r="K7"/>
      <c r="L7"/>
    </row>
    <row r="8" spans="3:12" ht="12" customHeight="1">
      <c r="C8" s="13"/>
      <c r="D8" s="219" t="s">
        <v>10</v>
      </c>
      <c r="E8" s="218">
        <v>44449.74584662037</v>
      </c>
      <c r="F8" s="215"/>
      <c r="G8" s="215"/>
      <c r="H8" s="215"/>
      <c r="I8" s="215"/>
      <c r="J8" s="216"/>
      <c r="K8"/>
      <c r="L8"/>
    </row>
    <row r="9" spans="3:12" ht="12" customHeight="1">
      <c r="C9" s="13"/>
      <c r="D9" s="219" t="s">
        <v>11</v>
      </c>
      <c r="E9" s="219" t="s">
        <v>12</v>
      </c>
      <c r="F9" s="215"/>
      <c r="G9" s="215"/>
      <c r="H9" s="215"/>
      <c r="I9" s="215"/>
      <c r="J9" s="216"/>
      <c r="K9"/>
      <c r="L9"/>
    </row>
    <row r="10" spans="3:12" ht="12" customHeight="1">
      <c r="C10" s="13"/>
      <c r="D10" s="254"/>
      <c r="E10" s="254"/>
      <c r="F10" s="215"/>
      <c r="G10" s="215"/>
      <c r="H10" s="215"/>
      <c r="I10" s="215"/>
      <c r="J10" s="216"/>
      <c r="K10"/>
      <c r="L10"/>
    </row>
    <row r="11" spans="3:12" ht="12" customHeight="1">
      <c r="C11" s="13"/>
      <c r="D11" s="11" t="s">
        <v>13</v>
      </c>
      <c r="E11" s="11" t="s">
        <v>271</v>
      </c>
      <c r="F11" s="215"/>
      <c r="G11" s="215"/>
      <c r="H11" s="215"/>
      <c r="I11" s="215"/>
      <c r="J11" s="216"/>
      <c r="K11"/>
      <c r="L11"/>
    </row>
    <row r="12" spans="3:12" ht="12" customHeight="1">
      <c r="C12" s="13"/>
      <c r="D12" s="11" t="s">
        <v>272</v>
      </c>
      <c r="E12" s="11" t="s">
        <v>14</v>
      </c>
      <c r="F12" s="215"/>
      <c r="G12" s="215"/>
      <c r="H12" s="215"/>
      <c r="I12" s="215"/>
      <c r="J12" s="216"/>
      <c r="K12"/>
      <c r="L12"/>
    </row>
    <row r="13" spans="3:12" ht="12" customHeight="1">
      <c r="C13" s="13"/>
      <c r="D13" s="11" t="s">
        <v>15</v>
      </c>
      <c r="E13" s="11" t="s">
        <v>303</v>
      </c>
      <c r="F13" s="215"/>
      <c r="G13" s="215"/>
      <c r="H13" s="215"/>
      <c r="I13" s="215"/>
      <c r="J13" s="216"/>
      <c r="K13"/>
      <c r="L13"/>
    </row>
    <row r="14" spans="3:12" ht="12" customHeight="1">
      <c r="C14" s="13"/>
      <c r="D14" s="215"/>
      <c r="E14" s="215"/>
      <c r="F14" s="215"/>
      <c r="G14" s="215"/>
      <c r="H14" s="215"/>
      <c r="I14" s="215"/>
      <c r="J14" s="216"/>
      <c r="K14"/>
      <c r="L14"/>
    </row>
    <row r="15" spans="3:12" ht="12" customHeight="1">
      <c r="C15" s="13"/>
      <c r="D15" s="84" t="s">
        <v>120</v>
      </c>
      <c r="E15" s="84" t="s">
        <v>273</v>
      </c>
      <c r="F15" s="84" t="s">
        <v>274</v>
      </c>
      <c r="G15" s="84" t="s">
        <v>275</v>
      </c>
      <c r="H15" s="84" t="s">
        <v>276</v>
      </c>
      <c r="I15" s="84" t="s">
        <v>277</v>
      </c>
      <c r="J15" s="216"/>
      <c r="K15"/>
      <c r="L15"/>
    </row>
    <row r="16" spans="3:14" ht="12" customHeight="1">
      <c r="C16" s="13"/>
      <c r="D16" s="84" t="s">
        <v>118</v>
      </c>
      <c r="E16" s="84" t="s">
        <v>278</v>
      </c>
      <c r="F16" s="84" t="s">
        <v>279</v>
      </c>
      <c r="G16" s="84" t="s">
        <v>280</v>
      </c>
      <c r="H16" s="84" t="s">
        <v>281</v>
      </c>
      <c r="I16" s="84" t="s">
        <v>282</v>
      </c>
      <c r="J16" s="216"/>
      <c r="K16"/>
      <c r="L16" s="91" t="s">
        <v>120</v>
      </c>
      <c r="M16" s="91" t="s">
        <v>274</v>
      </c>
      <c r="N16" s="90" t="s">
        <v>275</v>
      </c>
    </row>
    <row r="17" spans="3:14" ht="12" customHeight="1">
      <c r="C17" s="13"/>
      <c r="D17" s="84" t="s">
        <v>76</v>
      </c>
      <c r="E17" s="84" t="s">
        <v>14</v>
      </c>
      <c r="F17" s="85">
        <v>8201978.91</v>
      </c>
      <c r="G17" s="85">
        <v>2232995.06</v>
      </c>
      <c r="H17" s="85">
        <v>2020728.73</v>
      </c>
      <c r="I17" s="85">
        <v>12455702.7</v>
      </c>
      <c r="J17" s="216"/>
      <c r="K17"/>
      <c r="L17" s="91" t="str">
        <f>D17</f>
        <v>2014</v>
      </c>
      <c r="M17" s="278">
        <f>F17/(F17+G17)</f>
        <v>0.7860085644276887</v>
      </c>
      <c r="N17" s="278">
        <f>G17/(G17+F17)</f>
        <v>0.21399143557231123</v>
      </c>
    </row>
    <row r="18" spans="3:14" ht="12" customHeight="1">
      <c r="C18" s="13"/>
      <c r="D18" s="84" t="s">
        <v>101</v>
      </c>
      <c r="E18" s="84" t="s">
        <v>14</v>
      </c>
      <c r="F18" s="85">
        <v>8355924.15</v>
      </c>
      <c r="G18" s="85">
        <v>2367778.99</v>
      </c>
      <c r="H18" s="85">
        <v>2162539.23</v>
      </c>
      <c r="I18" s="85">
        <v>12886242.37</v>
      </c>
      <c r="J18" s="216"/>
      <c r="K18"/>
      <c r="L18" s="91" t="str">
        <f aca="true" t="shared" si="0" ref="L18:L22">D18</f>
        <v>2015</v>
      </c>
      <c r="M18" s="278">
        <f aca="true" t="shared" si="1" ref="M18:M21">F18/(F18+G18)</f>
        <v>0.7792013673739201</v>
      </c>
      <c r="N18" s="278">
        <f aca="true" t="shared" si="2" ref="N18:N21">G18/(G18+F18)</f>
        <v>0.22079863262607996</v>
      </c>
    </row>
    <row r="19" spans="3:14" ht="12" customHeight="1">
      <c r="C19" s="13"/>
      <c r="D19" s="84" t="s">
        <v>106</v>
      </c>
      <c r="E19" s="84" t="s">
        <v>14</v>
      </c>
      <c r="F19" s="85">
        <v>8562135.49</v>
      </c>
      <c r="G19" s="85">
        <v>2457009.31</v>
      </c>
      <c r="H19" s="85">
        <v>2177924.1</v>
      </c>
      <c r="I19" s="85">
        <v>13197068.9</v>
      </c>
      <c r="J19" s="216"/>
      <c r="K19"/>
      <c r="L19" s="91" t="str">
        <f t="shared" si="0"/>
        <v>2016</v>
      </c>
      <c r="M19" s="278">
        <f t="shared" si="1"/>
        <v>0.7770235935188001</v>
      </c>
      <c r="N19" s="278">
        <f t="shared" si="2"/>
        <v>0.22297640648119987</v>
      </c>
    </row>
    <row r="20" spans="3:14" ht="12" customHeight="1">
      <c r="C20" s="13"/>
      <c r="D20" s="84" t="s">
        <v>289</v>
      </c>
      <c r="E20" s="84" t="s">
        <v>14</v>
      </c>
      <c r="F20" s="85">
        <v>8846747.88</v>
      </c>
      <c r="G20" s="85">
        <v>2610396.49</v>
      </c>
      <c r="H20" s="85">
        <v>2337580.39</v>
      </c>
      <c r="I20" s="85">
        <v>13794724.75</v>
      </c>
      <c r="J20" s="216"/>
      <c r="K20"/>
      <c r="L20" s="91" t="str">
        <f t="shared" si="0"/>
        <v>2017</v>
      </c>
      <c r="M20" s="278">
        <f t="shared" si="1"/>
        <v>0.772159937441724</v>
      </c>
      <c r="N20" s="278">
        <f t="shared" si="2"/>
        <v>0.22784006255827602</v>
      </c>
    </row>
    <row r="21" spans="3:14" ht="12" customHeight="1">
      <c r="C21" s="13"/>
      <c r="D21" s="84" t="s">
        <v>291</v>
      </c>
      <c r="E21" s="84" t="s">
        <v>14</v>
      </c>
      <c r="F21" s="85">
        <v>9109797.64</v>
      </c>
      <c r="G21" s="85">
        <v>2752955.39</v>
      </c>
      <c r="H21" s="85">
        <v>2412537.46</v>
      </c>
      <c r="I21" s="85">
        <v>14275290.49</v>
      </c>
      <c r="J21" s="216"/>
      <c r="K21"/>
      <c r="L21" s="91" t="str">
        <f t="shared" si="0"/>
        <v>2018</v>
      </c>
      <c r="M21" s="278">
        <f t="shared" si="1"/>
        <v>0.7679328413026903</v>
      </c>
      <c r="N21" s="278">
        <f t="shared" si="2"/>
        <v>0.23206715869730957</v>
      </c>
    </row>
    <row r="22" spans="3:14" ht="12" customHeight="1">
      <c r="C22" s="13"/>
      <c r="D22" s="84" t="s">
        <v>300</v>
      </c>
      <c r="E22" s="84" t="s">
        <v>14</v>
      </c>
      <c r="F22" s="85">
        <v>9383157.08</v>
      </c>
      <c r="G22" s="85">
        <v>2893694.9</v>
      </c>
      <c r="H22" s="85">
        <v>2500517.91</v>
      </c>
      <c r="I22" s="85">
        <v>14777369.89</v>
      </c>
      <c r="J22" s="216"/>
      <c r="K22"/>
      <c r="L22" s="91" t="str">
        <f t="shared" si="0"/>
        <v>2019</v>
      </c>
      <c r="M22" s="279">
        <f aca="true" t="shared" si="3" ref="M22">F22/(F22+G22)</f>
        <v>0.7642966694789457</v>
      </c>
      <c r="N22" s="279">
        <f aca="true" t="shared" si="4" ref="N22">G22/(G22+F22)</f>
        <v>0.2357033305210543</v>
      </c>
    </row>
    <row r="23" spans="3:12" ht="12" customHeight="1">
      <c r="C23" s="13"/>
      <c r="D23" s="254"/>
      <c r="E23" s="254"/>
      <c r="F23" s="254"/>
      <c r="G23" s="254"/>
      <c r="H23" s="254"/>
      <c r="I23" s="254"/>
      <c r="J23" s="216"/>
      <c r="K23"/>
      <c r="L23"/>
    </row>
    <row r="24" spans="3:12" ht="12" customHeight="1">
      <c r="C24" s="13"/>
      <c r="D24" s="11" t="s">
        <v>38</v>
      </c>
      <c r="E24" s="254"/>
      <c r="F24" s="254"/>
      <c r="G24" s="254"/>
      <c r="H24" s="254"/>
      <c r="I24" s="254"/>
      <c r="J24" s="216"/>
      <c r="K24"/>
      <c r="L24"/>
    </row>
    <row r="25" spans="3:12" ht="12" customHeight="1">
      <c r="C25" s="13"/>
      <c r="D25" s="11" t="s">
        <v>36</v>
      </c>
      <c r="E25" s="11" t="s">
        <v>39</v>
      </c>
      <c r="F25" s="254"/>
      <c r="G25" s="254"/>
      <c r="H25" s="254"/>
      <c r="I25" s="254"/>
      <c r="J25" s="216"/>
      <c r="K25"/>
      <c r="L25"/>
    </row>
    <row r="26" spans="3:10" ht="12" customHeight="1" thickBot="1">
      <c r="C26" s="16"/>
      <c r="D26" s="17"/>
      <c r="E26" s="17"/>
      <c r="F26" s="17"/>
      <c r="G26" s="17"/>
      <c r="H26" s="17"/>
      <c r="I26" s="17"/>
      <c r="J26" s="18"/>
    </row>
    <row r="27" ht="12" customHeight="1"/>
    <row r="28" ht="12" customHeight="1"/>
    <row r="30" spans="5:6" ht="15">
      <c r="E30" s="217"/>
      <c r="F30" s="217"/>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81"/>
  <sheetViews>
    <sheetView showGridLines="0" workbookViewId="0" topLeftCell="A1">
      <selection activeCell="C68" sqref="C68"/>
    </sheetView>
  </sheetViews>
  <sheetFormatPr defaultColWidth="9.140625" defaultRowHeight="15"/>
  <cols>
    <col min="1" max="2" width="4.7109375" style="3" customWidth="1"/>
    <col min="3" max="3" width="29.7109375" style="3" customWidth="1"/>
    <col min="4" max="7" width="14.7109375" style="3" customWidth="1"/>
    <col min="8" max="8" width="11.421875" style="3" customWidth="1"/>
    <col min="9" max="10" width="14.7109375" style="3" customWidth="1"/>
    <col min="11" max="12" width="10.8515625" style="3" customWidth="1"/>
    <col min="13" max="13" width="9.140625" style="3" customWidth="1"/>
    <col min="14" max="14" width="3.8515625" style="3" customWidth="1"/>
    <col min="15" max="16384" width="9.140625" style="3" customWidth="1"/>
  </cols>
  <sheetData>
    <row r="1" ht="15.75">
      <c r="A1" s="222" t="str">
        <f>"Comparison of the actual weight of traded goods with trade in raw material equivalents (RME), EU, "&amp;Cover!C1</f>
        <v>Comparison of the actual weight of traded goods with trade in raw material equivalents (RME), EU, 2019</v>
      </c>
    </row>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spans="11:12" ht="12">
      <c r="K35" s="282"/>
      <c r="L35" s="282"/>
    </row>
    <row r="36" ht="12"/>
    <row r="37" ht="12"/>
    <row r="38" ht="12"/>
    <row r="39" ht="12"/>
    <row r="40" ht="12"/>
    <row r="41" ht="12"/>
    <row r="42" ht="12"/>
    <row r="43" ht="12"/>
    <row r="44" ht="12"/>
    <row r="45" ht="12"/>
    <row r="46" ht="12"/>
    <row r="49" ht="15">
      <c r="C49" s="35"/>
    </row>
    <row r="50" ht="15">
      <c r="C50" s="3" t="s">
        <v>327</v>
      </c>
    </row>
    <row r="51" ht="15">
      <c r="C51" s="212" t="s">
        <v>308</v>
      </c>
    </row>
    <row r="55" spans="15:20" ht="15">
      <c r="O55" s="12"/>
      <c r="P55" s="12"/>
      <c r="Q55" s="12"/>
      <c r="R55" s="12"/>
      <c r="S55" s="12"/>
      <c r="T55" s="12"/>
    </row>
    <row r="56" spans="3:20" ht="15">
      <c r="C56" s="50" t="str">
        <f>"Comparison of physical imports, exports and physical trade balance including direct flows only and including RME, EU, "&amp;Cover!$C$1</f>
        <v>Comparison of physical imports, exports and physical trade balance including direct flows only and including RME, EU, 2019</v>
      </c>
      <c r="O56" s="12"/>
      <c r="P56" s="12"/>
      <c r="Q56" s="12"/>
      <c r="R56" s="12"/>
      <c r="S56" s="12"/>
      <c r="T56" s="12"/>
    </row>
    <row r="57" spans="3:20" ht="15">
      <c r="C57" s="7" t="s">
        <v>41</v>
      </c>
      <c r="O57" s="283" t="s">
        <v>313</v>
      </c>
      <c r="P57" s="283"/>
      <c r="Q57" s="12"/>
      <c r="R57" s="12"/>
      <c r="S57" s="12"/>
      <c r="T57" s="12"/>
    </row>
    <row r="58" spans="3:16" ht="24">
      <c r="C58" s="89"/>
      <c r="D58" s="145" t="s">
        <v>265</v>
      </c>
      <c r="E58" s="146" t="s">
        <v>73</v>
      </c>
      <c r="F58" s="146" t="s">
        <v>266</v>
      </c>
      <c r="G58" s="146" t="s">
        <v>75</v>
      </c>
      <c r="I58" s="146" t="s">
        <v>74</v>
      </c>
      <c r="J58" s="146" t="s">
        <v>45</v>
      </c>
      <c r="L58" s="204"/>
      <c r="M58" s="204"/>
      <c r="N58" s="204"/>
      <c r="O58" s="146" t="s">
        <v>287</v>
      </c>
      <c r="P58" s="146" t="s">
        <v>4</v>
      </c>
    </row>
    <row r="59" spans="3:16" ht="12.75">
      <c r="C59" s="52" t="s">
        <v>31</v>
      </c>
      <c r="D59" s="53">
        <f>INDEX('EW-MFA data'!$G$137:$AA$167,8,MATCH(Cover!$C$1,'EW-MFA data'!$G$137:$AA$137,0))</f>
        <v>0.4956402640264026</v>
      </c>
      <c r="E59" s="53">
        <f>INDEX('RME data'!$G$92:$Z$122,8,MATCH(Cover!$C$1,'RME data'!$G$92:$Z$92,0))</f>
        <v>0.586</v>
      </c>
      <c r="F59" s="53">
        <f>INDEX('EW-MFA data'!$G$137:$AA$167,13,MATCH(Cover!$C$1,'EW-MFA data'!$G$137:$AA$137,0))</f>
        <v>0.5237356770833334</v>
      </c>
      <c r="G59" s="53">
        <f>INDEX('RME data'!$G$92:$Z$122,13,MATCH(Cover!$C$1,'RME data'!$G$92:$Z$92,0))</f>
        <v>0.707</v>
      </c>
      <c r="I59" s="54">
        <f>INDEX('EW-MFA data'!$G$137:$AA$167,28,MATCH(Cover!$C$1,'EW-MFA data'!$G$137:$AA$137,0))</f>
        <v>-0.02809541305693075</v>
      </c>
      <c r="J59" s="53">
        <f>INDEX('RME data'!$G$92:$Z$122,28,MATCH(Cover!$C$1,'RME data'!$G$92:$Z$92,0))</f>
        <v>-0.121</v>
      </c>
      <c r="L59" s="204"/>
      <c r="M59" s="204"/>
      <c r="N59" s="204"/>
      <c r="O59" s="54">
        <f>E59-D59</f>
        <v>0.09035973597359737</v>
      </c>
      <c r="P59" s="53">
        <f>G59-F59</f>
        <v>0.1832643229166666</v>
      </c>
    </row>
    <row r="60" spans="3:16" ht="12.75">
      <c r="C60" s="55" t="s">
        <v>40</v>
      </c>
      <c r="D60" s="53">
        <f>INDEX('EW-MFA data'!$G$137:$AA$167,9,MATCH(Cover!$C$1,'EW-MFA data'!$G$137:$AA$137,0))</f>
        <v>0.570927392739274</v>
      </c>
      <c r="E60" s="53">
        <f>INDEX('RME data'!$G$92:$Z$122,9,MATCH(Cover!$C$1,'RME data'!$G$92:$Z$92,0))</f>
        <v>2.205</v>
      </c>
      <c r="F60" s="53">
        <f>INDEX('EW-MFA data'!$G$137:$AA$167,14,MATCH(Cover!$C$1,'EW-MFA data'!$G$137:$AA$137,0))</f>
        <v>0.316197265625</v>
      </c>
      <c r="G60" s="53">
        <f>INDEX('RME data'!$G$92:$Z$122,14,MATCH(Cover!$C$1,'RME data'!$G$92:$Z$92,0))</f>
        <v>1.346</v>
      </c>
      <c r="I60" s="54">
        <f>INDEX('EW-MFA data'!$G$137:$AA$167,29,MATCH(Cover!$C$1,'EW-MFA data'!$G$137:$AA$137,0))</f>
        <v>0.25473012711427395</v>
      </c>
      <c r="J60" s="53">
        <f>INDEX('RME data'!$G$92:$Z$122,29,MATCH(Cover!$C$1,'RME data'!$G$92:$Z$92,0))</f>
        <v>0.859</v>
      </c>
      <c r="N60" s="204"/>
      <c r="O60" s="54">
        <f aca="true" t="shared" si="0" ref="O60:O62">E60-D60</f>
        <v>1.6340726072607261</v>
      </c>
      <c r="P60" s="53">
        <f aca="true" t="shared" si="1" ref="P60:P62">G60-F60</f>
        <v>1.029802734375</v>
      </c>
    </row>
    <row r="61" spans="3:16" ht="12.75">
      <c r="C61" s="55" t="s">
        <v>33</v>
      </c>
      <c r="D61" s="53">
        <f>INDEX('EW-MFA data'!$G$137:$AA$167,10,MATCH(Cover!$C$1,'EW-MFA data'!$G$137:$AA$137,0))</f>
        <v>0.2478201320132013</v>
      </c>
      <c r="E61" s="53">
        <f>INDEX('RME data'!$G$92:$Z$122,10,MATCH(Cover!$C$1,'RME data'!$G$92:$Z$92,0))</f>
        <v>1.147</v>
      </c>
      <c r="F61" s="53">
        <f>INDEX('EW-MFA data'!$G$137:$AA$167,15,MATCH(Cover!$C$1,'EW-MFA data'!$G$137:$AA$137,0))</f>
        <v>0.23035677083333334</v>
      </c>
      <c r="G61" s="53">
        <f>INDEX('RME data'!$G$92:$Z$122,15,MATCH(Cover!$C$1,'RME data'!$G$92:$Z$92,0))</f>
        <v>1.341</v>
      </c>
      <c r="I61" s="54">
        <f>INDEX('EW-MFA data'!$G$137:$AA$167,30,MATCH(Cover!$C$1,'EW-MFA data'!$G$137:$AA$137,0))</f>
        <v>0.017463361179867964</v>
      </c>
      <c r="J61" s="53">
        <f>INDEX('RME data'!$G$92:$Z$122,30,MATCH(Cover!$C$1,'RME data'!$G$92:$Z$92,0))</f>
        <v>-0.19399999999999995</v>
      </c>
      <c r="L61" s="283" t="s">
        <v>314</v>
      </c>
      <c r="M61" s="283"/>
      <c r="N61" s="204"/>
      <c r="O61" s="54">
        <f t="shared" si="0"/>
        <v>0.8991798679867987</v>
      </c>
      <c r="P61" s="53">
        <f t="shared" si="1"/>
        <v>1.1106432291666666</v>
      </c>
    </row>
    <row r="62" spans="3:16" ht="12.75">
      <c r="C62" s="56" t="s">
        <v>43</v>
      </c>
      <c r="D62" s="53">
        <f>INDEX('EW-MFA data'!$G$137:$AA$167,11,MATCH(Cover!$C$1,'EW-MFA data'!$G$137:$AA$137,0))</f>
        <v>2.4876122112211223</v>
      </c>
      <c r="E62" s="162">
        <f>INDEX('RME data'!$G$92:$Z$122,11,MATCH(Cover!$C$1,'RME data'!$G$92:$Z$92,0))</f>
        <v>3.712</v>
      </c>
      <c r="F62" s="53">
        <f>INDEX('EW-MFA data'!$G$137:$AA$167,16,MATCH(Cover!$C$1,'EW-MFA data'!$G$137:$AA$137,0))</f>
        <v>0.5987102864583334</v>
      </c>
      <c r="G62" s="53">
        <f>INDEX('RME data'!$G$92:$Z$122,16,MATCH(Cover!$C$1,'RME data'!$G$92:$Z$92,0))</f>
        <v>1.716</v>
      </c>
      <c r="I62" s="54">
        <f>INDEX('EW-MFA data'!$G$137:$AA$167,31,MATCH(Cover!$C$1,'EW-MFA data'!$G$137:$AA$137,0))</f>
        <v>1.888901924762789</v>
      </c>
      <c r="J62" s="53">
        <f>INDEX('RME data'!$G$92:$Z$122,31,MATCH(Cover!$C$1,'RME data'!$G$92:$Z$92,0))</f>
        <v>1.9960000000000002</v>
      </c>
      <c r="L62" s="146" t="s">
        <v>311</v>
      </c>
      <c r="M62" s="146" t="s">
        <v>312</v>
      </c>
      <c r="N62" s="206"/>
      <c r="O62" s="260">
        <f t="shared" si="0"/>
        <v>1.2243877887788779</v>
      </c>
      <c r="P62" s="261">
        <f t="shared" si="1"/>
        <v>1.1172897135416666</v>
      </c>
    </row>
    <row r="63" spans="3:16" ht="12.75">
      <c r="C63" s="57" t="s">
        <v>14</v>
      </c>
      <c r="D63" s="58">
        <f>SUM(D59:D62)</f>
        <v>3.802</v>
      </c>
      <c r="E63" s="58">
        <f aca="true" t="shared" si="2" ref="E63:G63">SUM(E59:E62)</f>
        <v>7.65</v>
      </c>
      <c r="F63" s="58">
        <f>SUM(F59:F62)</f>
        <v>1.669</v>
      </c>
      <c r="G63" s="58">
        <f t="shared" si="2"/>
        <v>5.11</v>
      </c>
      <c r="I63" s="58">
        <f aca="true" t="shared" si="3" ref="I63">SUM(I59:I62)</f>
        <v>2.133</v>
      </c>
      <c r="J63" s="58">
        <f aca="true" t="shared" si="4" ref="J63">SUM(J59:J62)</f>
        <v>2.54</v>
      </c>
      <c r="L63" s="58">
        <f>E63/D63</f>
        <v>2.0120988953182537</v>
      </c>
      <c r="M63" s="58">
        <f>G63/F63</f>
        <v>3.061713600958658</v>
      </c>
      <c r="N63" s="205"/>
      <c r="O63" s="204"/>
      <c r="P63" s="204"/>
    </row>
    <row r="64" spans="3:9" ht="15">
      <c r="C64" s="51" t="s">
        <v>98</v>
      </c>
      <c r="D64" s="12"/>
      <c r="E64" s="12"/>
      <c r="F64" s="12"/>
      <c r="G64" s="12"/>
      <c r="I64" s="12"/>
    </row>
    <row r="65" spans="3:9" ht="15">
      <c r="C65" s="3" t="s">
        <v>328</v>
      </c>
      <c r="E65" s="10"/>
      <c r="G65" s="10"/>
      <c r="I65" s="10"/>
    </row>
    <row r="66" spans="5:9" ht="15">
      <c r="E66" s="10"/>
      <c r="G66" s="10"/>
      <c r="I66" s="10"/>
    </row>
    <row r="68" ht="15">
      <c r="C68" s="50" t="str">
        <f>C56</f>
        <v>Comparison of physical imports, exports and physical trade balance including direct flows only and including RME, EU, 2019</v>
      </c>
    </row>
    <row r="69" ht="15">
      <c r="C69" s="7" t="s">
        <v>50</v>
      </c>
    </row>
    <row r="70" spans="3:10" ht="24">
      <c r="C70" s="89"/>
      <c r="D70" s="145" t="s">
        <v>265</v>
      </c>
      <c r="E70" s="146" t="s">
        <v>73</v>
      </c>
      <c r="F70" s="146" t="s">
        <v>266</v>
      </c>
      <c r="G70" s="146" t="s">
        <v>75</v>
      </c>
      <c r="I70" s="146" t="s">
        <v>74</v>
      </c>
      <c r="J70" s="146" t="s">
        <v>45</v>
      </c>
    </row>
    <row r="71" spans="3:15" ht="15">
      <c r="C71" s="59" t="s">
        <v>31</v>
      </c>
      <c r="D71" s="60">
        <f>INDEX('EW-MFA data'!$G$102:$AA$132,8,MATCH(Cover!$C$1,'EW-MFA data'!$G$102:$AA$102,0))</f>
        <v>221296.61642496102</v>
      </c>
      <c r="E71" s="60">
        <f>INDEX('RME data'!$G$14:$Z$39,8,MATCH(Cover!$C$1,'RME data'!$G$14:$Z$14,0))</f>
        <v>261969.797</v>
      </c>
      <c r="F71" s="61">
        <f>INDEX('EW-MFA data'!$G$102:$AA$132,13,MATCH(Cover!$C$1,'EW-MFA data'!$G$102:$AA$102,0))</f>
        <v>233800.72511194902</v>
      </c>
      <c r="G71" s="60">
        <f>INDEX('RME data'!$G$14:$Z$39,13,MATCH(Cover!$C$1,'RME data'!$G$14:$Z$14,0))</f>
        <v>315859.802</v>
      </c>
      <c r="H71" s="165"/>
      <c r="I71" s="62">
        <f>INDEX('EW-MFA data'!$G$102:$AA$132,28,MATCH(Cover!$C$1,'EW-MFA data'!$G$102:$AA$102,0))</f>
        <v>-12504.10868698801</v>
      </c>
      <c r="J71" s="163">
        <f>INDEX('RME data'!$G$82:$Z$87,3,MATCH(Cover!$C$1,'RME data'!$G$82:$Z$82,0))</f>
        <v>-53890.005000000034</v>
      </c>
      <c r="M71" s="12"/>
      <c r="N71" s="12"/>
      <c r="O71" s="12"/>
    </row>
    <row r="72" spans="3:15" ht="15">
      <c r="C72" s="63" t="s">
        <v>32</v>
      </c>
      <c r="D72" s="64">
        <f>INDEX('EW-MFA data'!$G$102:$AA$132,9,MATCH(Cover!$C$1,'EW-MFA data'!$G$102:$AA$102,0))</f>
        <v>254949.70718178002</v>
      </c>
      <c r="E72" s="64">
        <f>INDEX('RME data'!$G$14:$Z$39,9,MATCH(Cover!$C$1,'RME data'!$G$14:$Z$14,0))</f>
        <v>985464.153</v>
      </c>
      <c r="F72" s="65">
        <f>INDEX('EW-MFA data'!$G$102:$AA$132,14,MATCH(Cover!$C$1,'EW-MFA data'!$G$102:$AA$102,0))</f>
        <v>141280.54319119538</v>
      </c>
      <c r="G72" s="64">
        <f>INDEX('RME data'!$G$14:$Z$39,14,MATCH(Cover!$C$1,'RME data'!$G$14:$Z$14,0))</f>
        <v>601554.336</v>
      </c>
      <c r="H72" s="165"/>
      <c r="I72" s="66">
        <f>INDEX('EW-MFA data'!$G$102:$AA$132,29,MATCH(Cover!$C$1,'EW-MFA data'!$G$102:$AA$102,0))</f>
        <v>113669.16399058464</v>
      </c>
      <c r="J72" s="164">
        <f>INDEX('RME data'!$G$82:$Z$87,4,MATCH(Cover!$C$1,'RME data'!$G$82:$Z$82,0))</f>
        <v>383909.81700000004</v>
      </c>
      <c r="M72" s="12"/>
      <c r="N72" s="12"/>
      <c r="O72" s="12"/>
    </row>
    <row r="73" spans="3:15" ht="15">
      <c r="C73" s="63" t="s">
        <v>33</v>
      </c>
      <c r="D73" s="64">
        <f>INDEX('EW-MFA data'!$G$102:$AA$132,10,MATCH(Cover!$C$1,'EW-MFA data'!$G$102:$AA$102,0))</f>
        <v>110648.84257672113</v>
      </c>
      <c r="E73" s="64">
        <f>INDEX('RME data'!$G$14:$Z$39,10,MATCH(Cover!$C$1,'RME data'!$G$14:$Z$14,0))</f>
        <v>512778.283</v>
      </c>
      <c r="F73" s="65">
        <f>INDEX('EW-MFA data'!$G$102:$AA$132,15,MATCH(Cover!$C$1,'EW-MFA data'!$G$102:$AA$102,0))</f>
        <v>102977.6145247954</v>
      </c>
      <c r="G73" s="64">
        <f>INDEX('RME data'!$G$14:$Z$39,15,MATCH(Cover!$C$1,'RME data'!$G$14:$Z$14,0))</f>
        <v>599090.315</v>
      </c>
      <c r="H73" s="165"/>
      <c r="I73" s="66">
        <f>INDEX('EW-MFA data'!$G$102:$AA$132,30,MATCH(Cover!$C$1,'EW-MFA data'!$G$102:$AA$102,0))</f>
        <v>7671.228051925733</v>
      </c>
      <c r="J73" s="164">
        <f>INDEX('RME data'!$G$82:$Z$87,5,MATCH(Cover!$C$1,'RME data'!$G$82:$Z$82,0))</f>
        <v>-86312.03199999995</v>
      </c>
      <c r="M73" s="12"/>
      <c r="N73" s="12"/>
      <c r="O73" s="12"/>
    </row>
    <row r="74" spans="3:15" ht="15">
      <c r="C74" s="67" t="s">
        <v>34</v>
      </c>
      <c r="D74" s="68">
        <f>INDEX('EW-MFA data'!$G$102:$AA$132,11,MATCH(Cover!$C$1,'EW-MFA data'!$G$102:$AA$102,0))</f>
        <v>1111951.2638165378</v>
      </c>
      <c r="E74" s="64">
        <f>INDEX('RME data'!$G$14:$Z$39,11,MATCH(Cover!$C$1,'RME data'!$G$14:$Z$14,0))</f>
        <v>1658921.338</v>
      </c>
      <c r="F74" s="65">
        <f>INDEX('EW-MFA data'!$G$102:$AA$132,16,MATCH(Cover!$C$1,'EW-MFA data'!$G$102:$AA$102,0))</f>
        <v>267475.5241720602</v>
      </c>
      <c r="G74" s="64">
        <f>INDEX('RME data'!$G$14:$Z$39,16,MATCH(Cover!$C$1,'RME data'!$G$14:$Z$14,0))</f>
        <v>767070.222</v>
      </c>
      <c r="H74" s="165"/>
      <c r="I74" s="66">
        <f>INDEX('EW-MFA data'!$G$102:$AA$132,31,MATCH(Cover!$C$1,'EW-MFA data'!$G$102:$AA$102,0))</f>
        <v>844475.7396444776</v>
      </c>
      <c r="J74" s="164">
        <f>INDEX('RME data'!$G$82:$Z$87,6,MATCH(Cover!$C$1,'RME data'!$G$82:$Z$82,0))</f>
        <v>891851.116</v>
      </c>
      <c r="M74" s="12"/>
      <c r="N74" s="12"/>
      <c r="O74" s="12"/>
    </row>
    <row r="75" spans="3:15" ht="15">
      <c r="C75" s="69" t="s">
        <v>14</v>
      </c>
      <c r="D75" s="70">
        <f>SUM(D71:D74)</f>
        <v>1698846.43</v>
      </c>
      <c r="E75" s="70">
        <f aca="true" t="shared" si="5" ref="E75:G75">SUM(E71:E74)</f>
        <v>3419133.571</v>
      </c>
      <c r="F75" s="70">
        <f>SUM(F71:F74)</f>
        <v>745534.4069999999</v>
      </c>
      <c r="G75" s="70">
        <f t="shared" si="5"/>
        <v>2283574.675</v>
      </c>
      <c r="H75" s="165"/>
      <c r="I75" s="70">
        <f aca="true" t="shared" si="6" ref="I75">SUM(I71:I74)</f>
        <v>953312.0229999999</v>
      </c>
      <c r="J75" s="70">
        <f aca="true" t="shared" si="7" ref="J75">SUM(J71:J74)</f>
        <v>1135558.8960000002</v>
      </c>
      <c r="M75" s="12"/>
      <c r="N75" s="12"/>
      <c r="O75" s="12"/>
    </row>
    <row r="76" spans="3:7" ht="15">
      <c r="C76" s="51" t="s">
        <v>98</v>
      </c>
      <c r="D76" s="71"/>
      <c r="E76" s="71"/>
      <c r="F76" s="71"/>
      <c r="G76" s="71"/>
    </row>
    <row r="77" ht="15">
      <c r="C77" s="3" t="s">
        <v>328</v>
      </c>
    </row>
    <row r="81" spans="3:4" ht="15">
      <c r="C81" s="11"/>
      <c r="D81" s="11"/>
    </row>
  </sheetData>
  <mergeCells count="3">
    <mergeCell ref="K35:L35"/>
    <mergeCell ref="O57:P57"/>
    <mergeCell ref="L61:M61"/>
  </mergeCells>
  <printOptions/>
  <pageMargins left="0.7" right="0.7" top="0.787401575" bottom="0.787401575" header="0.3" footer="0.3"/>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55"/>
  <sheetViews>
    <sheetView showGridLines="0" workbookViewId="0" topLeftCell="A1">
      <selection activeCell="P12" sqref="P12"/>
    </sheetView>
  </sheetViews>
  <sheetFormatPr defaultColWidth="9.140625" defaultRowHeight="15"/>
  <cols>
    <col min="1" max="2" width="4.7109375" style="3" customWidth="1"/>
    <col min="3" max="3" width="33.57421875" style="3" customWidth="1"/>
    <col min="4" max="4" width="10.8515625" style="3" customWidth="1"/>
    <col min="5" max="5" width="15.28125" style="3" customWidth="1"/>
    <col min="6" max="17" width="11.140625" style="3" bestFit="1" customWidth="1"/>
    <col min="18" max="18" width="10.00390625" style="3" bestFit="1" customWidth="1"/>
    <col min="19" max="16384" width="9.140625" style="3" customWidth="1"/>
  </cols>
  <sheetData>
    <row r="1" ht="15.75">
      <c r="A1" s="222" t="str">
        <f>"Material flow indicators derived from EW-MFA and MFA in RME, EU, "&amp;Cover!C1</f>
        <v>Material flow indicators derived from EW-MFA and MFA in RME, EU, 2019</v>
      </c>
    </row>
    <row r="2" ht="12"/>
    <row r="3" ht="12"/>
    <row r="4" ht="12"/>
    <row r="5" spans="3:15" ht="12">
      <c r="C5" s="1"/>
      <c r="D5" s="1"/>
      <c r="E5" s="1"/>
      <c r="F5" s="1"/>
      <c r="G5" s="1"/>
      <c r="H5" s="1"/>
      <c r="I5" s="1"/>
      <c r="J5" s="1"/>
      <c r="K5" s="1"/>
      <c r="L5" s="1"/>
      <c r="M5" s="1"/>
      <c r="N5" s="1"/>
      <c r="O5" s="2"/>
    </row>
    <row r="6" spans="4:15" ht="12">
      <c r="D6" s="4"/>
      <c r="E6" s="4"/>
      <c r="F6" s="4"/>
      <c r="G6" s="4"/>
      <c r="H6" s="4"/>
      <c r="I6" s="4"/>
      <c r="J6" s="4"/>
      <c r="K6" s="5"/>
      <c r="L6" s="4"/>
      <c r="M6" s="5"/>
      <c r="N6" s="6"/>
      <c r="O6" s="6"/>
    </row>
    <row r="7" spans="3:15" ht="12">
      <c r="C7" s="7"/>
      <c r="D7" s="4"/>
      <c r="E7" s="4"/>
      <c r="F7" s="4"/>
      <c r="G7" s="4"/>
      <c r="H7" s="4"/>
      <c r="I7" s="4"/>
      <c r="J7" s="4"/>
      <c r="K7" s="6"/>
      <c r="L7" s="4"/>
      <c r="M7" s="6"/>
      <c r="N7" s="6"/>
      <c r="O7" s="6"/>
    </row>
    <row r="8" spans="3:15" ht="12">
      <c r="C8" s="1"/>
      <c r="D8" s="1"/>
      <c r="E8" s="1"/>
      <c r="F8" s="1"/>
      <c r="G8" s="1"/>
      <c r="H8" s="1"/>
      <c r="I8" s="1"/>
      <c r="J8" s="1"/>
      <c r="K8" s="1"/>
      <c r="L8" s="1"/>
      <c r="M8" s="1"/>
      <c r="N8" s="1"/>
      <c r="O8" s="2"/>
    </row>
    <row r="9" spans="3:15" ht="12">
      <c r="C9" s="1"/>
      <c r="D9" s="1"/>
      <c r="E9" s="1"/>
      <c r="F9" s="1"/>
      <c r="G9" s="1"/>
      <c r="H9" s="1"/>
      <c r="I9" s="1"/>
      <c r="J9" s="1"/>
      <c r="K9" s="1"/>
      <c r="L9" s="1"/>
      <c r="M9" s="1"/>
      <c r="N9" s="1"/>
      <c r="O9" s="2"/>
    </row>
    <row r="10" spans="3:15" ht="12">
      <c r="C10" s="1"/>
      <c r="D10" s="1"/>
      <c r="E10" s="1"/>
      <c r="F10" s="1"/>
      <c r="G10" s="1"/>
      <c r="H10" s="1"/>
      <c r="I10" s="1"/>
      <c r="J10" s="1"/>
      <c r="K10" s="1"/>
      <c r="L10" s="1"/>
      <c r="M10" s="1"/>
      <c r="N10" s="1"/>
      <c r="O10" s="2"/>
    </row>
    <row r="11" spans="3:15" ht="12">
      <c r="C11" s="1"/>
      <c r="D11" s="1"/>
      <c r="E11" s="1"/>
      <c r="F11" s="1"/>
      <c r="G11" s="1"/>
      <c r="H11" s="1"/>
      <c r="I11" s="1"/>
      <c r="J11" s="1"/>
      <c r="K11" s="1"/>
      <c r="L11" s="1"/>
      <c r="M11" s="1"/>
      <c r="N11" s="1"/>
      <c r="O11" s="2"/>
    </row>
    <row r="12" spans="3:15" ht="12">
      <c r="C12" s="1"/>
      <c r="D12" s="1"/>
      <c r="E12" s="1"/>
      <c r="F12" s="1"/>
      <c r="G12" s="1"/>
      <c r="H12" s="1"/>
      <c r="I12" s="1"/>
      <c r="J12" s="1"/>
      <c r="K12" s="1"/>
      <c r="L12" s="1"/>
      <c r="M12" s="1"/>
      <c r="N12" s="1"/>
      <c r="O12" s="2"/>
    </row>
    <row r="13" spans="3:15" ht="12">
      <c r="C13" s="1"/>
      <c r="D13" s="1"/>
      <c r="E13" s="1"/>
      <c r="F13" s="1"/>
      <c r="G13" s="1"/>
      <c r="H13" s="1"/>
      <c r="I13" s="1"/>
      <c r="J13" s="1"/>
      <c r="K13" s="1"/>
      <c r="L13" s="1"/>
      <c r="M13" s="1"/>
      <c r="N13" s="1"/>
      <c r="O13" s="2"/>
    </row>
    <row r="14" spans="3:15" ht="12">
      <c r="C14" s="1"/>
      <c r="D14" s="1"/>
      <c r="E14" s="1"/>
      <c r="F14" s="1"/>
      <c r="G14" s="1"/>
      <c r="H14" s="1"/>
      <c r="I14" s="1"/>
      <c r="J14" s="1"/>
      <c r="K14" s="1"/>
      <c r="L14" s="1"/>
      <c r="M14" s="1"/>
      <c r="N14" s="1"/>
      <c r="O14" s="2"/>
    </row>
    <row r="15" spans="3:15" ht="12">
      <c r="C15" s="1"/>
      <c r="D15" s="1"/>
      <c r="E15" s="1"/>
      <c r="F15" s="1"/>
      <c r="G15" s="1"/>
      <c r="H15" s="1"/>
      <c r="I15" s="1"/>
      <c r="J15" s="1"/>
      <c r="K15" s="1"/>
      <c r="L15" s="1"/>
      <c r="M15" s="1"/>
      <c r="N15" s="1"/>
      <c r="O15" s="2"/>
    </row>
    <row r="16" spans="3:15" ht="12">
      <c r="C16" s="1"/>
      <c r="D16" s="1"/>
      <c r="E16" s="1"/>
      <c r="F16" s="1"/>
      <c r="G16" s="1"/>
      <c r="H16" s="1"/>
      <c r="I16" s="1"/>
      <c r="J16" s="1"/>
      <c r="K16" s="1"/>
      <c r="L16" s="1"/>
      <c r="M16" s="1"/>
      <c r="N16" s="1"/>
      <c r="O16" s="2"/>
    </row>
    <row r="17" spans="3:15" ht="12">
      <c r="C17" s="1"/>
      <c r="D17" s="1"/>
      <c r="E17" s="1"/>
      <c r="F17" s="1"/>
      <c r="G17" s="1"/>
      <c r="H17" s="1"/>
      <c r="I17" s="1"/>
      <c r="J17" s="1"/>
      <c r="K17" s="1"/>
      <c r="L17" s="1"/>
      <c r="M17" s="1"/>
      <c r="N17" s="1"/>
      <c r="O17" s="72"/>
    </row>
    <row r="18" spans="3:16" ht="12">
      <c r="C18" s="1"/>
      <c r="D18" s="1"/>
      <c r="E18" s="1"/>
      <c r="F18" s="1"/>
      <c r="G18" s="1"/>
      <c r="H18" s="1"/>
      <c r="I18" s="1"/>
      <c r="J18" s="1"/>
      <c r="K18" s="1"/>
      <c r="L18" s="1"/>
      <c r="M18" s="1"/>
      <c r="N18" s="1"/>
      <c r="O18" s="73"/>
      <c r="P18" s="74"/>
    </row>
    <row r="19" spans="3:15" ht="12">
      <c r="C19" s="1"/>
      <c r="D19" s="1"/>
      <c r="E19" s="1"/>
      <c r="F19" s="1"/>
      <c r="G19" s="1"/>
      <c r="H19" s="1"/>
      <c r="I19" s="1"/>
      <c r="J19" s="1"/>
      <c r="K19" s="1"/>
      <c r="L19" s="1"/>
      <c r="M19" s="1"/>
      <c r="N19" s="1"/>
      <c r="O19" s="2"/>
    </row>
    <row r="20" spans="3:15" ht="12">
      <c r="C20" s="1"/>
      <c r="D20" s="1"/>
      <c r="E20" s="1"/>
      <c r="F20" s="1"/>
      <c r="G20" s="1"/>
      <c r="H20" s="1"/>
      <c r="I20" s="1"/>
      <c r="J20" s="1"/>
      <c r="K20" s="1"/>
      <c r="L20" s="1"/>
      <c r="M20" s="1"/>
      <c r="N20" s="1"/>
      <c r="O20" s="2"/>
    </row>
    <row r="21" spans="3:15" ht="12">
      <c r="C21" s="1"/>
      <c r="D21" s="1"/>
      <c r="E21" s="1"/>
      <c r="F21" s="1"/>
      <c r="G21" s="1"/>
      <c r="H21" s="1"/>
      <c r="I21" s="1"/>
      <c r="J21" s="1"/>
      <c r="K21" s="1"/>
      <c r="L21" s="1"/>
      <c r="M21" s="1"/>
      <c r="N21" s="1"/>
      <c r="O21" s="2"/>
    </row>
    <row r="22" spans="3:15" ht="12">
      <c r="C22" s="1"/>
      <c r="D22" s="1"/>
      <c r="E22" s="1"/>
      <c r="F22" s="1"/>
      <c r="G22" s="1"/>
      <c r="H22" s="1"/>
      <c r="I22" s="1"/>
      <c r="J22" s="1"/>
      <c r="K22" s="1"/>
      <c r="L22" s="1"/>
      <c r="M22" s="1"/>
      <c r="N22" s="1"/>
      <c r="O22" s="2"/>
    </row>
    <row r="23" spans="3:15" ht="12">
      <c r="C23" s="1"/>
      <c r="D23" s="1"/>
      <c r="E23" s="1"/>
      <c r="F23" s="1"/>
      <c r="G23" s="1"/>
      <c r="H23" s="1"/>
      <c r="I23" s="1"/>
      <c r="J23" s="1"/>
      <c r="K23" s="1"/>
      <c r="L23" s="1"/>
      <c r="M23" s="1"/>
      <c r="N23" s="1"/>
      <c r="O23" s="2"/>
    </row>
    <row r="24" spans="3:15" ht="12">
      <c r="C24" s="1"/>
      <c r="D24" s="1"/>
      <c r="E24" s="1"/>
      <c r="F24" s="1"/>
      <c r="G24" s="1"/>
      <c r="H24" s="1"/>
      <c r="I24" s="1"/>
      <c r="J24" s="1"/>
      <c r="K24" s="1"/>
      <c r="L24" s="1"/>
      <c r="M24" s="1"/>
      <c r="N24" s="1"/>
      <c r="O24" s="2"/>
    </row>
    <row r="25" spans="3:15" ht="12">
      <c r="C25" s="1"/>
      <c r="D25" s="1"/>
      <c r="E25" s="1"/>
      <c r="F25" s="1"/>
      <c r="G25" s="1"/>
      <c r="H25" s="1"/>
      <c r="I25" s="1"/>
      <c r="J25" s="1"/>
      <c r="K25" s="1"/>
      <c r="L25" s="1"/>
      <c r="M25" s="1"/>
      <c r="N25" s="1"/>
      <c r="O25" s="2"/>
    </row>
    <row r="26" spans="3:15" ht="12">
      <c r="C26" s="1"/>
      <c r="D26" s="1"/>
      <c r="E26" s="1"/>
      <c r="F26" s="1"/>
      <c r="G26" s="1"/>
      <c r="H26" s="1"/>
      <c r="I26" s="1"/>
      <c r="J26" s="1"/>
      <c r="K26" s="1"/>
      <c r="L26" s="1"/>
      <c r="M26" s="1"/>
      <c r="N26" s="1"/>
      <c r="O26" s="2"/>
    </row>
    <row r="27" spans="3:15" ht="12">
      <c r="C27" s="1"/>
      <c r="D27" s="1"/>
      <c r="E27" s="1"/>
      <c r="F27" s="1"/>
      <c r="G27" s="1"/>
      <c r="H27" s="1"/>
      <c r="I27" s="1"/>
      <c r="J27" s="1"/>
      <c r="K27" s="1"/>
      <c r="L27" s="1"/>
      <c r="M27" s="1"/>
      <c r="N27" s="1"/>
      <c r="O27" s="2"/>
    </row>
    <row r="28" spans="3:15" ht="12">
      <c r="C28" s="1"/>
      <c r="D28" s="1"/>
      <c r="E28" s="1"/>
      <c r="F28" s="1"/>
      <c r="G28" s="1"/>
      <c r="H28" s="1"/>
      <c r="I28" s="1"/>
      <c r="J28" s="1"/>
      <c r="K28" s="1"/>
      <c r="L28" s="1"/>
      <c r="M28" s="1"/>
      <c r="N28" s="1"/>
      <c r="O28" s="2"/>
    </row>
    <row r="29" spans="3:15" ht="12">
      <c r="C29" s="1"/>
      <c r="D29" s="1"/>
      <c r="E29" s="1"/>
      <c r="F29" s="1"/>
      <c r="G29" s="1"/>
      <c r="H29" s="1"/>
      <c r="I29" s="1"/>
      <c r="J29" s="1"/>
      <c r="K29" s="1"/>
      <c r="L29" s="1"/>
      <c r="M29" s="1"/>
      <c r="N29" s="1"/>
      <c r="O29" s="2"/>
    </row>
    <row r="30" spans="3:15" ht="12">
      <c r="C30" s="1"/>
      <c r="D30" s="1"/>
      <c r="E30" s="1"/>
      <c r="F30" s="1"/>
      <c r="G30" s="1"/>
      <c r="H30" s="1"/>
      <c r="I30" s="1"/>
      <c r="J30" s="1"/>
      <c r="K30" s="1"/>
      <c r="L30" s="1"/>
      <c r="M30" s="1"/>
      <c r="N30" s="1"/>
      <c r="O30" s="2"/>
    </row>
    <row r="31" spans="4:15" ht="12">
      <c r="D31" s="1"/>
      <c r="E31" s="1"/>
      <c r="F31" s="1"/>
      <c r="G31" s="1"/>
      <c r="H31" s="1"/>
      <c r="I31" s="1"/>
      <c r="J31" s="1"/>
      <c r="K31" s="1"/>
      <c r="L31" s="1"/>
      <c r="M31" s="1"/>
      <c r="N31" s="1"/>
      <c r="O31" s="2"/>
    </row>
    <row r="32" spans="3:15" ht="12">
      <c r="C32" s="1"/>
      <c r="D32" s="1"/>
      <c r="E32" s="1"/>
      <c r="F32" s="1"/>
      <c r="G32" s="1"/>
      <c r="H32" s="1"/>
      <c r="I32" s="1"/>
      <c r="J32" s="1"/>
      <c r="K32" s="1"/>
      <c r="L32" s="1"/>
      <c r="M32" s="1"/>
      <c r="N32" s="1"/>
      <c r="O32" s="2"/>
    </row>
    <row r="33" ht="12"/>
    <row r="34" ht="12"/>
    <row r="35" ht="12"/>
    <row r="36" ht="12"/>
    <row r="37" ht="12"/>
    <row r="38" ht="12"/>
    <row r="43" spans="3:14" ht="15">
      <c r="C43" s="284" t="s">
        <v>308</v>
      </c>
      <c r="D43" s="284"/>
      <c r="E43" s="284"/>
      <c r="F43" s="284"/>
      <c r="G43" s="284"/>
      <c r="H43" s="284"/>
      <c r="I43" s="284"/>
      <c r="J43" s="284"/>
      <c r="K43" s="284"/>
      <c r="L43" s="284"/>
      <c r="M43" s="284"/>
      <c r="N43" s="284"/>
    </row>
    <row r="48" ht="15">
      <c r="C48" s="35" t="str">
        <f>"Comparison of actual material flow indicators with material flow indicators expressed in raw material equivalents (RME), EU, "&amp;Cover!C1</f>
        <v>Comparison of actual material flow indicators with material flow indicators expressed in raw material equivalents (RME), EU, 2019</v>
      </c>
    </row>
    <row r="49" ht="15">
      <c r="C49" s="3" t="s">
        <v>41</v>
      </c>
    </row>
    <row r="50" spans="3:7" ht="15">
      <c r="C50" s="89"/>
      <c r="D50" s="89">
        <f>Cover!C1</f>
        <v>2019</v>
      </c>
      <c r="E50" s="89"/>
      <c r="F50" s="89">
        <f>Cover!C1</f>
        <v>2019</v>
      </c>
      <c r="G50" s="89" t="s">
        <v>0</v>
      </c>
    </row>
    <row r="51" spans="3:7" ht="15">
      <c r="C51" s="75" t="s">
        <v>1</v>
      </c>
      <c r="D51" s="76">
        <f>INDEX('EW-MFA data'!$G$137:$AA$167,2,MATCH(Cover!$C$1,'EW-MFA data'!$G$137:$AA$137,0))</f>
        <v>11.917</v>
      </c>
      <c r="E51" s="75" t="s">
        <v>46</v>
      </c>
      <c r="F51" s="76">
        <f>INDEX('EW-MFA data'!$G$137:$AA$167,7,MATCH(Cover!$C$1,'EW-MFA data'!$G$137:$AA$137,0))</f>
        <v>3.802</v>
      </c>
      <c r="G51" s="76">
        <f>SUM(D51:F51)</f>
        <v>15.719</v>
      </c>
    </row>
    <row r="52" spans="3:7" ht="15">
      <c r="C52" s="77" t="s">
        <v>268</v>
      </c>
      <c r="D52" s="76">
        <f>INDEX('EW-MFA data'!$G$137:$AA$167,17,MATCH(Cover!$C$1,'EW-MFA data'!$G$137:$AA$137,0))</f>
        <v>14.051</v>
      </c>
      <c r="E52" s="75" t="s">
        <v>4</v>
      </c>
      <c r="F52" s="76">
        <f>INDEX('EW-MFA data'!$G$137:$AA$167,12,MATCH(Cover!$C$1,'EW-MFA data'!$G$137:$AA$137,0))</f>
        <v>1.668</v>
      </c>
      <c r="G52" s="76">
        <f>SUM(D52:F52)</f>
        <v>15.719</v>
      </c>
    </row>
    <row r="53" spans="3:12" ht="15">
      <c r="C53" s="52" t="s">
        <v>1</v>
      </c>
      <c r="D53" s="255">
        <f>INDEX('RME data'!$G$92:$Z$122,2,MATCH(Cover!$C$1,'RME data'!$G$92:$Z$92,0))</f>
        <v>11.917</v>
      </c>
      <c r="E53" s="52" t="s">
        <v>6</v>
      </c>
      <c r="F53" s="255">
        <f>INDEX('RME data'!$G$92:$Z$122,7,MATCH(Cover!$C$1,'RME data'!$G$92:$Z$92,0))</f>
        <v>7.651</v>
      </c>
      <c r="G53" s="255">
        <f>SUM(D53:F53)</f>
        <v>19.567999999999998</v>
      </c>
      <c r="I53" s="285" t="s">
        <v>315</v>
      </c>
      <c r="J53" s="285"/>
      <c r="K53" s="285" t="s">
        <v>316</v>
      </c>
      <c r="L53" s="285"/>
    </row>
    <row r="54" spans="3:12" ht="15">
      <c r="C54" s="256" t="s">
        <v>3</v>
      </c>
      <c r="D54" s="257">
        <f>INDEX('RME data'!$G$92:$Z$122,17,MATCH(Cover!$C$1,'RME data'!$G$92:$Z$92,0))</f>
        <v>14.458</v>
      </c>
      <c r="E54" s="258" t="s">
        <v>44</v>
      </c>
      <c r="F54" s="257">
        <f>INDEX('RME data'!$G$92:$Z$122,12,MATCH(Cover!$C$1,'RME data'!$G$92:$Z$92,0))</f>
        <v>5.11</v>
      </c>
      <c r="G54" s="257">
        <f>SUM(D54:F54)</f>
        <v>19.568</v>
      </c>
      <c r="I54" s="286">
        <f>(D54-D52)/D52</f>
        <v>0.02896590989965127</v>
      </c>
      <c r="J54" s="287"/>
      <c r="K54" s="286">
        <f>(G53-G51)/G51</f>
        <v>0.24486290476493405</v>
      </c>
      <c r="L54" s="288"/>
    </row>
    <row r="55" ht="15">
      <c r="C55" s="78" t="s">
        <v>308</v>
      </c>
    </row>
  </sheetData>
  <mergeCells count="5">
    <mergeCell ref="C43:N43"/>
    <mergeCell ref="I53:J53"/>
    <mergeCell ref="K53:L53"/>
    <mergeCell ref="I54:J54"/>
    <mergeCell ref="K54:L5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77"/>
  <sheetViews>
    <sheetView showGridLines="0" workbookViewId="0" topLeftCell="A37">
      <selection activeCell="U11" sqref="U11"/>
    </sheetView>
  </sheetViews>
  <sheetFormatPr defaultColWidth="9.140625" defaultRowHeight="15"/>
  <cols>
    <col min="1" max="2" width="4.7109375" style="3" customWidth="1"/>
    <col min="3" max="3" width="31.421875" style="3" customWidth="1"/>
    <col min="4" max="5" width="9.140625" style="3" customWidth="1"/>
    <col min="6" max="16384" width="9.140625" style="3" customWidth="1"/>
  </cols>
  <sheetData>
    <row r="1" ht="15.75">
      <c r="A1" s="222" t="str">
        <f>"Raw material consumption (RMC) by main material categories, EU, 2000-"&amp;Cover!C1</f>
        <v>Raw material consumption (RMC) by main material categories, EU, 2000-2019</v>
      </c>
    </row>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spans="3:12" ht="12">
      <c r="C37" s="225"/>
      <c r="D37" s="225"/>
      <c r="E37" s="225"/>
      <c r="F37" s="225"/>
      <c r="G37" s="225"/>
      <c r="H37" s="225"/>
      <c r="I37" s="225"/>
      <c r="J37" s="225"/>
      <c r="K37" s="225"/>
      <c r="L37" s="225"/>
    </row>
    <row r="38" spans="3:12" ht="12">
      <c r="C38" s="225"/>
      <c r="D38" s="225"/>
      <c r="E38" s="225"/>
      <c r="F38" s="225"/>
      <c r="G38" s="225"/>
      <c r="H38" s="225"/>
      <c r="I38" s="225"/>
      <c r="J38" s="225"/>
      <c r="K38" s="225"/>
      <c r="L38" s="225"/>
    </row>
    <row r="39" spans="3:12" ht="12">
      <c r="C39" s="225"/>
      <c r="D39" s="225"/>
      <c r="E39" s="225"/>
      <c r="F39" s="225"/>
      <c r="G39" s="225"/>
      <c r="H39" s="225"/>
      <c r="I39" s="225"/>
      <c r="J39" s="225"/>
      <c r="K39" s="225"/>
      <c r="L39" s="225"/>
    </row>
    <row r="40" spans="3:12" ht="12">
      <c r="C40" s="225"/>
      <c r="D40" s="225"/>
      <c r="E40" s="225"/>
      <c r="F40" s="225"/>
      <c r="G40" s="225"/>
      <c r="H40" s="225"/>
      <c r="I40" s="225"/>
      <c r="J40" s="225"/>
      <c r="K40" s="225"/>
      <c r="L40" s="225"/>
    </row>
    <row r="41" spans="3:12" ht="12">
      <c r="C41" s="225"/>
      <c r="D41" s="225"/>
      <c r="E41" s="225"/>
      <c r="F41" s="225"/>
      <c r="G41" s="225"/>
      <c r="H41" s="225"/>
      <c r="I41" s="225"/>
      <c r="J41" s="225"/>
      <c r="K41" s="225"/>
      <c r="L41" s="225"/>
    </row>
    <row r="42" spans="3:12" ht="12">
      <c r="C42" s="225"/>
      <c r="D42" s="225"/>
      <c r="E42" s="225"/>
      <c r="F42" s="225"/>
      <c r="G42" s="225"/>
      <c r="H42" s="225"/>
      <c r="I42" s="225"/>
      <c r="J42" s="225"/>
      <c r="K42" s="225"/>
      <c r="L42" s="225"/>
    </row>
    <row r="43" spans="3:12" ht="15">
      <c r="C43" s="225"/>
      <c r="D43" s="225"/>
      <c r="E43" s="225"/>
      <c r="F43" s="225"/>
      <c r="G43" s="225"/>
      <c r="H43" s="225"/>
      <c r="I43" s="225"/>
      <c r="J43" s="225"/>
      <c r="K43" s="225"/>
      <c r="L43" s="225"/>
    </row>
    <row r="44" spans="3:12" ht="15">
      <c r="C44" s="225"/>
      <c r="D44" s="225"/>
      <c r="E44" s="225"/>
      <c r="F44" s="225"/>
      <c r="G44" s="225"/>
      <c r="H44" s="225"/>
      <c r="I44" s="225"/>
      <c r="J44" s="225"/>
      <c r="K44" s="225"/>
      <c r="L44" s="225"/>
    </row>
    <row r="45" spans="3:12" ht="15">
      <c r="C45" s="225"/>
      <c r="D45" s="225"/>
      <c r="E45" s="225"/>
      <c r="F45" s="225"/>
      <c r="G45" s="225"/>
      <c r="H45" s="225"/>
      <c r="I45" s="225"/>
      <c r="J45" s="225"/>
      <c r="K45" s="225"/>
      <c r="L45" s="225"/>
    </row>
    <row r="46" spans="3:12" ht="15">
      <c r="C46" s="284" t="s">
        <v>308</v>
      </c>
      <c r="D46" s="284"/>
      <c r="E46" s="284"/>
      <c r="F46" s="284"/>
      <c r="G46" s="284"/>
      <c r="H46" s="284"/>
      <c r="I46" s="284"/>
      <c r="J46" s="284"/>
      <c r="K46" s="284"/>
      <c r="L46" s="284"/>
    </row>
    <row r="51" spans="3:5" ht="15">
      <c r="C51" s="50" t="str">
        <f>"RMC broken down by material categories, EU, 2000-"&amp;Cover!C1</f>
        <v>RMC broken down by material categories, EU, 2000-2019</v>
      </c>
      <c r="D51" s="50"/>
      <c r="E51" s="50"/>
    </row>
    <row r="52" spans="3:5" ht="15">
      <c r="C52" s="7" t="s">
        <v>41</v>
      </c>
      <c r="D52" s="7"/>
      <c r="E52" s="7"/>
    </row>
    <row r="53" spans="3:23" ht="15">
      <c r="C53" s="89"/>
      <c r="D53" s="89">
        <v>2000</v>
      </c>
      <c r="E53" s="89">
        <v>2001</v>
      </c>
      <c r="F53" s="90">
        <v>2002</v>
      </c>
      <c r="G53" s="91">
        <v>2003</v>
      </c>
      <c r="H53" s="90">
        <v>2004</v>
      </c>
      <c r="I53" s="91">
        <v>2005</v>
      </c>
      <c r="J53" s="90">
        <v>2006</v>
      </c>
      <c r="K53" s="91">
        <v>2007</v>
      </c>
      <c r="L53" s="90">
        <v>2008</v>
      </c>
      <c r="M53" s="91">
        <v>2009</v>
      </c>
      <c r="N53" s="90">
        <v>2010</v>
      </c>
      <c r="O53" s="91">
        <v>2011</v>
      </c>
      <c r="P53" s="90">
        <v>2012</v>
      </c>
      <c r="Q53" s="91">
        <v>2013</v>
      </c>
      <c r="R53" s="91">
        <v>2014</v>
      </c>
      <c r="S53" s="91">
        <v>2015</v>
      </c>
      <c r="T53" s="91">
        <v>2016</v>
      </c>
      <c r="U53" s="91">
        <v>2017</v>
      </c>
      <c r="V53" s="91">
        <v>2018</v>
      </c>
      <c r="W53" s="91">
        <v>2019</v>
      </c>
    </row>
    <row r="54" spans="3:23" ht="15">
      <c r="C54" s="52" t="s">
        <v>31</v>
      </c>
      <c r="D54" s="53">
        <f>'RME data'!G64</f>
        <v>3.359</v>
      </c>
      <c r="E54" s="53">
        <f>'RME data'!H64</f>
        <v>3.349</v>
      </c>
      <c r="F54" s="53">
        <f>'RME data'!I64</f>
        <v>3.342</v>
      </c>
      <c r="G54" s="53">
        <f>'RME data'!J64</f>
        <v>3.083</v>
      </c>
      <c r="H54" s="53">
        <f>'RME data'!K64</f>
        <v>3.52</v>
      </c>
      <c r="I54" s="53">
        <f>'RME data'!L64</f>
        <v>3.336</v>
      </c>
      <c r="J54" s="53">
        <f>'RME data'!M64</f>
        <v>3.175</v>
      </c>
      <c r="K54" s="53">
        <f>'RME data'!N64</f>
        <v>3.288</v>
      </c>
      <c r="L54" s="53">
        <f>'RME data'!O64</f>
        <v>3.322</v>
      </c>
      <c r="M54" s="53">
        <f>'RME data'!P64</f>
        <v>3.209</v>
      </c>
      <c r="N54" s="53">
        <f>'RME data'!Q64</f>
        <v>3.142</v>
      </c>
      <c r="O54" s="53">
        <f>'RME data'!R64</f>
        <v>3.279</v>
      </c>
      <c r="P54" s="53">
        <f>'RME data'!S64</f>
        <v>3.135</v>
      </c>
      <c r="Q54" s="53">
        <f>'RME data'!T64</f>
        <v>3.188</v>
      </c>
      <c r="R54" s="53">
        <f>'RME data'!U64</f>
        <v>3.408</v>
      </c>
      <c r="S54" s="53">
        <f>'RME data'!V64</f>
        <v>3.154</v>
      </c>
      <c r="T54" s="53">
        <f>'RME data'!W64</f>
        <v>3.21</v>
      </c>
      <c r="U54" s="53">
        <f>'RME data'!X64</f>
        <v>3.32</v>
      </c>
      <c r="V54" s="53">
        <f>'RME data'!Y64</f>
        <v>3.225</v>
      </c>
      <c r="W54" s="53">
        <f>'RME data'!Z64</f>
        <v>3.186</v>
      </c>
    </row>
    <row r="55" spans="3:23" ht="15">
      <c r="C55" s="79" t="s">
        <v>40</v>
      </c>
      <c r="D55" s="53">
        <f>'RME data'!G65</f>
        <v>1.648</v>
      </c>
      <c r="E55" s="53">
        <f>'RME data'!H65</f>
        <v>1.747</v>
      </c>
      <c r="F55" s="53">
        <f>'RME data'!I65</f>
        <v>1.785</v>
      </c>
      <c r="G55" s="53">
        <f>'RME data'!J65</f>
        <v>1.8</v>
      </c>
      <c r="H55" s="53">
        <f>'RME data'!K65</f>
        <v>1.725</v>
      </c>
      <c r="I55" s="53">
        <f>'RME data'!L65</f>
        <v>1.75</v>
      </c>
      <c r="J55" s="53">
        <f>'RME data'!M65</f>
        <v>1.895</v>
      </c>
      <c r="K55" s="53">
        <f>'RME data'!N65</f>
        <v>1.854</v>
      </c>
      <c r="L55" s="53">
        <f>'RME data'!O65</f>
        <v>1.774</v>
      </c>
      <c r="M55" s="53">
        <f>'RME data'!P65</f>
        <v>1.26</v>
      </c>
      <c r="N55" s="53">
        <f>'RME data'!Q65</f>
        <v>1.49</v>
      </c>
      <c r="O55" s="53">
        <f>'RME data'!R65</f>
        <v>1.437</v>
      </c>
      <c r="P55" s="53">
        <f>'RME data'!S65</f>
        <v>1.29</v>
      </c>
      <c r="Q55" s="53">
        <f>'RME data'!T65</f>
        <v>1.347</v>
      </c>
      <c r="R55" s="53">
        <f>'RME data'!U65</f>
        <v>1.346</v>
      </c>
      <c r="S55" s="53">
        <f>'RME data'!V65</f>
        <v>1.39</v>
      </c>
      <c r="T55" s="53">
        <f>'RME data'!W65</f>
        <v>1.404</v>
      </c>
      <c r="U55" s="53">
        <f>'RME data'!X65</f>
        <v>1.459</v>
      </c>
      <c r="V55" s="53">
        <f>'RME data'!Y65</f>
        <v>1.466</v>
      </c>
      <c r="W55" s="53">
        <f>'RME data'!Z65</f>
        <v>1.351</v>
      </c>
    </row>
    <row r="56" spans="3:23" ht="15">
      <c r="C56" s="79" t="s">
        <v>33</v>
      </c>
      <c r="D56" s="53">
        <f>'RME data'!G66</f>
        <v>7.441</v>
      </c>
      <c r="E56" s="53">
        <f>'RME data'!H66</f>
        <v>7.571</v>
      </c>
      <c r="F56" s="53">
        <f>'RME data'!I66</f>
        <v>7.569</v>
      </c>
      <c r="G56" s="53">
        <f>'RME data'!J66</f>
        <v>7.819</v>
      </c>
      <c r="H56" s="53">
        <f>'RME data'!K66</f>
        <v>7.959</v>
      </c>
      <c r="I56" s="53">
        <f>'RME data'!L66</f>
        <v>8.256</v>
      </c>
      <c r="J56" s="53">
        <f>'RME data'!M66</f>
        <v>8.803</v>
      </c>
      <c r="K56" s="53">
        <f>'RME data'!N66</f>
        <v>9.278</v>
      </c>
      <c r="L56" s="53">
        <f>'RME data'!O66</f>
        <v>8.886</v>
      </c>
      <c r="M56" s="53">
        <f>'RME data'!P66</f>
        <v>7.415</v>
      </c>
      <c r="N56" s="53">
        <f>'RME data'!Q66</f>
        <v>6.898</v>
      </c>
      <c r="O56" s="53">
        <f>'RME data'!R66</f>
        <v>7.456</v>
      </c>
      <c r="P56" s="53">
        <f>'RME data'!S66</f>
        <v>6.566</v>
      </c>
      <c r="Q56" s="53">
        <f>'RME data'!T66</f>
        <v>6.145</v>
      </c>
      <c r="R56" s="53">
        <f>'RME data'!U66</f>
        <v>6.142</v>
      </c>
      <c r="S56" s="53">
        <f>'RME data'!V66</f>
        <v>6.228</v>
      </c>
      <c r="T56" s="53">
        <f>'RME data'!W66</f>
        <v>6.241</v>
      </c>
      <c r="U56" s="53">
        <f>'RME data'!X66</f>
        <v>6.406</v>
      </c>
      <c r="V56" s="53">
        <f>'RME data'!Y66</f>
        <v>6.691</v>
      </c>
      <c r="W56" s="53">
        <f>'RME data'!Z66</f>
        <v>6.856</v>
      </c>
    </row>
    <row r="57" spans="3:23" ht="15">
      <c r="C57" s="80" t="s">
        <v>43</v>
      </c>
      <c r="D57" s="162">
        <f>'RME data'!G67</f>
        <v>3.734</v>
      </c>
      <c r="E57" s="162">
        <f>'RME data'!H67</f>
        <v>3.86</v>
      </c>
      <c r="F57" s="162">
        <f>'RME data'!I67</f>
        <v>3.757</v>
      </c>
      <c r="G57" s="162">
        <f>'RME data'!J67</f>
        <v>3.818</v>
      </c>
      <c r="H57" s="162">
        <f>'RME data'!K67</f>
        <v>3.948</v>
      </c>
      <c r="I57" s="162">
        <f>'RME data'!L67</f>
        <v>3.978</v>
      </c>
      <c r="J57" s="162">
        <f>'RME data'!M67</f>
        <v>4.046</v>
      </c>
      <c r="K57" s="162">
        <f>'RME data'!N67</f>
        <v>3.886</v>
      </c>
      <c r="L57" s="162">
        <f>'RME data'!O67</f>
        <v>3.898</v>
      </c>
      <c r="M57" s="162">
        <f>'RME data'!P67</f>
        <v>3.559</v>
      </c>
      <c r="N57" s="162">
        <f>'RME data'!Q67</f>
        <v>3.505</v>
      </c>
      <c r="O57" s="162">
        <f>'RME data'!R67</f>
        <v>3.432</v>
      </c>
      <c r="P57" s="162">
        <f>'RME data'!S67</f>
        <v>3.332</v>
      </c>
      <c r="Q57" s="162">
        <f>'RME data'!T67</f>
        <v>3.284</v>
      </c>
      <c r="R57" s="162">
        <f>'RME data'!U67</f>
        <v>3.107</v>
      </c>
      <c r="S57" s="162">
        <f>'RME data'!V67</f>
        <v>3.134</v>
      </c>
      <c r="T57" s="162">
        <f>'RME data'!W67</f>
        <v>2.978</v>
      </c>
      <c r="U57" s="162">
        <f>'RME data'!X67</f>
        <v>3.136</v>
      </c>
      <c r="V57" s="162">
        <f>'RME data'!Y67</f>
        <v>3.166</v>
      </c>
      <c r="W57" s="162">
        <f>'RME data'!Z67</f>
        <v>3.066</v>
      </c>
    </row>
    <row r="58" spans="3:5" ht="15">
      <c r="C58" s="81" t="s">
        <v>99</v>
      </c>
      <c r="D58" s="81"/>
      <c r="E58" s="81"/>
    </row>
    <row r="60" spans="3:5" ht="15">
      <c r="C60" s="50" t="str">
        <f>"DMC, EU, 2000-"&amp;Cover!C1</f>
        <v>DMC, EU, 2000-2019</v>
      </c>
      <c r="D60" s="50"/>
      <c r="E60" s="50"/>
    </row>
    <row r="61" spans="3:5" ht="15">
      <c r="C61" s="7" t="s">
        <v>41</v>
      </c>
      <c r="D61" s="7"/>
      <c r="E61" s="7"/>
    </row>
    <row r="62" spans="3:23" ht="15">
      <c r="C62" s="89"/>
      <c r="D62" s="89">
        <v>2000</v>
      </c>
      <c r="E62" s="89">
        <v>2001</v>
      </c>
      <c r="F62" s="90">
        <v>2002</v>
      </c>
      <c r="G62" s="91">
        <v>2003</v>
      </c>
      <c r="H62" s="90">
        <v>2004</v>
      </c>
      <c r="I62" s="91">
        <v>2005</v>
      </c>
      <c r="J62" s="90">
        <v>2006</v>
      </c>
      <c r="K62" s="91">
        <v>2007</v>
      </c>
      <c r="L62" s="90">
        <v>2008</v>
      </c>
      <c r="M62" s="91">
        <v>2009</v>
      </c>
      <c r="N62" s="90">
        <v>2010</v>
      </c>
      <c r="O62" s="91">
        <v>2011</v>
      </c>
      <c r="P62" s="90">
        <v>2012</v>
      </c>
      <c r="Q62" s="91">
        <v>2013</v>
      </c>
      <c r="R62" s="91">
        <v>2014</v>
      </c>
      <c r="S62" s="91">
        <v>2015</v>
      </c>
      <c r="T62" s="91">
        <v>2016</v>
      </c>
      <c r="U62" s="91">
        <v>2017</v>
      </c>
      <c r="V62" s="91">
        <v>2018</v>
      </c>
      <c r="W62" s="91">
        <v>2019</v>
      </c>
    </row>
    <row r="63" spans="3:23" ht="15">
      <c r="C63" s="23" t="s">
        <v>72</v>
      </c>
      <c r="D63" s="24">
        <f>'EW-MFA data'!G153</f>
        <v>15.377</v>
      </c>
      <c r="E63" s="24">
        <f>'EW-MFA data'!H153</f>
        <v>15.415</v>
      </c>
      <c r="F63" s="24">
        <f>'EW-MFA data'!I153</f>
        <v>15.52</v>
      </c>
      <c r="G63" s="24">
        <f>'EW-MFA data'!J153</f>
        <v>15.617</v>
      </c>
      <c r="H63" s="24">
        <f>'EW-MFA data'!K153</f>
        <v>16.28</v>
      </c>
      <c r="I63" s="24">
        <f>'EW-MFA data'!L153</f>
        <v>16.357</v>
      </c>
      <c r="J63" s="24">
        <f>'EW-MFA data'!M153</f>
        <v>16.703</v>
      </c>
      <c r="K63" s="24">
        <f>'EW-MFA data'!N153</f>
        <v>17.275</v>
      </c>
      <c r="L63" s="24">
        <f>'EW-MFA data'!O153</f>
        <v>16.891</v>
      </c>
      <c r="M63" s="24">
        <f>'EW-MFA data'!P153</f>
        <v>14.794</v>
      </c>
      <c r="N63" s="24">
        <f>'EW-MFA data'!Q153</f>
        <v>14.338</v>
      </c>
      <c r="O63" s="24">
        <f>'EW-MFA data'!R153</f>
        <v>15.122</v>
      </c>
      <c r="P63" s="24">
        <f>'EW-MFA data'!S153</f>
        <v>13.934</v>
      </c>
      <c r="Q63" s="24">
        <f>'EW-MFA data'!T153</f>
        <v>13.546</v>
      </c>
      <c r="R63" s="24">
        <f>'EW-MFA data'!U153</f>
        <v>13.65</v>
      </c>
      <c r="S63" s="24">
        <f>'EW-MFA data'!V153</f>
        <v>13.603</v>
      </c>
      <c r="T63" s="24">
        <f>'EW-MFA data'!W153</f>
        <v>13.553</v>
      </c>
      <c r="U63" s="24">
        <f>'EW-MFA data'!X153</f>
        <v>13.973</v>
      </c>
      <c r="V63" s="24">
        <f>'EW-MFA data'!Y153</f>
        <v>14.155</v>
      </c>
      <c r="W63" s="24">
        <f>'EW-MFA data'!Z153</f>
        <v>14.051</v>
      </c>
    </row>
    <row r="64" ht="15">
      <c r="C64" s="223" t="s">
        <v>100</v>
      </c>
    </row>
    <row r="65" spans="3:24" ht="15">
      <c r="C65" s="74"/>
      <c r="D65" s="207"/>
      <c r="E65" s="207"/>
      <c r="F65" s="207"/>
      <c r="G65" s="207"/>
      <c r="H65" s="207"/>
      <c r="I65" s="207"/>
      <c r="J65" s="207"/>
      <c r="K65" s="207"/>
      <c r="L65" s="207"/>
      <c r="M65" s="207"/>
      <c r="N65" s="207"/>
      <c r="O65" s="207"/>
      <c r="P65" s="207"/>
      <c r="Q65" s="207"/>
      <c r="R65" s="207"/>
      <c r="S65" s="207"/>
      <c r="U65" s="207"/>
      <c r="V65" s="207"/>
      <c r="W65" s="207"/>
      <c r="X65" s="208"/>
    </row>
    <row r="66" spans="3:24" ht="15">
      <c r="C66" s="50" t="str">
        <f>"RMC, EU, 2000-"&amp;Cover!C1</f>
        <v>RMC, EU, 2000-2019</v>
      </c>
      <c r="D66" s="209"/>
      <c r="E66" s="209"/>
      <c r="F66" s="209"/>
      <c r="G66" s="209"/>
      <c r="H66" s="209"/>
      <c r="I66" s="209"/>
      <c r="J66" s="209"/>
      <c r="K66" s="209"/>
      <c r="L66" s="209"/>
      <c r="M66" s="209"/>
      <c r="N66" s="209"/>
      <c r="O66" s="209"/>
      <c r="P66" s="209"/>
      <c r="Q66" s="209"/>
      <c r="R66" s="209"/>
      <c r="S66" s="209"/>
      <c r="U66" s="209"/>
      <c r="V66" s="209"/>
      <c r="W66" s="209"/>
      <c r="X66" s="210"/>
    </row>
    <row r="67" ht="15">
      <c r="C67" s="7" t="s">
        <v>41</v>
      </c>
    </row>
    <row r="68" spans="3:23" ht="15">
      <c r="C68" s="89"/>
      <c r="D68" s="89">
        <v>2000</v>
      </c>
      <c r="E68" s="89">
        <v>2001</v>
      </c>
      <c r="F68" s="90">
        <v>2002</v>
      </c>
      <c r="G68" s="91">
        <v>2003</v>
      </c>
      <c r="H68" s="90">
        <v>2004</v>
      </c>
      <c r="I68" s="91">
        <v>2005</v>
      </c>
      <c r="J68" s="90">
        <v>2006</v>
      </c>
      <c r="K68" s="91">
        <v>2007</v>
      </c>
      <c r="L68" s="90">
        <v>2008</v>
      </c>
      <c r="M68" s="91">
        <v>2009</v>
      </c>
      <c r="N68" s="90">
        <v>2010</v>
      </c>
      <c r="O68" s="91">
        <v>2011</v>
      </c>
      <c r="P68" s="90">
        <v>2012</v>
      </c>
      <c r="Q68" s="91">
        <v>2013</v>
      </c>
      <c r="R68" s="91">
        <v>2014</v>
      </c>
      <c r="S68" s="91">
        <v>2015</v>
      </c>
      <c r="T68" s="91">
        <v>2016</v>
      </c>
      <c r="U68" s="91">
        <v>2017</v>
      </c>
      <c r="V68" s="91">
        <v>2018</v>
      </c>
      <c r="W68" s="91">
        <v>2019</v>
      </c>
    </row>
    <row r="69" spans="3:23" ht="15">
      <c r="C69" s="23" t="s">
        <v>93</v>
      </c>
      <c r="D69" s="24">
        <f>SUM(D54:D57)</f>
        <v>16.182000000000002</v>
      </c>
      <c r="E69" s="24">
        <f aca="true" t="shared" si="0" ref="E69:T69">SUM(E54:E57)</f>
        <v>16.527</v>
      </c>
      <c r="F69" s="24">
        <f t="shared" si="0"/>
        <v>16.453</v>
      </c>
      <c r="G69" s="24">
        <f t="shared" si="0"/>
        <v>16.52</v>
      </c>
      <c r="H69" s="24">
        <f t="shared" si="0"/>
        <v>17.152</v>
      </c>
      <c r="I69" s="24">
        <f t="shared" si="0"/>
        <v>17.32</v>
      </c>
      <c r="J69" s="24">
        <f t="shared" si="0"/>
        <v>17.919</v>
      </c>
      <c r="K69" s="24">
        <f t="shared" si="0"/>
        <v>18.306</v>
      </c>
      <c r="L69" s="24">
        <f t="shared" si="0"/>
        <v>17.88</v>
      </c>
      <c r="M69" s="24">
        <f t="shared" si="0"/>
        <v>15.443000000000001</v>
      </c>
      <c r="N69" s="24">
        <f t="shared" si="0"/>
        <v>15.035</v>
      </c>
      <c r="O69" s="24">
        <f t="shared" si="0"/>
        <v>15.604000000000001</v>
      </c>
      <c r="P69" s="24">
        <f t="shared" si="0"/>
        <v>14.323</v>
      </c>
      <c r="Q69" s="24">
        <f t="shared" si="0"/>
        <v>13.963999999999999</v>
      </c>
      <c r="R69" s="24">
        <f t="shared" si="0"/>
        <v>14.003</v>
      </c>
      <c r="S69" s="24">
        <f t="shared" si="0"/>
        <v>13.905999999999999</v>
      </c>
      <c r="T69" s="24">
        <f t="shared" si="0"/>
        <v>13.833</v>
      </c>
      <c r="U69" s="24">
        <f aca="true" t="shared" si="1" ref="U69:W69">SUM(U54:U57)</f>
        <v>14.320999999999998</v>
      </c>
      <c r="V69" s="24">
        <f t="shared" si="1"/>
        <v>14.548</v>
      </c>
      <c r="W69" s="24">
        <f t="shared" si="1"/>
        <v>14.459</v>
      </c>
    </row>
    <row r="70" ht="15">
      <c r="C70" s="259" t="s">
        <v>99</v>
      </c>
    </row>
    <row r="73" spans="3:24" ht="15">
      <c r="C73" s="50" t="str">
        <f>"Difference RMC and DMC, EU, 2000-"&amp;Cover!C1</f>
        <v>Difference RMC and DMC, EU, 2000-2019</v>
      </c>
      <c r="D73" s="209"/>
      <c r="E73" s="209"/>
      <c r="F73" s="209"/>
      <c r="G73" s="209"/>
      <c r="H73" s="209"/>
      <c r="I73" s="209"/>
      <c r="J73" s="209"/>
      <c r="K73" s="209"/>
      <c r="L73" s="209"/>
      <c r="M73" s="209"/>
      <c r="N73" s="209"/>
      <c r="O73" s="209"/>
      <c r="P73" s="209"/>
      <c r="Q73" s="209"/>
      <c r="R73" s="209"/>
      <c r="S73" s="209"/>
      <c r="U73" s="209"/>
      <c r="V73" s="209"/>
      <c r="W73" s="209"/>
      <c r="X73" s="210"/>
    </row>
    <row r="74" spans="3:25" ht="15">
      <c r="C74" s="7" t="s">
        <v>41</v>
      </c>
      <c r="Y74" s="3" t="s">
        <v>318</v>
      </c>
    </row>
    <row r="75" spans="3:26" ht="15">
      <c r="C75" s="89"/>
      <c r="D75" s="89">
        <v>2000</v>
      </c>
      <c r="E75" s="89">
        <v>2001</v>
      </c>
      <c r="F75" s="90">
        <v>2002</v>
      </c>
      <c r="G75" s="91">
        <v>2003</v>
      </c>
      <c r="H75" s="90">
        <v>2004</v>
      </c>
      <c r="I75" s="91">
        <v>2005</v>
      </c>
      <c r="J75" s="90">
        <v>2006</v>
      </c>
      <c r="K75" s="91">
        <v>2007</v>
      </c>
      <c r="L75" s="90">
        <v>2008</v>
      </c>
      <c r="M75" s="91">
        <v>2009</v>
      </c>
      <c r="N75" s="90">
        <v>2010</v>
      </c>
      <c r="O75" s="91">
        <v>2011</v>
      </c>
      <c r="P75" s="90">
        <v>2012</v>
      </c>
      <c r="Q75" s="91">
        <v>2013</v>
      </c>
      <c r="R75" s="91">
        <v>2014</v>
      </c>
      <c r="S75" s="91">
        <v>2015</v>
      </c>
      <c r="T75" s="91">
        <v>2016</v>
      </c>
      <c r="U75" s="91">
        <v>2017</v>
      </c>
      <c r="V75" s="91">
        <v>2018</v>
      </c>
      <c r="W75" s="91">
        <v>2019</v>
      </c>
      <c r="Y75" s="91" t="s">
        <v>319</v>
      </c>
      <c r="Z75" s="91" t="s">
        <v>320</v>
      </c>
    </row>
    <row r="76" spans="3:26" ht="15">
      <c r="C76" s="23" t="s">
        <v>317</v>
      </c>
      <c r="D76" s="262">
        <f>D69-D63</f>
        <v>0.8050000000000015</v>
      </c>
      <c r="E76" s="262">
        <f aca="true" t="shared" si="2" ref="E76:T76">E69-E63</f>
        <v>1.1120000000000019</v>
      </c>
      <c r="F76" s="262">
        <f t="shared" si="2"/>
        <v>0.9329999999999998</v>
      </c>
      <c r="G76" s="262">
        <f t="shared" si="2"/>
        <v>0.9029999999999987</v>
      </c>
      <c r="H76" s="262">
        <f t="shared" si="2"/>
        <v>0.8719999999999999</v>
      </c>
      <c r="I76" s="262">
        <f t="shared" si="2"/>
        <v>0.963000000000001</v>
      </c>
      <c r="J76" s="262">
        <f t="shared" si="2"/>
        <v>1.216000000000001</v>
      </c>
      <c r="K76" s="262">
        <f t="shared" si="2"/>
        <v>1.0310000000000024</v>
      </c>
      <c r="L76" s="262">
        <f t="shared" si="2"/>
        <v>0.9890000000000008</v>
      </c>
      <c r="M76" s="262">
        <f t="shared" si="2"/>
        <v>0.6490000000000009</v>
      </c>
      <c r="N76" s="262">
        <f t="shared" si="2"/>
        <v>0.697000000000001</v>
      </c>
      <c r="O76" s="262">
        <f t="shared" si="2"/>
        <v>0.4820000000000011</v>
      </c>
      <c r="P76" s="262">
        <f t="shared" si="2"/>
        <v>0.3890000000000011</v>
      </c>
      <c r="Q76" s="262">
        <f t="shared" si="2"/>
        <v>0.41799999999999926</v>
      </c>
      <c r="R76" s="262">
        <f t="shared" si="2"/>
        <v>0.35299999999999976</v>
      </c>
      <c r="S76" s="262">
        <f t="shared" si="2"/>
        <v>0.30299999999999905</v>
      </c>
      <c r="T76" s="262">
        <f t="shared" si="2"/>
        <v>0.27999999999999936</v>
      </c>
      <c r="U76" s="262">
        <f aca="true" t="shared" si="3" ref="U76:W76">U69-U63</f>
        <v>0.3479999999999972</v>
      </c>
      <c r="V76" s="262">
        <f t="shared" si="3"/>
        <v>0.3930000000000007</v>
      </c>
      <c r="W76" s="262">
        <f t="shared" si="3"/>
        <v>0.4079999999999995</v>
      </c>
      <c r="Y76" s="262">
        <f>MIN(D76:W76)</f>
        <v>0.27999999999999936</v>
      </c>
      <c r="Z76" s="262">
        <f>MAX(D76:W76)</f>
        <v>1.216000000000001</v>
      </c>
    </row>
    <row r="77" ht="15">
      <c r="C77" s="259"/>
    </row>
  </sheetData>
  <mergeCells count="1">
    <mergeCell ref="C46:L46"/>
  </mergeCells>
  <printOptions/>
  <pageMargins left="0.7" right="0.7" top="0.787401575" bottom="0.787401575" header="0.3" footer="0.3"/>
  <pageSetup fitToHeight="1" fitToWidth="1"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62"/>
  <sheetViews>
    <sheetView showGridLines="0" workbookViewId="0" topLeftCell="A25">
      <selection activeCell="I49" sqref="I49"/>
    </sheetView>
  </sheetViews>
  <sheetFormatPr defaultColWidth="9.140625" defaultRowHeight="12" customHeight="1"/>
  <cols>
    <col min="1" max="1" width="4.28125" style="0" customWidth="1"/>
    <col min="2" max="2" width="5.28125" style="0" customWidth="1"/>
    <col min="3" max="3" width="43.140625" style="0" customWidth="1"/>
    <col min="4" max="4" width="12.57421875" style="0" customWidth="1"/>
    <col min="5" max="5" width="12.421875" style="0" bestFit="1" customWidth="1"/>
    <col min="6" max="6" width="2.28125" style="0" customWidth="1"/>
    <col min="7" max="7" width="15.7109375" style="0" customWidth="1"/>
    <col min="8" max="8" width="16.140625" style="0" customWidth="1"/>
  </cols>
  <sheetData>
    <row r="1" ht="15.75">
      <c r="A1" s="222" t="str">
        <f>"Raw material consumption (RMC) as result of final consumption expenditure and gross capital formation, by type of material, EU, "&amp;Cover!C1</f>
        <v>Raw material consumption (RMC) as result of final consumption expenditure and gross capital formation, by type of material, EU, 2019</v>
      </c>
    </row>
    <row r="2" ht="15"/>
    <row r="45" spans="3:8" ht="12">
      <c r="C45" s="226"/>
      <c r="D45" s="226"/>
      <c r="E45" s="226"/>
      <c r="F45" s="226"/>
      <c r="G45" s="226"/>
      <c r="H45" s="226"/>
    </row>
    <row r="46" spans="3:8" ht="12">
      <c r="C46" s="226"/>
      <c r="D46" s="226"/>
      <c r="E46" s="226"/>
      <c r="F46" s="226"/>
      <c r="G46" s="226"/>
      <c r="H46" s="226"/>
    </row>
    <row r="47" spans="3:8" ht="12">
      <c r="C47" s="284" t="s">
        <v>264</v>
      </c>
      <c r="D47" s="284"/>
      <c r="E47" s="284"/>
      <c r="F47" s="284"/>
      <c r="G47" s="284"/>
      <c r="H47" s="284"/>
    </row>
    <row r="48" spans="3:8" ht="12">
      <c r="C48" s="226"/>
      <c r="D48" s="226"/>
      <c r="E48" s="226"/>
      <c r="F48" s="226"/>
      <c r="G48" s="226"/>
      <c r="H48" s="226"/>
    </row>
    <row r="49" spans="3:8" ht="12">
      <c r="C49" s="144"/>
      <c r="D49" s="144"/>
      <c r="E49" s="144"/>
      <c r="F49" s="144"/>
      <c r="G49" s="144"/>
      <c r="H49" s="144"/>
    </row>
    <row r="51" ht="12">
      <c r="C51" s="35" t="str">
        <f>"Raw material consumption as result of final consumption expenditure and gross capital formation, by type of material, EU, "&amp;Cover!C1</f>
        <v>Raw material consumption as result of final consumption expenditure and gross capital formation, by type of material, EU, 2019</v>
      </c>
    </row>
    <row r="52" spans="3:4" ht="12">
      <c r="C52" s="3" t="s">
        <v>41</v>
      </c>
      <c r="D52" s="3"/>
    </row>
    <row r="53" spans="3:8" ht="36">
      <c r="C53" s="182" t="s">
        <v>263</v>
      </c>
      <c r="D53" s="183" t="s">
        <v>93</v>
      </c>
      <c r="E53" s="183" t="s">
        <v>262</v>
      </c>
      <c r="F53" s="194"/>
      <c r="G53" s="183" t="s">
        <v>259</v>
      </c>
      <c r="H53" s="183" t="s">
        <v>260</v>
      </c>
    </row>
    <row r="54" spans="3:8" ht="12">
      <c r="C54" s="184" t="s">
        <v>31</v>
      </c>
      <c r="D54" s="107">
        <f>'RME detailed data'!E93</f>
        <v>3.186</v>
      </c>
      <c r="E54" s="188">
        <f>D54/$D$58</f>
        <v>0.22036242910499376</v>
      </c>
      <c r="F54" s="195"/>
      <c r="G54" s="191">
        <f>'RME detailed data'!F93</f>
        <v>2.578</v>
      </c>
      <c r="H54" s="191">
        <f>'RME detailed data'!G93</f>
        <v>0.608</v>
      </c>
    </row>
    <row r="55" spans="3:8" ht="12">
      <c r="C55" s="184" t="s">
        <v>40</v>
      </c>
      <c r="D55" s="107">
        <f>'RME detailed data'!E168</f>
        <v>1.351</v>
      </c>
      <c r="E55" s="188">
        <f aca="true" t="shared" si="0" ref="E55:E58">D55/$D$58</f>
        <v>0.09344307649744087</v>
      </c>
      <c r="F55" s="195"/>
      <c r="G55" s="191">
        <f>'RME detailed data'!F168</f>
        <v>0.718</v>
      </c>
      <c r="H55" s="191">
        <f>'RME detailed data'!G168</f>
        <v>0.633</v>
      </c>
    </row>
    <row r="56" spans="3:8" ht="12">
      <c r="C56" s="184" t="s">
        <v>33</v>
      </c>
      <c r="D56" s="107">
        <f>'RME detailed data'!E243</f>
        <v>6.856</v>
      </c>
      <c r="E56" s="188">
        <f t="shared" si="0"/>
        <v>0.4742011343200996</v>
      </c>
      <c r="F56" s="195"/>
      <c r="G56" s="191">
        <f>'RME detailed data'!F243</f>
        <v>2.613</v>
      </c>
      <c r="H56" s="191">
        <f>'RME detailed data'!G243</f>
        <v>4.242</v>
      </c>
    </row>
    <row r="57" spans="3:8" ht="12">
      <c r="C57" s="185" t="s">
        <v>43</v>
      </c>
      <c r="D57" s="112">
        <f>'RME detailed data'!E318</f>
        <v>3.066</v>
      </c>
      <c r="E57" s="189">
        <f t="shared" si="0"/>
        <v>0.21206252593719738</v>
      </c>
      <c r="F57" s="195"/>
      <c r="G57" s="192">
        <f>'RME detailed data'!F318</f>
        <v>2.416</v>
      </c>
      <c r="H57" s="192">
        <f>'RME detailed data'!G318</f>
        <v>0.649</v>
      </c>
    </row>
    <row r="58" spans="3:8" ht="12">
      <c r="C58" s="186" t="s">
        <v>14</v>
      </c>
      <c r="D58" s="187">
        <f>'RME detailed data'!E18</f>
        <v>14.458</v>
      </c>
      <c r="E58" s="190">
        <f t="shared" si="0"/>
        <v>1</v>
      </c>
      <c r="F58" s="195"/>
      <c r="G58" s="193">
        <f>'RME detailed data'!F18</f>
        <v>8.326</v>
      </c>
      <c r="H58" s="193">
        <f>'RME detailed data'!G18</f>
        <v>6.133</v>
      </c>
    </row>
    <row r="60" spans="5:8" ht="12">
      <c r="E60" s="272" t="s">
        <v>262</v>
      </c>
      <c r="G60" s="263">
        <f>G58/D58</f>
        <v>0.5758749481256052</v>
      </c>
      <c r="H60" s="263">
        <f>H58/D58</f>
        <v>0.4241942177341264</v>
      </c>
    </row>
    <row r="62" ht="12">
      <c r="D62" s="221"/>
    </row>
  </sheetData>
  <mergeCells count="1">
    <mergeCell ref="C47:H47"/>
  </mergeCells>
  <printOptions/>
  <pageMargins left="0.7" right="0.7" top="0.75" bottom="0.75" header="0.3" footer="0.3"/>
  <pageSetup fitToHeight="1" fitToWidth="1"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45"/>
  <sheetViews>
    <sheetView showGridLines="0" workbookViewId="0" topLeftCell="A15">
      <selection activeCell="C4" sqref="C4:G44"/>
    </sheetView>
  </sheetViews>
  <sheetFormatPr defaultColWidth="9.140625" defaultRowHeight="12" customHeight="1"/>
  <cols>
    <col min="1" max="1" width="4.28125" style="0" customWidth="1"/>
    <col min="2" max="2" width="5.28125" style="0" customWidth="1"/>
    <col min="3" max="3" width="14.140625" style="0" customWidth="1"/>
    <col min="4" max="4" width="72.8515625" style="0" customWidth="1"/>
    <col min="5" max="5" width="15.7109375" style="0" customWidth="1"/>
    <col min="6" max="6" width="18.28125" style="0" customWidth="1"/>
    <col min="7" max="7" width="19.00390625" style="0" customWidth="1"/>
  </cols>
  <sheetData>
    <row r="1" ht="15.75">
      <c r="A1" s="251" t="str">
        <f>"Products with highest raw material consumption (RMC) by type of material, EU, "&amp;Cover!C1</f>
        <v>Products with highest raw material consumption (RMC) by type of material, EU, 2019</v>
      </c>
    </row>
    <row r="4" ht="20.25">
      <c r="C4" s="227" t="s">
        <v>336</v>
      </c>
    </row>
    <row r="5" ht="15.75">
      <c r="C5" s="228" t="s">
        <v>41</v>
      </c>
    </row>
    <row r="6" spans="3:8" ht="36" customHeight="1">
      <c r="C6" s="289" t="s">
        <v>263</v>
      </c>
      <c r="D6" s="230" t="s">
        <v>267</v>
      </c>
      <c r="E6" s="231" t="s">
        <v>93</v>
      </c>
      <c r="F6" s="231" t="s">
        <v>259</v>
      </c>
      <c r="G6" s="290" t="s">
        <v>260</v>
      </c>
      <c r="H6" s="1"/>
    </row>
    <row r="7" spans="3:8" ht="12" customHeight="1">
      <c r="C7" s="291" t="s">
        <v>261</v>
      </c>
      <c r="D7" s="232" t="str">
        <f>'RME detailed data'!L18</f>
        <v>Total CPA products</v>
      </c>
      <c r="E7" s="233">
        <f>'RME detailed data'!M18</f>
        <v>14.458</v>
      </c>
      <c r="F7" s="233">
        <f>'RME detailed data'!N18</f>
        <v>8.326</v>
      </c>
      <c r="G7" s="292">
        <f>'RME detailed data'!O18</f>
        <v>6.133</v>
      </c>
      <c r="H7" s="1"/>
    </row>
    <row r="8" spans="3:8" ht="12" customHeight="1">
      <c r="C8" s="293"/>
      <c r="D8" s="234" t="str">
        <f>'RME detailed data'!L19</f>
        <v>Constructions and construction works</v>
      </c>
      <c r="E8" s="235">
        <f>'RME detailed data'!M19</f>
        <v>4.498</v>
      </c>
      <c r="F8" s="235">
        <f>'RME detailed data'!N19</f>
        <v>0.215</v>
      </c>
      <c r="G8" s="294">
        <f>'RME detailed data'!O19</f>
        <v>4.283</v>
      </c>
      <c r="H8" s="1"/>
    </row>
    <row r="9" spans="3:8" ht="12" customHeight="1">
      <c r="C9" s="293"/>
      <c r="D9" s="236" t="str">
        <f>'RME detailed data'!L20</f>
        <v>Food, beverages and tobacco products</v>
      </c>
      <c r="E9" s="237">
        <f>'RME detailed data'!M20</f>
        <v>1.523</v>
      </c>
      <c r="F9" s="237">
        <f>'RME detailed data'!N20</f>
        <v>1.465</v>
      </c>
      <c r="G9" s="295">
        <f>'RME detailed data'!O20</f>
        <v>0.057</v>
      </c>
      <c r="H9" s="1"/>
    </row>
    <row r="10" spans="3:8" ht="12" customHeight="1">
      <c r="C10" s="293"/>
      <c r="D10" s="236" t="str">
        <f>'RME detailed data'!L21</f>
        <v>Products of agriculture, hunting and related services</v>
      </c>
      <c r="E10" s="237">
        <f>'RME detailed data'!M21</f>
        <v>0.713</v>
      </c>
      <c r="F10" s="237">
        <f>'RME detailed data'!N21</f>
        <v>0.549</v>
      </c>
      <c r="G10" s="295">
        <f>'RME detailed data'!O21</f>
        <v>0.164</v>
      </c>
      <c r="H10" s="1"/>
    </row>
    <row r="11" spans="3:8" ht="12" customHeight="1">
      <c r="C11" s="293"/>
      <c r="D11" s="236" t="str">
        <f>'RME detailed data'!L22</f>
        <v>Coke and refined petroleum products</v>
      </c>
      <c r="E11" s="237">
        <f>'RME detailed data'!M22</f>
        <v>0.526</v>
      </c>
      <c r="F11" s="237">
        <f>'RME detailed data'!N22</f>
        <v>0.51</v>
      </c>
      <c r="G11" s="295">
        <f>'RME detailed data'!O22</f>
        <v>0.016</v>
      </c>
      <c r="H11" s="1"/>
    </row>
    <row r="12" spans="3:8" ht="12" customHeight="1">
      <c r="C12" s="293"/>
      <c r="D12" s="238" t="str">
        <f>'RME detailed data'!L23</f>
        <v>Real estate services</v>
      </c>
      <c r="E12" s="239">
        <f>'RME detailed data'!M23</f>
        <v>0.519</v>
      </c>
      <c r="F12" s="239">
        <f>'RME detailed data'!N23</f>
        <v>0.506</v>
      </c>
      <c r="G12" s="296">
        <f>'RME detailed data'!O23</f>
        <v>0.013</v>
      </c>
      <c r="H12" s="1"/>
    </row>
    <row r="13" spans="3:8" ht="12" customHeight="1">
      <c r="C13" s="240"/>
      <c r="D13" s="241"/>
      <c r="E13" s="242"/>
      <c r="F13" s="242"/>
      <c r="G13" s="242"/>
      <c r="H13" s="1"/>
    </row>
    <row r="14" spans="3:8" ht="12" customHeight="1">
      <c r="C14" s="291" t="s">
        <v>31</v>
      </c>
      <c r="D14" s="243" t="str">
        <f>'RME detailed data'!L93</f>
        <v>Total CPA products</v>
      </c>
      <c r="E14" s="244">
        <f>'RME detailed data'!M93</f>
        <v>3.186</v>
      </c>
      <c r="F14" s="244">
        <f>'RME detailed data'!N93</f>
        <v>2.578</v>
      </c>
      <c r="G14" s="297">
        <f>'RME detailed data'!O93</f>
        <v>0.608</v>
      </c>
      <c r="H14" s="173"/>
    </row>
    <row r="15" spans="3:8" ht="12" customHeight="1">
      <c r="C15" s="293"/>
      <c r="D15" s="234" t="str">
        <f>'RME detailed data'!L94</f>
        <v>Food, beverages and tobacco products</v>
      </c>
      <c r="E15" s="235">
        <f>'RME detailed data'!M94</f>
        <v>1.035</v>
      </c>
      <c r="F15" s="235">
        <f>'RME detailed data'!N94</f>
        <v>0.994</v>
      </c>
      <c r="G15" s="294">
        <f>'RME detailed data'!O94</f>
        <v>0.04</v>
      </c>
      <c r="H15" s="173"/>
    </row>
    <row r="16" spans="3:8" ht="12" customHeight="1">
      <c r="C16" s="293"/>
      <c r="D16" s="236" t="str">
        <f>'RME detailed data'!L95</f>
        <v>Products of agriculture, hunting and related services</v>
      </c>
      <c r="E16" s="237">
        <f>'RME detailed data'!M95</f>
        <v>0.636</v>
      </c>
      <c r="F16" s="237">
        <f>'RME detailed data'!N95</f>
        <v>0.489</v>
      </c>
      <c r="G16" s="295">
        <f>'RME detailed data'!O95</f>
        <v>0.147</v>
      </c>
      <c r="H16" s="173"/>
    </row>
    <row r="17" spans="3:8" ht="12" customHeight="1">
      <c r="C17" s="293"/>
      <c r="D17" s="236" t="str">
        <f>'RME detailed data'!L96</f>
        <v>Accommodation and food services</v>
      </c>
      <c r="E17" s="237">
        <f>'RME detailed data'!M96</f>
        <v>0.237</v>
      </c>
      <c r="F17" s="237">
        <f>'RME detailed data'!N96</f>
        <v>0.237</v>
      </c>
      <c r="G17" s="295">
        <f>'RME detailed data'!O96</f>
        <v>0</v>
      </c>
      <c r="H17" s="173"/>
    </row>
    <row r="18" spans="3:8" ht="12" customHeight="1">
      <c r="C18" s="293"/>
      <c r="D18" s="236" t="str">
        <f>'RME detailed data'!L97</f>
        <v>Products of forestry, logging and related services</v>
      </c>
      <c r="E18" s="237">
        <f>'RME detailed data'!M97</f>
        <v>0.223</v>
      </c>
      <c r="F18" s="237">
        <f>'RME detailed data'!N97</f>
        <v>0.125</v>
      </c>
      <c r="G18" s="295">
        <f>'RME detailed data'!O97</f>
        <v>0.097</v>
      </c>
      <c r="H18" s="173"/>
    </row>
    <row r="19" spans="3:8" ht="12" customHeight="1">
      <c r="C19" s="293"/>
      <c r="D19" s="238" t="str">
        <f>'RME detailed data'!L98</f>
        <v>Constructions and construction works</v>
      </c>
      <c r="E19" s="239">
        <f>'RME detailed data'!M98</f>
        <v>0.14</v>
      </c>
      <c r="F19" s="239">
        <f>'RME detailed data'!N98</f>
        <v>0.007</v>
      </c>
      <c r="G19" s="296">
        <f>'RME detailed data'!O98</f>
        <v>0.134</v>
      </c>
      <c r="H19" s="173"/>
    </row>
    <row r="20" spans="3:8" ht="12" customHeight="1">
      <c r="C20" s="240"/>
      <c r="D20" s="241"/>
      <c r="E20" s="242"/>
      <c r="F20" s="242"/>
      <c r="G20" s="242"/>
      <c r="H20" s="173"/>
    </row>
    <row r="21" spans="3:8" ht="12" customHeight="1">
      <c r="C21" s="291" t="s">
        <v>40</v>
      </c>
      <c r="D21" s="245" t="str">
        <f>'RME detailed data'!L168</f>
        <v>Total CPA products</v>
      </c>
      <c r="E21" s="233">
        <f>'RME detailed data'!M168</f>
        <v>1.351</v>
      </c>
      <c r="F21" s="233">
        <f>'RME detailed data'!N168</f>
        <v>0.718</v>
      </c>
      <c r="G21" s="292">
        <f>'RME detailed data'!O168</f>
        <v>0.633</v>
      </c>
      <c r="H21" s="173"/>
    </row>
    <row r="22" spans="3:8" ht="12" customHeight="1">
      <c r="C22" s="293"/>
      <c r="D22" s="234" t="str">
        <f>'RME detailed data'!L169</f>
        <v>Constructions and construction works</v>
      </c>
      <c r="E22" s="235">
        <f>'RME detailed data'!M169</f>
        <v>0.219</v>
      </c>
      <c r="F22" s="235">
        <f>'RME detailed data'!N169</f>
        <v>0.01</v>
      </c>
      <c r="G22" s="294">
        <f>'RME detailed data'!O169</f>
        <v>0.209</v>
      </c>
      <c r="H22" s="173"/>
    </row>
    <row r="23" spans="3:8" ht="12" customHeight="1">
      <c r="C23" s="293"/>
      <c r="D23" s="236" t="str">
        <f>'RME detailed data'!L170</f>
        <v>Motor vehicles, trailers and semi-trailers</v>
      </c>
      <c r="E23" s="235">
        <f>'RME detailed data'!M170</f>
        <v>0.119</v>
      </c>
      <c r="F23" s="235">
        <f>'RME detailed data'!N170</f>
        <v>0.059</v>
      </c>
      <c r="G23" s="294">
        <f>'RME detailed data'!O170</f>
        <v>0.06</v>
      </c>
      <c r="H23" s="173"/>
    </row>
    <row r="24" spans="3:8" ht="12" customHeight="1">
      <c r="C24" s="293"/>
      <c r="D24" s="236" t="str">
        <f>'RME detailed data'!L171</f>
        <v>Furniture and other manufactured goods</v>
      </c>
      <c r="E24" s="235">
        <f>'RME detailed data'!M171</f>
        <v>0.076</v>
      </c>
      <c r="F24" s="235">
        <f>'RME detailed data'!N171</f>
        <v>0.049</v>
      </c>
      <c r="G24" s="294">
        <f>'RME detailed data'!O171</f>
        <v>0.028</v>
      </c>
      <c r="H24" s="173"/>
    </row>
    <row r="25" spans="3:8" ht="12" customHeight="1">
      <c r="C25" s="293"/>
      <c r="D25" s="236" t="str">
        <f>'RME detailed data'!L172</f>
        <v>Machinery and equipment n.e.c.</v>
      </c>
      <c r="E25" s="235">
        <f>'RME detailed data'!M172</f>
        <v>0.073</v>
      </c>
      <c r="F25" s="235">
        <f>'RME detailed data'!N172</f>
        <v>0.002</v>
      </c>
      <c r="G25" s="294">
        <f>'RME detailed data'!O172</f>
        <v>0.071</v>
      </c>
      <c r="H25" s="173"/>
    </row>
    <row r="26" spans="3:8" ht="12" customHeight="1">
      <c r="C26" s="293"/>
      <c r="D26" s="246" t="str">
        <f>'RME detailed data'!L173</f>
        <v>Real estate services</v>
      </c>
      <c r="E26" s="247">
        <f>'RME detailed data'!M173</f>
        <v>0.067</v>
      </c>
      <c r="F26" s="247">
        <f>'RME detailed data'!N173</f>
        <v>0.065</v>
      </c>
      <c r="G26" s="298">
        <f>'RME detailed data'!O173</f>
        <v>0.002</v>
      </c>
      <c r="H26" s="173"/>
    </row>
    <row r="27" spans="3:8" ht="12" customHeight="1">
      <c r="C27" s="240"/>
      <c r="D27" s="241"/>
      <c r="E27" s="242"/>
      <c r="F27" s="242"/>
      <c r="G27" s="242"/>
      <c r="H27" s="173"/>
    </row>
    <row r="28" spans="3:8" ht="12" customHeight="1">
      <c r="C28" s="299" t="s">
        <v>33</v>
      </c>
      <c r="D28" s="245" t="str">
        <f>'RME detailed data'!L243</f>
        <v>Total CPA products</v>
      </c>
      <c r="E28" s="233">
        <f>'RME detailed data'!M243</f>
        <v>6.856</v>
      </c>
      <c r="F28" s="233">
        <f>'RME detailed data'!N243</f>
        <v>2.613</v>
      </c>
      <c r="G28" s="292">
        <f>'RME detailed data'!O243</f>
        <v>4.242</v>
      </c>
      <c r="H28" s="173"/>
    </row>
    <row r="29" spans="3:8" ht="12" customHeight="1">
      <c r="C29" s="300"/>
      <c r="D29" s="234" t="str">
        <f>'RME detailed data'!L244</f>
        <v>Constructions and construction works</v>
      </c>
      <c r="E29" s="235">
        <f>'RME detailed data'!M244</f>
        <v>3.922</v>
      </c>
      <c r="F29" s="235">
        <f>'RME detailed data'!N244</f>
        <v>0.187</v>
      </c>
      <c r="G29" s="294">
        <f>'RME detailed data'!O244</f>
        <v>3.735</v>
      </c>
      <c r="H29" s="173"/>
    </row>
    <row r="30" spans="3:8" ht="12" customHeight="1">
      <c r="C30" s="300"/>
      <c r="D30" s="236" t="str">
        <f>'RME detailed data'!L245</f>
        <v>Public administration and defence services; compulsory social security services</v>
      </c>
      <c r="E30" s="237">
        <f>'RME detailed data'!M245</f>
        <v>0.376</v>
      </c>
      <c r="F30" s="237">
        <f>'RME detailed data'!N245</f>
        <v>0.374</v>
      </c>
      <c r="G30" s="295">
        <f>'RME detailed data'!O245</f>
        <v>0.002</v>
      </c>
      <c r="H30" s="173"/>
    </row>
    <row r="31" spans="3:8" ht="12" customHeight="1">
      <c r="C31" s="300"/>
      <c r="D31" s="236" t="str">
        <f>'RME detailed data'!L246</f>
        <v>Real estate services</v>
      </c>
      <c r="E31" s="237">
        <f>'RME detailed data'!M246</f>
        <v>0.329</v>
      </c>
      <c r="F31" s="237">
        <f>'RME detailed data'!N246</f>
        <v>0.321</v>
      </c>
      <c r="G31" s="295">
        <f>'RME detailed data'!O246</f>
        <v>0.008</v>
      </c>
      <c r="H31" s="173"/>
    </row>
    <row r="32" spans="3:8" ht="12" customHeight="1">
      <c r="C32" s="300"/>
      <c r="D32" s="236" t="str">
        <f>'RME detailed data'!L247</f>
        <v>Food, beverages and tobacco products</v>
      </c>
      <c r="E32" s="237">
        <f>'RME detailed data'!M247</f>
        <v>0.244</v>
      </c>
      <c r="F32" s="237">
        <f>'RME detailed data'!N247</f>
        <v>0.235</v>
      </c>
      <c r="G32" s="295">
        <f>'RME detailed data'!O247</f>
        <v>0.009</v>
      </c>
      <c r="H32" s="173"/>
    </row>
    <row r="33" spans="3:8" ht="12" customHeight="1">
      <c r="C33" s="300"/>
      <c r="D33" s="238" t="str">
        <f>'RME detailed data'!L248</f>
        <v>Other non-metallic mineral products</v>
      </c>
      <c r="E33" s="239">
        <f>'RME detailed data'!M248</f>
        <v>0.176</v>
      </c>
      <c r="F33" s="239">
        <f>'RME detailed data'!N248</f>
        <v>0.151</v>
      </c>
      <c r="G33" s="296">
        <f>'RME detailed data'!O248</f>
        <v>0.025</v>
      </c>
      <c r="H33" s="173"/>
    </row>
    <row r="34" spans="3:8" ht="12" customHeight="1">
      <c r="C34" s="248"/>
      <c r="D34" s="241"/>
      <c r="E34" s="242"/>
      <c r="F34" s="242"/>
      <c r="G34" s="242"/>
      <c r="H34" s="173"/>
    </row>
    <row r="35" spans="3:8" ht="12" customHeight="1">
      <c r="C35" s="299" t="s">
        <v>43</v>
      </c>
      <c r="D35" s="245" t="str">
        <f>'RME detailed data'!L318</f>
        <v>Total CPA products</v>
      </c>
      <c r="E35" s="233">
        <f>'RME detailed data'!M318</f>
        <v>3.066</v>
      </c>
      <c r="F35" s="233">
        <f>'RME detailed data'!N318</f>
        <v>2.416</v>
      </c>
      <c r="G35" s="292">
        <f>'RME detailed data'!O318</f>
        <v>0.649</v>
      </c>
      <c r="H35" s="173"/>
    </row>
    <row r="36" spans="3:8" ht="12" customHeight="1">
      <c r="C36" s="300"/>
      <c r="D36" s="234" t="str">
        <f>'RME detailed data'!L319</f>
        <v>Coke and refined petroleum products</v>
      </c>
      <c r="E36" s="235">
        <f>'RME detailed data'!M319</f>
        <v>0.475</v>
      </c>
      <c r="F36" s="235">
        <f>'RME detailed data'!N319</f>
        <v>0.461</v>
      </c>
      <c r="G36" s="294">
        <f>'RME detailed data'!O319</f>
        <v>0.014</v>
      </c>
      <c r="H36" s="173"/>
    </row>
    <row r="37" spans="3:8" ht="12" customHeight="1">
      <c r="C37" s="300"/>
      <c r="D37" s="236" t="str">
        <f>'RME detailed data'!L320</f>
        <v>Electricity, gas, steam and air conditioning</v>
      </c>
      <c r="E37" s="237">
        <f>'RME detailed data'!M320</f>
        <v>0.407</v>
      </c>
      <c r="F37" s="237">
        <f>'RME detailed data'!N320</f>
        <v>0.408</v>
      </c>
      <c r="G37" s="295">
        <f>'RME detailed data'!O320</f>
        <v>0</v>
      </c>
      <c r="H37" s="173"/>
    </row>
    <row r="38" spans="3:8" ht="12" customHeight="1">
      <c r="C38" s="300"/>
      <c r="D38" s="236" t="str">
        <f>'RME detailed data'!L321</f>
        <v>Mining and quarrying</v>
      </c>
      <c r="E38" s="237">
        <f>'RME detailed data'!M321</f>
        <v>0.299</v>
      </c>
      <c r="F38" s="237">
        <f>'RME detailed data'!N321</f>
        <v>0.233</v>
      </c>
      <c r="G38" s="295">
        <f>'RME detailed data'!O321</f>
        <v>0.066</v>
      </c>
      <c r="H38" s="173"/>
    </row>
    <row r="39" spans="3:8" ht="12" customHeight="1">
      <c r="C39" s="300"/>
      <c r="D39" s="236" t="str">
        <f>'RME detailed data'!L322</f>
        <v>Constructions and construction works</v>
      </c>
      <c r="E39" s="237">
        <f>'RME detailed data'!M322</f>
        <v>0.216</v>
      </c>
      <c r="F39" s="237">
        <f>'RME detailed data'!N322</f>
        <v>0.01</v>
      </c>
      <c r="G39" s="295">
        <f>'RME detailed data'!O322</f>
        <v>0.206</v>
      </c>
      <c r="H39" s="173"/>
    </row>
    <row r="40" spans="3:8" ht="12" customHeight="1">
      <c r="C40" s="301"/>
      <c r="D40" s="249" t="str">
        <f>'RME detailed data'!L323</f>
        <v>Food, beverages and tobacco products</v>
      </c>
      <c r="E40" s="250">
        <f>'RME detailed data'!M323</f>
        <v>0.195</v>
      </c>
      <c r="F40" s="250">
        <f>'RME detailed data'!N323</f>
        <v>0.188</v>
      </c>
      <c r="G40" s="302">
        <f>'RME detailed data'!O323</f>
        <v>0.007</v>
      </c>
      <c r="H40" s="173"/>
    </row>
    <row r="41" spans="3:8" ht="12" customHeight="1">
      <c r="C41" s="303"/>
      <c r="D41" s="304"/>
      <c r="E41" s="305"/>
      <c r="F41" s="305"/>
      <c r="G41" s="305"/>
      <c r="H41" s="173"/>
    </row>
    <row r="42" spans="3:8" ht="15">
      <c r="C42" s="229" t="s">
        <v>301</v>
      </c>
      <c r="D42" s="212"/>
      <c r="E42" s="212"/>
      <c r="F42" s="212"/>
      <c r="G42" s="212"/>
      <c r="H42" s="212"/>
    </row>
    <row r="45" spans="3:5" ht="12" customHeight="1">
      <c r="C45" s="213"/>
      <c r="E45" s="3"/>
    </row>
  </sheetData>
  <mergeCells count="5">
    <mergeCell ref="C7:C12"/>
    <mergeCell ref="C14:C19"/>
    <mergeCell ref="C21:C26"/>
    <mergeCell ref="C28:C33"/>
    <mergeCell ref="C35:C40"/>
  </mergeCells>
  <printOptions/>
  <pageMargins left="0.7" right="0.7" top="0.75" bottom="0.75" header="0.3" footer="0.3"/>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6"/>
  <sheetViews>
    <sheetView showGridLines="0" workbookViewId="0" topLeftCell="A1"/>
  </sheetViews>
  <sheetFormatPr defaultColWidth="8.8515625" defaultRowHeight="15"/>
  <cols>
    <col min="1" max="2" width="4.7109375" style="3" customWidth="1"/>
    <col min="3" max="3" width="10.57421875" style="3" customWidth="1"/>
    <col min="4" max="4" width="35.8515625" style="3" customWidth="1"/>
    <col min="5" max="5" width="11.140625" style="3" customWidth="1"/>
    <col min="6" max="6" width="30.140625" style="3" bestFit="1" customWidth="1"/>
    <col min="7" max="26" width="9.8515625" style="3" customWidth="1"/>
    <col min="27" max="16384" width="8.8515625" style="3" customWidth="1"/>
  </cols>
  <sheetData>
    <row r="1" spans="1:26" ht="15.75">
      <c r="A1" s="222" t="s">
        <v>47</v>
      </c>
      <c r="N1" s="211"/>
      <c r="O1"/>
      <c r="P1"/>
      <c r="Q1" s="211"/>
      <c r="R1"/>
      <c r="S1"/>
      <c r="V1" s="211"/>
      <c r="W1" s="211"/>
      <c r="X1" s="211"/>
      <c r="Y1" s="211"/>
      <c r="Z1" s="211"/>
    </row>
    <row r="2" ht="12.75" thickBot="1"/>
    <row r="3" spans="2:27" ht="15">
      <c r="B3" s="116" t="s">
        <v>51</v>
      </c>
      <c r="C3" s="19"/>
      <c r="D3" s="19"/>
      <c r="E3" s="19"/>
      <c r="F3" s="19" t="s">
        <v>97</v>
      </c>
      <c r="G3" s="117" t="s">
        <v>334</v>
      </c>
      <c r="H3" s="19"/>
      <c r="I3" s="19"/>
      <c r="J3" s="19"/>
      <c r="K3" s="19"/>
      <c r="L3" s="19"/>
      <c r="M3" s="19"/>
      <c r="N3" s="19"/>
      <c r="O3" s="19"/>
      <c r="P3" s="19"/>
      <c r="Q3" s="19"/>
      <c r="R3" s="19"/>
      <c r="S3" s="19"/>
      <c r="T3" s="19"/>
      <c r="U3" s="19"/>
      <c r="V3" s="19"/>
      <c r="W3" s="19"/>
      <c r="X3" s="19"/>
      <c r="Y3" s="19"/>
      <c r="Z3" s="19"/>
      <c r="AA3" s="20"/>
    </row>
    <row r="4" spans="2:27" ht="15">
      <c r="B4" s="13"/>
      <c r="C4" s="15"/>
      <c r="D4" s="15"/>
      <c r="E4" s="15"/>
      <c r="F4" s="15"/>
      <c r="G4" s="155" t="s">
        <v>333</v>
      </c>
      <c r="H4" s="15"/>
      <c r="I4" s="15"/>
      <c r="J4" s="15"/>
      <c r="K4" s="15"/>
      <c r="L4" s="15"/>
      <c r="M4" s="15"/>
      <c r="N4" s="15"/>
      <c r="O4" s="15"/>
      <c r="P4" s="15"/>
      <c r="Q4" s="15"/>
      <c r="R4" s="15"/>
      <c r="S4" s="15"/>
      <c r="T4" s="15"/>
      <c r="U4" s="15"/>
      <c r="V4" s="15"/>
      <c r="W4" s="15"/>
      <c r="X4" s="15"/>
      <c r="Y4" s="15"/>
      <c r="Z4" s="15"/>
      <c r="AA4" s="14"/>
    </row>
    <row r="5" spans="2:27" ht="15">
      <c r="B5" s="13"/>
      <c r="C5" s="3" t="s">
        <v>8</v>
      </c>
      <c r="F5" s="15"/>
      <c r="G5" s="15"/>
      <c r="H5" s="15"/>
      <c r="I5" s="15"/>
      <c r="J5" s="15"/>
      <c r="K5" s="15"/>
      <c r="L5" s="15"/>
      <c r="M5" s="15"/>
      <c r="N5" s="15"/>
      <c r="O5" s="15"/>
      <c r="P5" s="15"/>
      <c r="Q5" s="15"/>
      <c r="R5" s="15"/>
      <c r="S5" s="15"/>
      <c r="T5" s="15"/>
      <c r="U5" s="15"/>
      <c r="V5" s="15"/>
      <c r="W5" s="15"/>
      <c r="X5" s="15"/>
      <c r="Y5" s="15"/>
      <c r="Z5" s="15"/>
      <c r="AA5" s="14"/>
    </row>
    <row r="6" spans="2:27" ht="15">
      <c r="B6" s="13"/>
      <c r="C6" s="15"/>
      <c r="D6" s="15"/>
      <c r="E6" s="15"/>
      <c r="F6" s="15"/>
      <c r="G6" s="15"/>
      <c r="H6" s="15"/>
      <c r="I6" s="15"/>
      <c r="J6" s="15"/>
      <c r="K6" s="15"/>
      <c r="L6" s="15"/>
      <c r="M6" s="15"/>
      <c r="N6" s="15"/>
      <c r="O6" s="15"/>
      <c r="P6" s="15"/>
      <c r="Q6" s="15"/>
      <c r="R6" s="15"/>
      <c r="S6" s="15"/>
      <c r="T6" s="15"/>
      <c r="U6" s="15"/>
      <c r="V6" s="15"/>
      <c r="W6" s="15"/>
      <c r="X6" s="15"/>
      <c r="Y6" s="15"/>
      <c r="Z6" s="15"/>
      <c r="AA6" s="14"/>
    </row>
    <row r="7" spans="2:27" ht="15">
      <c r="B7" s="13"/>
      <c r="C7" s="11" t="s">
        <v>9</v>
      </c>
      <c r="D7" s="218">
        <v>44452.57670138888</v>
      </c>
      <c r="E7" s="11"/>
      <c r="F7" s="82"/>
      <c r="G7" s="15"/>
      <c r="H7" s="15"/>
      <c r="I7" s="15"/>
      <c r="J7" s="15"/>
      <c r="K7" s="15"/>
      <c r="L7" s="15"/>
      <c r="M7" s="15"/>
      <c r="N7" s="15"/>
      <c r="O7" s="15"/>
      <c r="P7" s="15"/>
      <c r="Q7" s="15"/>
      <c r="R7" s="15"/>
      <c r="S7" s="15"/>
      <c r="T7" s="15"/>
      <c r="U7" s="15"/>
      <c r="V7" s="15"/>
      <c r="W7" s="15"/>
      <c r="X7" s="15"/>
      <c r="Y7" s="15"/>
      <c r="Z7" s="15"/>
      <c r="AA7" s="14"/>
    </row>
    <row r="8" spans="2:27" ht="15">
      <c r="B8" s="13"/>
      <c r="C8" s="11" t="s">
        <v>10</v>
      </c>
      <c r="D8" s="218">
        <v>44453.395787500005</v>
      </c>
      <c r="E8" s="11"/>
      <c r="F8" s="82"/>
      <c r="G8" s="15"/>
      <c r="H8" s="15"/>
      <c r="I8" s="15"/>
      <c r="J8" s="15"/>
      <c r="K8" s="15"/>
      <c r="L8" s="15"/>
      <c r="M8" s="15"/>
      <c r="N8" s="15"/>
      <c r="O8" s="15"/>
      <c r="P8" s="15"/>
      <c r="Q8" s="15"/>
      <c r="R8" s="15"/>
      <c r="S8" s="15"/>
      <c r="T8" s="15"/>
      <c r="U8" s="15"/>
      <c r="V8" s="15"/>
      <c r="W8" s="15"/>
      <c r="X8" s="15"/>
      <c r="Y8" s="15"/>
      <c r="Z8" s="15"/>
      <c r="AA8" s="14"/>
    </row>
    <row r="9" spans="2:27" ht="15">
      <c r="B9" s="13"/>
      <c r="C9" s="11" t="s">
        <v>11</v>
      </c>
      <c r="D9" s="219" t="s">
        <v>12</v>
      </c>
      <c r="E9" s="11"/>
      <c r="F9" s="11"/>
      <c r="G9" s="15"/>
      <c r="H9" s="15"/>
      <c r="I9" s="15"/>
      <c r="J9" s="15"/>
      <c r="K9" s="15"/>
      <c r="L9" s="15"/>
      <c r="M9" s="15"/>
      <c r="N9" s="15"/>
      <c r="O9" s="15"/>
      <c r="P9" s="15"/>
      <c r="Q9" s="15"/>
      <c r="R9" s="15"/>
      <c r="S9" s="15"/>
      <c r="T9" s="15"/>
      <c r="U9" s="15"/>
      <c r="V9" s="15"/>
      <c r="W9" s="15"/>
      <c r="X9" s="15"/>
      <c r="Y9" s="15"/>
      <c r="Z9" s="15"/>
      <c r="AA9" s="14"/>
    </row>
    <row r="10" spans="2:27" ht="15">
      <c r="B10" s="13"/>
      <c r="C10" s="15"/>
      <c r="D10" s="15"/>
      <c r="E10" s="15"/>
      <c r="F10" s="15"/>
      <c r="G10" s="15"/>
      <c r="H10" s="15"/>
      <c r="I10" s="15"/>
      <c r="J10" s="15"/>
      <c r="K10" s="15"/>
      <c r="L10" s="15"/>
      <c r="M10" s="15"/>
      <c r="N10" s="15"/>
      <c r="O10" s="15"/>
      <c r="P10" s="15"/>
      <c r="Q10" s="15"/>
      <c r="R10" s="15"/>
      <c r="S10" s="15"/>
      <c r="T10" s="15"/>
      <c r="U10" s="15"/>
      <c r="V10" s="15"/>
      <c r="W10" s="15"/>
      <c r="X10" s="15"/>
      <c r="Y10" s="15"/>
      <c r="Z10" s="15"/>
      <c r="AA10" s="14"/>
    </row>
    <row r="11" spans="2:27" ht="15">
      <c r="B11" s="13"/>
      <c r="C11" s="11" t="s">
        <v>13</v>
      </c>
      <c r="D11" s="11" t="s">
        <v>111</v>
      </c>
      <c r="E11" s="11"/>
      <c r="F11" s="11"/>
      <c r="G11" s="15"/>
      <c r="H11" s="15"/>
      <c r="I11" s="15"/>
      <c r="J11" s="15"/>
      <c r="K11" s="15"/>
      <c r="L11" s="15"/>
      <c r="M11" s="15"/>
      <c r="N11" s="15"/>
      <c r="O11" s="15"/>
      <c r="P11" s="15"/>
      <c r="Q11" s="15"/>
      <c r="R11" s="15"/>
      <c r="S11" s="15"/>
      <c r="T11" s="15"/>
      <c r="U11" s="15"/>
      <c r="V11" s="15"/>
      <c r="W11" s="15"/>
      <c r="X11" s="15"/>
      <c r="Y11" s="15"/>
      <c r="Z11" s="15"/>
      <c r="AA11" s="14"/>
    </row>
    <row r="12" spans="2:27" ht="15">
      <c r="B12" s="13"/>
      <c r="C12" s="11" t="s">
        <v>15</v>
      </c>
      <c r="D12" s="11" t="s">
        <v>303</v>
      </c>
      <c r="E12" s="11"/>
      <c r="F12" s="11"/>
      <c r="G12" s="15"/>
      <c r="H12" s="15"/>
      <c r="I12" s="15"/>
      <c r="J12" s="15"/>
      <c r="K12" s="15"/>
      <c r="L12" s="15"/>
      <c r="M12" s="15"/>
      <c r="N12" s="15"/>
      <c r="O12" s="15"/>
      <c r="P12" s="15"/>
      <c r="Q12" s="15"/>
      <c r="R12" s="15"/>
      <c r="S12" s="15"/>
      <c r="T12" s="15"/>
      <c r="U12" s="15"/>
      <c r="V12" s="15"/>
      <c r="W12" s="15"/>
      <c r="X12" s="15"/>
      <c r="Y12" s="15"/>
      <c r="Z12" s="15"/>
      <c r="AA12" s="14"/>
    </row>
    <row r="13" spans="2:27" ht="15">
      <c r="B13" s="13"/>
      <c r="C13" s="15"/>
      <c r="D13" s="15"/>
      <c r="E13" s="15"/>
      <c r="F13" s="15"/>
      <c r="G13" s="15"/>
      <c r="H13" s="15"/>
      <c r="I13" s="15"/>
      <c r="J13" s="15"/>
      <c r="K13" s="15"/>
      <c r="L13" s="15"/>
      <c r="M13" s="15"/>
      <c r="N13" s="15"/>
      <c r="O13" s="15"/>
      <c r="P13" s="15"/>
      <c r="Q13" s="15"/>
      <c r="R13" s="15"/>
      <c r="S13" s="15"/>
      <c r="T13" s="15"/>
      <c r="U13" s="15"/>
      <c r="V13" s="15"/>
      <c r="W13" s="15"/>
      <c r="X13" s="15"/>
      <c r="Y13" s="15"/>
      <c r="Z13" s="15"/>
      <c r="AA13" s="14"/>
    </row>
    <row r="14" spans="2:27" ht="15">
      <c r="B14" s="13"/>
      <c r="C14" s="83" t="s">
        <v>115</v>
      </c>
      <c r="D14" s="83" t="s">
        <v>116</v>
      </c>
      <c r="E14" s="83" t="s">
        <v>78</v>
      </c>
      <c r="F14" s="83" t="s">
        <v>79</v>
      </c>
      <c r="G14" s="273">
        <v>2000</v>
      </c>
      <c r="H14" s="273">
        <v>2001</v>
      </c>
      <c r="I14" s="273">
        <v>2002</v>
      </c>
      <c r="J14" s="273">
        <v>2003</v>
      </c>
      <c r="K14" s="273">
        <v>2004</v>
      </c>
      <c r="L14" s="273">
        <v>2005</v>
      </c>
      <c r="M14" s="273">
        <v>2006</v>
      </c>
      <c r="N14" s="273">
        <v>2007</v>
      </c>
      <c r="O14" s="273">
        <v>2008</v>
      </c>
      <c r="P14" s="273">
        <v>2009</v>
      </c>
      <c r="Q14" s="273">
        <v>2010</v>
      </c>
      <c r="R14" s="273">
        <v>2011</v>
      </c>
      <c r="S14" s="273">
        <v>2012</v>
      </c>
      <c r="T14" s="273">
        <v>2013</v>
      </c>
      <c r="U14" s="273">
        <v>2014</v>
      </c>
      <c r="V14" s="273">
        <v>2015</v>
      </c>
      <c r="W14" s="273">
        <v>2016</v>
      </c>
      <c r="X14" s="273">
        <v>2017</v>
      </c>
      <c r="Y14" s="273">
        <v>2018</v>
      </c>
      <c r="Z14" s="273">
        <v>2019</v>
      </c>
      <c r="AA14" s="14"/>
    </row>
    <row r="15" spans="2:27" ht="15">
      <c r="B15" s="13"/>
      <c r="C15" s="83" t="s">
        <v>80</v>
      </c>
      <c r="D15" s="83" t="s">
        <v>1</v>
      </c>
      <c r="E15" s="83" t="s">
        <v>82</v>
      </c>
      <c r="F15" s="83" t="s">
        <v>14</v>
      </c>
      <c r="G15" s="85">
        <v>5553779.4</v>
      </c>
      <c r="H15" s="85">
        <v>5599114.69</v>
      </c>
      <c r="I15" s="85">
        <v>5617192.715</v>
      </c>
      <c r="J15" s="85">
        <v>5610321.413</v>
      </c>
      <c r="K15" s="85">
        <v>5894589.726</v>
      </c>
      <c r="L15" s="85">
        <v>5954486.431</v>
      </c>
      <c r="M15" s="85">
        <v>6108004.301</v>
      </c>
      <c r="N15" s="85">
        <v>6366184.885</v>
      </c>
      <c r="O15" s="85">
        <v>6253011.802</v>
      </c>
      <c r="P15" s="85">
        <v>5582862.739</v>
      </c>
      <c r="Q15" s="85">
        <v>5338869.052</v>
      </c>
      <c r="R15" s="85">
        <v>5666757.072</v>
      </c>
      <c r="S15" s="85">
        <v>5248892.093</v>
      </c>
      <c r="T15" s="85">
        <v>5136596.113</v>
      </c>
      <c r="U15" s="85">
        <v>5190920.168</v>
      </c>
      <c r="V15" s="85">
        <v>5123302.914</v>
      </c>
      <c r="W15" s="85">
        <v>5117857.117</v>
      </c>
      <c r="X15" s="85">
        <v>5297903.219</v>
      </c>
      <c r="Y15" s="85">
        <v>5335027.581</v>
      </c>
      <c r="Z15" s="85">
        <v>5325644.723</v>
      </c>
      <c r="AA15" s="14"/>
    </row>
    <row r="16" spans="2:27" ht="15">
      <c r="B16" s="13"/>
      <c r="C16" s="83" t="s">
        <v>80</v>
      </c>
      <c r="D16" s="83" t="s">
        <v>1</v>
      </c>
      <c r="E16" s="83" t="s">
        <v>83</v>
      </c>
      <c r="F16" s="83" t="s">
        <v>31</v>
      </c>
      <c r="G16" s="85">
        <v>1467311.808</v>
      </c>
      <c r="H16" s="85">
        <v>1446969.068</v>
      </c>
      <c r="I16" s="85">
        <v>1447957.721</v>
      </c>
      <c r="J16" s="85">
        <v>1341056.286</v>
      </c>
      <c r="K16" s="85">
        <v>1534428.284</v>
      </c>
      <c r="L16" s="85">
        <v>1470233.296</v>
      </c>
      <c r="M16" s="85">
        <v>1394602.774</v>
      </c>
      <c r="N16" s="85">
        <v>1443096.161</v>
      </c>
      <c r="O16" s="85">
        <v>1485963.087</v>
      </c>
      <c r="P16" s="85">
        <v>1457148.828</v>
      </c>
      <c r="Q16" s="85">
        <v>1421195.196</v>
      </c>
      <c r="R16" s="85">
        <v>1489082.052</v>
      </c>
      <c r="S16" s="85">
        <v>1430291.466</v>
      </c>
      <c r="T16" s="85">
        <v>1475221.145</v>
      </c>
      <c r="U16" s="85">
        <v>1576154.817</v>
      </c>
      <c r="V16" s="85">
        <v>1469058.874</v>
      </c>
      <c r="W16" s="85">
        <v>1495265.486</v>
      </c>
      <c r="X16" s="85">
        <v>1538468.273</v>
      </c>
      <c r="Y16" s="85">
        <v>1480654.019</v>
      </c>
      <c r="Z16" s="85">
        <v>1477742.837</v>
      </c>
      <c r="AA16" s="14"/>
    </row>
    <row r="17" spans="2:27" ht="15">
      <c r="B17" s="13"/>
      <c r="C17" s="83" t="s">
        <v>80</v>
      </c>
      <c r="D17" s="83" t="s">
        <v>1</v>
      </c>
      <c r="E17" s="83" t="s">
        <v>84</v>
      </c>
      <c r="F17" s="83" t="s">
        <v>32</v>
      </c>
      <c r="G17" s="85">
        <v>150368.732</v>
      </c>
      <c r="H17" s="85">
        <v>144623.53</v>
      </c>
      <c r="I17" s="85">
        <v>139896.083</v>
      </c>
      <c r="J17" s="85">
        <v>137859.369</v>
      </c>
      <c r="K17" s="85">
        <v>139829.241</v>
      </c>
      <c r="L17" s="85">
        <v>139280.423</v>
      </c>
      <c r="M17" s="85">
        <v>142836.173</v>
      </c>
      <c r="N17" s="85">
        <v>139590.361</v>
      </c>
      <c r="O17" s="85">
        <v>140095.794</v>
      </c>
      <c r="P17" s="85">
        <v>136529.194</v>
      </c>
      <c r="Q17" s="85">
        <v>163922.162</v>
      </c>
      <c r="R17" s="85">
        <v>170654.262</v>
      </c>
      <c r="S17" s="85">
        <v>184468.835</v>
      </c>
      <c r="T17" s="85">
        <v>213604.232</v>
      </c>
      <c r="U17" s="85">
        <v>189156.081</v>
      </c>
      <c r="V17" s="85">
        <v>189361.392</v>
      </c>
      <c r="W17" s="85">
        <v>206501.599</v>
      </c>
      <c r="X17" s="85">
        <v>211449.819</v>
      </c>
      <c r="Y17" s="85">
        <v>218695.397</v>
      </c>
      <c r="Z17" s="85">
        <v>219624.381</v>
      </c>
      <c r="AA17" s="14"/>
    </row>
    <row r="18" spans="2:27" ht="15">
      <c r="B18" s="13"/>
      <c r="C18" s="83" t="s">
        <v>80</v>
      </c>
      <c r="D18" s="83" t="s">
        <v>1</v>
      </c>
      <c r="E18" s="83" t="s">
        <v>85</v>
      </c>
      <c r="F18" s="83" t="s">
        <v>33</v>
      </c>
      <c r="G18" s="85">
        <v>3155112.592</v>
      </c>
      <c r="H18" s="85">
        <v>3217608.903</v>
      </c>
      <c r="I18" s="85">
        <v>3242184.078</v>
      </c>
      <c r="J18" s="85">
        <v>3342932.196</v>
      </c>
      <c r="K18" s="85">
        <v>3432871.206</v>
      </c>
      <c r="L18" s="85">
        <v>3574957.323</v>
      </c>
      <c r="M18" s="85">
        <v>3811375.207</v>
      </c>
      <c r="N18" s="85">
        <v>4041946.875</v>
      </c>
      <c r="O18" s="85">
        <v>3903512.066</v>
      </c>
      <c r="P18" s="85">
        <v>3303250.143</v>
      </c>
      <c r="Q18" s="85">
        <v>3068830.149</v>
      </c>
      <c r="R18" s="85">
        <v>3303752.385</v>
      </c>
      <c r="S18" s="85">
        <v>2934908.708</v>
      </c>
      <c r="T18" s="85">
        <v>2773384.281</v>
      </c>
      <c r="U18" s="85">
        <v>2785731.11</v>
      </c>
      <c r="V18" s="85">
        <v>2848366.985</v>
      </c>
      <c r="W18" s="85">
        <v>2842182.24</v>
      </c>
      <c r="X18" s="85">
        <v>2973242.244</v>
      </c>
      <c r="Y18" s="85">
        <v>3074023.077</v>
      </c>
      <c r="Z18" s="85">
        <v>3150037.695</v>
      </c>
      <c r="AA18" s="14"/>
    </row>
    <row r="19" spans="2:27" ht="15">
      <c r="B19" s="13"/>
      <c r="C19" s="83" t="s">
        <v>80</v>
      </c>
      <c r="D19" s="83" t="s">
        <v>1</v>
      </c>
      <c r="E19" s="83" t="s">
        <v>86</v>
      </c>
      <c r="F19" s="83" t="s">
        <v>34</v>
      </c>
      <c r="G19" s="85">
        <v>780986.268</v>
      </c>
      <c r="H19" s="85">
        <v>789913.189</v>
      </c>
      <c r="I19" s="85">
        <v>787154.834</v>
      </c>
      <c r="J19" s="85">
        <v>788473.561</v>
      </c>
      <c r="K19" s="85">
        <v>787460.995</v>
      </c>
      <c r="L19" s="85">
        <v>770015.388</v>
      </c>
      <c r="M19" s="85">
        <v>759190.147</v>
      </c>
      <c r="N19" s="85">
        <v>741551.488</v>
      </c>
      <c r="O19" s="85">
        <v>723440.855</v>
      </c>
      <c r="P19" s="85">
        <v>685934.575</v>
      </c>
      <c r="Q19" s="85">
        <v>684921.545</v>
      </c>
      <c r="R19" s="85">
        <v>703268.373</v>
      </c>
      <c r="S19" s="85">
        <v>699223.084</v>
      </c>
      <c r="T19" s="85">
        <v>674386.455</v>
      </c>
      <c r="U19" s="85">
        <v>639878.159</v>
      </c>
      <c r="V19" s="85">
        <v>616515.664</v>
      </c>
      <c r="W19" s="85">
        <v>573907.792</v>
      </c>
      <c r="X19" s="85">
        <v>574742.883</v>
      </c>
      <c r="Y19" s="85">
        <v>561655.088</v>
      </c>
      <c r="Z19" s="85">
        <v>478239.809</v>
      </c>
      <c r="AA19" s="14"/>
    </row>
    <row r="20" spans="2:27" ht="15">
      <c r="B20" s="13"/>
      <c r="C20" s="83" t="s">
        <v>91</v>
      </c>
      <c r="D20" s="83" t="s">
        <v>112</v>
      </c>
      <c r="E20" s="83" t="s">
        <v>82</v>
      </c>
      <c r="F20" s="83" t="s">
        <v>14</v>
      </c>
      <c r="G20" s="85">
        <v>3188691.219</v>
      </c>
      <c r="H20" s="85">
        <v>3344866.55</v>
      </c>
      <c r="I20" s="85">
        <v>3313309.357</v>
      </c>
      <c r="J20" s="85">
        <v>3356527.23</v>
      </c>
      <c r="K20" s="85">
        <v>3404089.745</v>
      </c>
      <c r="L20" s="85">
        <v>3462479.668</v>
      </c>
      <c r="M20" s="85">
        <v>3724280.395</v>
      </c>
      <c r="N20" s="85">
        <v>3831485.164</v>
      </c>
      <c r="O20" s="85">
        <v>3869374.916</v>
      </c>
      <c r="P20" s="85">
        <v>3210819.254</v>
      </c>
      <c r="Q20" s="85">
        <v>3188054.153</v>
      </c>
      <c r="R20" s="85">
        <v>3195223.467</v>
      </c>
      <c r="S20" s="85">
        <v>3050976.551</v>
      </c>
      <c r="T20" s="85">
        <v>3033427.537</v>
      </c>
      <c r="U20" s="85">
        <v>3048833.285</v>
      </c>
      <c r="V20" s="85">
        <v>3110528.307</v>
      </c>
      <c r="W20" s="85">
        <v>3062919.054</v>
      </c>
      <c r="X20" s="85">
        <v>3396565.017</v>
      </c>
      <c r="Y20" s="85">
        <v>3477106.797</v>
      </c>
      <c r="Z20" s="85">
        <v>3419133.572</v>
      </c>
      <c r="AA20" s="14"/>
    </row>
    <row r="21" spans="2:27" ht="15">
      <c r="B21" s="13"/>
      <c r="C21" s="83" t="s">
        <v>91</v>
      </c>
      <c r="D21" s="83" t="s">
        <v>112</v>
      </c>
      <c r="E21" s="83" t="s">
        <v>83</v>
      </c>
      <c r="F21" s="83" t="s">
        <v>31</v>
      </c>
      <c r="G21" s="85">
        <v>238253.105</v>
      </c>
      <c r="H21" s="85">
        <v>237134.099</v>
      </c>
      <c r="I21" s="85">
        <v>235097.316</v>
      </c>
      <c r="J21" s="85">
        <v>222713.661</v>
      </c>
      <c r="K21" s="85">
        <v>216580.96</v>
      </c>
      <c r="L21" s="85">
        <v>214816.391</v>
      </c>
      <c r="M21" s="85">
        <v>221728.956</v>
      </c>
      <c r="N21" s="85">
        <v>252345.495</v>
      </c>
      <c r="O21" s="85">
        <v>250492.661</v>
      </c>
      <c r="P21" s="85">
        <v>207311.212</v>
      </c>
      <c r="Q21" s="85">
        <v>197508.595</v>
      </c>
      <c r="R21" s="85">
        <v>217977.495</v>
      </c>
      <c r="S21" s="85">
        <v>210908.299</v>
      </c>
      <c r="T21" s="85">
        <v>210906.531</v>
      </c>
      <c r="U21" s="85">
        <v>222352.166</v>
      </c>
      <c r="V21" s="85">
        <v>216841.135</v>
      </c>
      <c r="W21" s="85">
        <v>231545.927</v>
      </c>
      <c r="X21" s="85">
        <v>245928.966</v>
      </c>
      <c r="Y21" s="85">
        <v>258107.983</v>
      </c>
      <c r="Z21" s="85">
        <v>261969.797</v>
      </c>
      <c r="AA21" s="14"/>
    </row>
    <row r="22" spans="2:27" ht="15">
      <c r="B22" s="13"/>
      <c r="C22" s="83" t="s">
        <v>91</v>
      </c>
      <c r="D22" s="83" t="s">
        <v>112</v>
      </c>
      <c r="E22" s="83" t="s">
        <v>84</v>
      </c>
      <c r="F22" s="83" t="s">
        <v>32</v>
      </c>
      <c r="G22" s="85">
        <v>998026.908</v>
      </c>
      <c r="H22" s="85">
        <v>1062132.9</v>
      </c>
      <c r="I22" s="85">
        <v>1072574.233</v>
      </c>
      <c r="J22" s="85">
        <v>1075150.701</v>
      </c>
      <c r="K22" s="85">
        <v>1091011.997</v>
      </c>
      <c r="L22" s="85">
        <v>1085524.273</v>
      </c>
      <c r="M22" s="85">
        <v>1218609.892</v>
      </c>
      <c r="N22" s="85">
        <v>1241369.572</v>
      </c>
      <c r="O22" s="85">
        <v>1262723.476</v>
      </c>
      <c r="P22" s="85">
        <v>892421.79</v>
      </c>
      <c r="Q22" s="85">
        <v>1020556.372</v>
      </c>
      <c r="R22" s="85">
        <v>1026722.611</v>
      </c>
      <c r="S22" s="85">
        <v>934869.631</v>
      </c>
      <c r="T22" s="85">
        <v>947171.103</v>
      </c>
      <c r="U22" s="85">
        <v>994632.288</v>
      </c>
      <c r="V22" s="85">
        <v>992889.347</v>
      </c>
      <c r="W22" s="85">
        <v>992718.429</v>
      </c>
      <c r="X22" s="85">
        <v>1037806.351</v>
      </c>
      <c r="Y22" s="85">
        <v>1071753.603</v>
      </c>
      <c r="Z22" s="85">
        <v>985464.153</v>
      </c>
      <c r="AA22" s="14"/>
    </row>
    <row r="23" spans="2:27" ht="15">
      <c r="B23" s="13"/>
      <c r="C23" s="83" t="s">
        <v>91</v>
      </c>
      <c r="D23" s="83" t="s">
        <v>112</v>
      </c>
      <c r="E23" s="83" t="s">
        <v>85</v>
      </c>
      <c r="F23" s="83" t="s">
        <v>33</v>
      </c>
      <c r="G23" s="85">
        <v>420647.408</v>
      </c>
      <c r="H23" s="85">
        <v>453037.294</v>
      </c>
      <c r="I23" s="85">
        <v>445896.52</v>
      </c>
      <c r="J23" s="85">
        <v>450765.473</v>
      </c>
      <c r="K23" s="85">
        <v>425374.546</v>
      </c>
      <c r="L23" s="85">
        <v>441061.898</v>
      </c>
      <c r="M23" s="85">
        <v>495385.678</v>
      </c>
      <c r="N23" s="85">
        <v>543867.942</v>
      </c>
      <c r="O23" s="85">
        <v>525973.041</v>
      </c>
      <c r="P23" s="85">
        <v>506900.892</v>
      </c>
      <c r="Q23" s="85">
        <v>392259.303</v>
      </c>
      <c r="R23" s="85">
        <v>420683.447</v>
      </c>
      <c r="S23" s="85">
        <v>365019.062</v>
      </c>
      <c r="T23" s="85">
        <v>346286.228</v>
      </c>
      <c r="U23" s="85">
        <v>351541.676</v>
      </c>
      <c r="V23" s="85">
        <v>360517.81</v>
      </c>
      <c r="W23" s="85">
        <v>355331.92</v>
      </c>
      <c r="X23" s="85">
        <v>497076.519</v>
      </c>
      <c r="Y23" s="85">
        <v>488080.372</v>
      </c>
      <c r="Z23" s="85">
        <v>512778.283</v>
      </c>
      <c r="AA23" s="14"/>
    </row>
    <row r="24" spans="2:27" ht="15">
      <c r="B24" s="13"/>
      <c r="C24" s="83" t="s">
        <v>91</v>
      </c>
      <c r="D24" s="83" t="s">
        <v>112</v>
      </c>
      <c r="E24" s="83" t="s">
        <v>86</v>
      </c>
      <c r="F24" s="83" t="s">
        <v>34</v>
      </c>
      <c r="G24" s="85">
        <v>1531763.798</v>
      </c>
      <c r="H24" s="85">
        <v>1592562.257</v>
      </c>
      <c r="I24" s="85">
        <v>1559741.289</v>
      </c>
      <c r="J24" s="85">
        <v>1607897.395</v>
      </c>
      <c r="K24" s="85">
        <v>1671122.243</v>
      </c>
      <c r="L24" s="85">
        <v>1721077.107</v>
      </c>
      <c r="M24" s="85">
        <v>1788555.869</v>
      </c>
      <c r="N24" s="85">
        <v>1793902.154</v>
      </c>
      <c r="O24" s="85">
        <v>1830185.738</v>
      </c>
      <c r="P24" s="85">
        <v>1604185.361</v>
      </c>
      <c r="Q24" s="85">
        <v>1577729.883</v>
      </c>
      <c r="R24" s="85">
        <v>1529839.913</v>
      </c>
      <c r="S24" s="85">
        <v>1540179.559</v>
      </c>
      <c r="T24" s="85">
        <v>1529063.675</v>
      </c>
      <c r="U24" s="85">
        <v>1480307.154</v>
      </c>
      <c r="V24" s="85">
        <v>1540280.015</v>
      </c>
      <c r="W24" s="85">
        <v>1483322.778</v>
      </c>
      <c r="X24" s="85">
        <v>1615753.181</v>
      </c>
      <c r="Y24" s="85">
        <v>1659164.839</v>
      </c>
      <c r="Z24" s="85">
        <v>1658921.338</v>
      </c>
      <c r="AA24" s="14"/>
    </row>
    <row r="25" spans="2:27" ht="15">
      <c r="B25" s="13"/>
      <c r="C25" s="83" t="s">
        <v>92</v>
      </c>
      <c r="D25" s="83" t="s">
        <v>304</v>
      </c>
      <c r="E25" s="83" t="s">
        <v>82</v>
      </c>
      <c r="F25" s="83" t="s">
        <v>14</v>
      </c>
      <c r="G25" s="85">
        <v>1801455.187</v>
      </c>
      <c r="H25" s="85">
        <v>1845845.061</v>
      </c>
      <c r="I25" s="85">
        <v>1848542.496</v>
      </c>
      <c r="J25" s="85">
        <v>1830455.901</v>
      </c>
      <c r="K25" s="85">
        <v>1861640.494</v>
      </c>
      <c r="L25" s="85">
        <v>1880559.393</v>
      </c>
      <c r="M25" s="85">
        <v>2010622.127</v>
      </c>
      <c r="N25" s="85">
        <v>2179842.687</v>
      </c>
      <c r="O25" s="85">
        <v>2266222.283</v>
      </c>
      <c r="P25" s="85">
        <v>1992557.38</v>
      </c>
      <c r="Q25" s="85">
        <v>1895979.086</v>
      </c>
      <c r="R25" s="85">
        <v>1992337.651</v>
      </c>
      <c r="S25" s="85">
        <v>1984584.025</v>
      </c>
      <c r="T25" s="85">
        <v>1998601.024</v>
      </c>
      <c r="U25" s="85">
        <v>2032627.968</v>
      </c>
      <c r="V25" s="85">
        <v>2056035.175</v>
      </c>
      <c r="W25" s="85">
        <v>2022892.977</v>
      </c>
      <c r="X25" s="85">
        <v>2309357.507</v>
      </c>
      <c r="Y25" s="85">
        <v>2314786.91</v>
      </c>
      <c r="Z25" s="85">
        <v>2283574.675</v>
      </c>
      <c r="AA25" s="14"/>
    </row>
    <row r="26" spans="2:27" ht="15">
      <c r="B26" s="13"/>
      <c r="C26" s="83" t="s">
        <v>92</v>
      </c>
      <c r="D26" s="83" t="s">
        <v>304</v>
      </c>
      <c r="E26" s="83" t="s">
        <v>83</v>
      </c>
      <c r="F26" s="83" t="s">
        <v>31</v>
      </c>
      <c r="G26" s="85">
        <v>264891.251</v>
      </c>
      <c r="H26" s="85">
        <v>245753.238</v>
      </c>
      <c r="I26" s="85">
        <v>244349.642</v>
      </c>
      <c r="J26" s="85">
        <v>231787.747</v>
      </c>
      <c r="K26" s="85">
        <v>224760.372</v>
      </c>
      <c r="L26" s="85">
        <v>233297.31</v>
      </c>
      <c r="M26" s="85">
        <v>230492.699</v>
      </c>
      <c r="N26" s="85">
        <v>255330.993</v>
      </c>
      <c r="O26" s="85">
        <v>276991.644</v>
      </c>
      <c r="P26" s="85">
        <v>251316.482</v>
      </c>
      <c r="Q26" s="85">
        <v>232978.879</v>
      </c>
      <c r="R26" s="85">
        <v>263230.56</v>
      </c>
      <c r="S26" s="85">
        <v>258892.261</v>
      </c>
      <c r="T26" s="85">
        <v>277294.799</v>
      </c>
      <c r="U26" s="85">
        <v>287762.387</v>
      </c>
      <c r="V26" s="85">
        <v>284826.47</v>
      </c>
      <c r="W26" s="85">
        <v>297953.477</v>
      </c>
      <c r="X26" s="85">
        <v>303998.533</v>
      </c>
      <c r="Y26" s="85">
        <v>298326.827</v>
      </c>
      <c r="Z26" s="85">
        <v>315859.802</v>
      </c>
      <c r="AA26" s="14"/>
    </row>
    <row r="27" spans="2:27" ht="15">
      <c r="B27" s="13"/>
      <c r="C27" s="83" t="s">
        <v>92</v>
      </c>
      <c r="D27" s="83" t="s">
        <v>304</v>
      </c>
      <c r="E27" s="83" t="s">
        <v>84</v>
      </c>
      <c r="F27" s="83" t="s">
        <v>32</v>
      </c>
      <c r="G27" s="85">
        <v>441343.8</v>
      </c>
      <c r="H27" s="85">
        <v>456444.947</v>
      </c>
      <c r="I27" s="85">
        <v>444311.999</v>
      </c>
      <c r="J27" s="85">
        <v>435415.072</v>
      </c>
      <c r="K27" s="85">
        <v>482781.041</v>
      </c>
      <c r="L27" s="85">
        <v>463350.188</v>
      </c>
      <c r="M27" s="85">
        <v>534328.21</v>
      </c>
      <c r="N27" s="85">
        <v>569031.7</v>
      </c>
      <c r="O27" s="85">
        <v>623432.709</v>
      </c>
      <c r="P27" s="85">
        <v>474037.913</v>
      </c>
      <c r="Q27" s="85">
        <v>527533.615</v>
      </c>
      <c r="R27" s="85">
        <v>564898.509</v>
      </c>
      <c r="S27" s="85">
        <v>550598.65</v>
      </c>
      <c r="T27" s="85">
        <v>565450.626</v>
      </c>
      <c r="U27" s="85">
        <v>587228.048</v>
      </c>
      <c r="V27" s="85">
        <v>564599.477</v>
      </c>
      <c r="W27" s="85">
        <v>574093.291</v>
      </c>
      <c r="X27" s="85">
        <v>598861.602</v>
      </c>
      <c r="Y27" s="85">
        <v>635831.372</v>
      </c>
      <c r="Z27" s="85">
        <v>601554.336</v>
      </c>
      <c r="AA27" s="14"/>
    </row>
    <row r="28" spans="2:27" ht="15">
      <c r="B28" s="13"/>
      <c r="C28" s="83" t="s">
        <v>92</v>
      </c>
      <c r="D28" s="83" t="s">
        <v>304</v>
      </c>
      <c r="E28" s="83" t="s">
        <v>85</v>
      </c>
      <c r="F28" s="83" t="s">
        <v>33</v>
      </c>
      <c r="G28" s="85">
        <v>384225.17</v>
      </c>
      <c r="H28" s="85">
        <v>419100.445</v>
      </c>
      <c r="I28" s="85">
        <v>430149.992</v>
      </c>
      <c r="J28" s="85">
        <v>416255.327</v>
      </c>
      <c r="K28" s="85">
        <v>407327.003</v>
      </c>
      <c r="L28" s="85">
        <v>423645.175</v>
      </c>
      <c r="M28" s="85">
        <v>464055.067</v>
      </c>
      <c r="N28" s="85">
        <v>522031.89</v>
      </c>
      <c r="O28" s="85">
        <v>524938.678</v>
      </c>
      <c r="P28" s="85">
        <v>544360.531</v>
      </c>
      <c r="Q28" s="85">
        <v>418731.583</v>
      </c>
      <c r="R28" s="85">
        <v>441917.595</v>
      </c>
      <c r="S28" s="85">
        <v>404862.324</v>
      </c>
      <c r="T28" s="85">
        <v>403673.913</v>
      </c>
      <c r="U28" s="85">
        <v>414827.575</v>
      </c>
      <c r="V28" s="85">
        <v>442183.013</v>
      </c>
      <c r="W28" s="85">
        <v>419119.725</v>
      </c>
      <c r="X28" s="85">
        <v>614154.414</v>
      </c>
      <c r="Y28" s="85">
        <v>573740.284</v>
      </c>
      <c r="Z28" s="85">
        <v>599090.315</v>
      </c>
      <c r="AA28" s="14"/>
    </row>
    <row r="29" spans="2:27" ht="15">
      <c r="B29" s="13"/>
      <c r="C29" s="83" t="s">
        <v>92</v>
      </c>
      <c r="D29" s="83" t="s">
        <v>304</v>
      </c>
      <c r="E29" s="83" t="s">
        <v>86</v>
      </c>
      <c r="F29" s="83" t="s">
        <v>34</v>
      </c>
      <c r="G29" s="85">
        <v>710994.966</v>
      </c>
      <c r="H29" s="85">
        <v>724546.431</v>
      </c>
      <c r="I29" s="85">
        <v>729730.863</v>
      </c>
      <c r="J29" s="85">
        <v>746997.755</v>
      </c>
      <c r="K29" s="85">
        <v>746772.078</v>
      </c>
      <c r="L29" s="85">
        <v>760266.72</v>
      </c>
      <c r="M29" s="85">
        <v>781746.151</v>
      </c>
      <c r="N29" s="85">
        <v>833448.104</v>
      </c>
      <c r="O29" s="85">
        <v>840859.252</v>
      </c>
      <c r="P29" s="85">
        <v>722842.454</v>
      </c>
      <c r="Q29" s="85">
        <v>716735.009</v>
      </c>
      <c r="R29" s="85">
        <v>722290.987</v>
      </c>
      <c r="S29" s="85">
        <v>770230.79</v>
      </c>
      <c r="T29" s="85">
        <v>752181.686</v>
      </c>
      <c r="U29" s="85">
        <v>742809.958</v>
      </c>
      <c r="V29" s="85">
        <v>764426.215</v>
      </c>
      <c r="W29" s="85">
        <v>731726.483</v>
      </c>
      <c r="X29" s="85">
        <v>792342.958</v>
      </c>
      <c r="Y29" s="85">
        <v>806888.427</v>
      </c>
      <c r="Z29" s="85">
        <v>767070.222</v>
      </c>
      <c r="AA29" s="14"/>
    </row>
    <row r="30" spans="2:27" ht="15">
      <c r="B30" s="13"/>
      <c r="C30" s="83" t="s">
        <v>93</v>
      </c>
      <c r="D30" s="83" t="s">
        <v>297</v>
      </c>
      <c r="E30" s="83" t="s">
        <v>82</v>
      </c>
      <c r="F30" s="83" t="s">
        <v>14</v>
      </c>
      <c r="G30" s="85">
        <v>6941015.432</v>
      </c>
      <c r="H30" s="85">
        <v>7098136.179</v>
      </c>
      <c r="I30" s="85">
        <v>7081959.576</v>
      </c>
      <c r="J30" s="85">
        <v>7136392.742</v>
      </c>
      <c r="K30" s="85">
        <v>7437038.977</v>
      </c>
      <c r="L30" s="85">
        <v>7536406.706</v>
      </c>
      <c r="M30" s="85">
        <v>7821662.569</v>
      </c>
      <c r="N30" s="85">
        <v>8017827.362</v>
      </c>
      <c r="O30" s="85">
        <v>7856164.436</v>
      </c>
      <c r="P30" s="85">
        <v>6801124.612</v>
      </c>
      <c r="Q30" s="85">
        <v>6630944.119</v>
      </c>
      <c r="R30" s="85">
        <v>6869642.887</v>
      </c>
      <c r="S30" s="85">
        <v>6315284.618</v>
      </c>
      <c r="T30" s="85">
        <v>6171422.626</v>
      </c>
      <c r="U30" s="85">
        <v>6207125.485</v>
      </c>
      <c r="V30" s="85">
        <v>6177796.047</v>
      </c>
      <c r="W30" s="85">
        <v>6157883.194</v>
      </c>
      <c r="X30" s="85">
        <v>6385110.728</v>
      </c>
      <c r="Y30" s="85">
        <v>6497347.468</v>
      </c>
      <c r="Z30" s="85">
        <v>6461203.62</v>
      </c>
      <c r="AA30" s="14"/>
    </row>
    <row r="31" spans="2:27" ht="15">
      <c r="B31" s="13"/>
      <c r="C31" s="83" t="s">
        <v>93</v>
      </c>
      <c r="D31" s="83" t="s">
        <v>297</v>
      </c>
      <c r="E31" s="83" t="s">
        <v>83</v>
      </c>
      <c r="F31" s="83" t="s">
        <v>31</v>
      </c>
      <c r="G31" s="85">
        <v>1440673.661</v>
      </c>
      <c r="H31" s="85">
        <v>1438349.928</v>
      </c>
      <c r="I31" s="85">
        <v>1438705.394</v>
      </c>
      <c r="J31" s="85">
        <v>1331982.201</v>
      </c>
      <c r="K31" s="85">
        <v>1526248.872</v>
      </c>
      <c r="L31" s="85">
        <v>1451752.377</v>
      </c>
      <c r="M31" s="85">
        <v>1385839.031</v>
      </c>
      <c r="N31" s="85">
        <v>1440110.663</v>
      </c>
      <c r="O31" s="85">
        <v>1459464.104</v>
      </c>
      <c r="P31" s="85">
        <v>1413143.547</v>
      </c>
      <c r="Q31" s="85">
        <v>1385724.912</v>
      </c>
      <c r="R31" s="85">
        <v>1443828.987</v>
      </c>
      <c r="S31" s="85">
        <v>1382307.504</v>
      </c>
      <c r="T31" s="85">
        <v>1408832.876</v>
      </c>
      <c r="U31" s="85">
        <v>1510744.597</v>
      </c>
      <c r="V31" s="85">
        <v>1401073.539</v>
      </c>
      <c r="W31" s="85">
        <v>1428857.936</v>
      </c>
      <c r="X31" s="85">
        <v>1480398.705</v>
      </c>
      <c r="Y31" s="85">
        <v>1440435.175</v>
      </c>
      <c r="Z31" s="85">
        <v>1423852.833</v>
      </c>
      <c r="AA31" s="14"/>
    </row>
    <row r="32" spans="2:27" ht="15">
      <c r="B32" s="13"/>
      <c r="C32" s="83" t="s">
        <v>93</v>
      </c>
      <c r="D32" s="83" t="s">
        <v>297</v>
      </c>
      <c r="E32" s="83" t="s">
        <v>84</v>
      </c>
      <c r="F32" s="83" t="s">
        <v>32</v>
      </c>
      <c r="G32" s="85">
        <v>707051.841</v>
      </c>
      <c r="H32" s="85">
        <v>750311.483</v>
      </c>
      <c r="I32" s="85">
        <v>768158.316</v>
      </c>
      <c r="J32" s="85">
        <v>777594.998</v>
      </c>
      <c r="K32" s="85">
        <v>748060.198</v>
      </c>
      <c r="L32" s="85">
        <v>761454.508</v>
      </c>
      <c r="M32" s="85">
        <v>827117.855</v>
      </c>
      <c r="N32" s="85">
        <v>811928.233</v>
      </c>
      <c r="O32" s="85">
        <v>779386.56</v>
      </c>
      <c r="P32" s="85">
        <v>554913.08</v>
      </c>
      <c r="Q32" s="85">
        <v>656944.919</v>
      </c>
      <c r="R32" s="85">
        <v>632478.363</v>
      </c>
      <c r="S32" s="85">
        <v>568739.816</v>
      </c>
      <c r="T32" s="85">
        <v>595324.709</v>
      </c>
      <c r="U32" s="85">
        <v>596560.321</v>
      </c>
      <c r="V32" s="85">
        <v>617651.262</v>
      </c>
      <c r="W32" s="85">
        <v>625126.737</v>
      </c>
      <c r="X32" s="85">
        <v>650394.568</v>
      </c>
      <c r="Y32" s="85">
        <v>654617.628</v>
      </c>
      <c r="Z32" s="85">
        <v>603534.198</v>
      </c>
      <c r="AA32" s="14"/>
    </row>
    <row r="33" spans="2:27" ht="15">
      <c r="B33" s="13"/>
      <c r="C33" s="83" t="s">
        <v>93</v>
      </c>
      <c r="D33" s="83" t="s">
        <v>297</v>
      </c>
      <c r="E33" s="83" t="s">
        <v>85</v>
      </c>
      <c r="F33" s="83" t="s">
        <v>33</v>
      </c>
      <c r="G33" s="85">
        <v>3191534.83</v>
      </c>
      <c r="H33" s="85">
        <v>3251545.752</v>
      </c>
      <c r="I33" s="85">
        <v>3257930.606</v>
      </c>
      <c r="J33" s="85">
        <v>3377442.342</v>
      </c>
      <c r="K33" s="85">
        <v>3450918.749</v>
      </c>
      <c r="L33" s="85">
        <v>3592374.046</v>
      </c>
      <c r="M33" s="85">
        <v>3842705.818</v>
      </c>
      <c r="N33" s="85">
        <v>4063782.927</v>
      </c>
      <c r="O33" s="85">
        <v>3904546.43</v>
      </c>
      <c r="P33" s="85">
        <v>3265790.504</v>
      </c>
      <c r="Q33" s="85">
        <v>3042357.869</v>
      </c>
      <c r="R33" s="85">
        <v>3282518.237</v>
      </c>
      <c r="S33" s="85">
        <v>2895065.444</v>
      </c>
      <c r="T33" s="85">
        <v>2715996.596</v>
      </c>
      <c r="U33" s="85">
        <v>2722445.212</v>
      </c>
      <c r="V33" s="85">
        <v>2766701.782</v>
      </c>
      <c r="W33" s="85">
        <v>2778394.435</v>
      </c>
      <c r="X33" s="85">
        <v>2856164.348</v>
      </c>
      <c r="Y33" s="85">
        <v>2988363.164</v>
      </c>
      <c r="Z33" s="85">
        <v>3063725.664</v>
      </c>
      <c r="AA33" s="14"/>
    </row>
    <row r="34" spans="2:27" ht="15">
      <c r="B34" s="13"/>
      <c r="C34" s="83" t="s">
        <v>93</v>
      </c>
      <c r="D34" s="83" t="s">
        <v>297</v>
      </c>
      <c r="E34" s="83" t="s">
        <v>86</v>
      </c>
      <c r="F34" s="83" t="s">
        <v>34</v>
      </c>
      <c r="G34" s="85">
        <v>1601755.1</v>
      </c>
      <c r="H34" s="85">
        <v>1657929.015</v>
      </c>
      <c r="I34" s="85">
        <v>1617165.26</v>
      </c>
      <c r="J34" s="85">
        <v>1649373.201</v>
      </c>
      <c r="K34" s="85">
        <v>1711811.16</v>
      </c>
      <c r="L34" s="85">
        <v>1730825.775</v>
      </c>
      <c r="M34" s="85">
        <v>1765999.865</v>
      </c>
      <c r="N34" s="85">
        <v>1702005.539</v>
      </c>
      <c r="O34" s="85">
        <v>1712767.342</v>
      </c>
      <c r="P34" s="85">
        <v>1567277.481</v>
      </c>
      <c r="Q34" s="85">
        <v>1545916.418</v>
      </c>
      <c r="R34" s="85">
        <v>1510817.3</v>
      </c>
      <c r="S34" s="85">
        <v>1469171.853</v>
      </c>
      <c r="T34" s="85">
        <v>1451268.444</v>
      </c>
      <c r="U34" s="85">
        <v>1377375.355</v>
      </c>
      <c r="V34" s="85">
        <v>1392369.464</v>
      </c>
      <c r="W34" s="85">
        <v>1325504.086</v>
      </c>
      <c r="X34" s="85">
        <v>1398153.106</v>
      </c>
      <c r="Y34" s="85">
        <v>1413931.499</v>
      </c>
      <c r="Z34" s="85">
        <v>1370090.925</v>
      </c>
      <c r="AA34" s="14"/>
    </row>
    <row r="35" spans="2:27" ht="15">
      <c r="B35" s="13"/>
      <c r="C35" s="83" t="s">
        <v>94</v>
      </c>
      <c r="D35" s="83" t="s">
        <v>298</v>
      </c>
      <c r="E35" s="83" t="s">
        <v>82</v>
      </c>
      <c r="F35" s="83" t="s">
        <v>14</v>
      </c>
      <c r="G35" s="85">
        <v>8742470.619</v>
      </c>
      <c r="H35" s="85">
        <v>8943981.24</v>
      </c>
      <c r="I35" s="85">
        <v>8930502.072</v>
      </c>
      <c r="J35" s="85">
        <v>8966848.643</v>
      </c>
      <c r="K35" s="85">
        <v>9298679.471</v>
      </c>
      <c r="L35" s="85">
        <v>9416966.099</v>
      </c>
      <c r="M35" s="85">
        <v>9832284.696</v>
      </c>
      <c r="N35" s="85">
        <v>10197670.049</v>
      </c>
      <c r="O35" s="85">
        <v>10122386.719</v>
      </c>
      <c r="P35" s="85">
        <v>8793681.992</v>
      </c>
      <c r="Q35" s="85">
        <v>8526923.206</v>
      </c>
      <c r="R35" s="85">
        <v>8861980.538</v>
      </c>
      <c r="S35" s="85">
        <v>8299868.644</v>
      </c>
      <c r="T35" s="85">
        <v>8170023.649</v>
      </c>
      <c r="U35" s="85">
        <v>8239753.453</v>
      </c>
      <c r="V35" s="85">
        <v>8233831.222</v>
      </c>
      <c r="W35" s="85">
        <v>8180776.172</v>
      </c>
      <c r="X35" s="85">
        <v>8694468.235</v>
      </c>
      <c r="Y35" s="85">
        <v>8812134.378</v>
      </c>
      <c r="Z35" s="85">
        <v>8744778.295</v>
      </c>
      <c r="AA35" s="14"/>
    </row>
    <row r="36" spans="2:27" ht="15">
      <c r="B36" s="13"/>
      <c r="C36" s="83" t="s">
        <v>94</v>
      </c>
      <c r="D36" s="83" t="s">
        <v>298</v>
      </c>
      <c r="E36" s="83" t="s">
        <v>83</v>
      </c>
      <c r="F36" s="83" t="s">
        <v>31</v>
      </c>
      <c r="G36" s="85">
        <v>1705564.913</v>
      </c>
      <c r="H36" s="85">
        <v>1684103.167</v>
      </c>
      <c r="I36" s="85">
        <v>1683055.037</v>
      </c>
      <c r="J36" s="85">
        <v>1563769.948</v>
      </c>
      <c r="K36" s="85">
        <v>1751009.244</v>
      </c>
      <c r="L36" s="85">
        <v>1685049.687</v>
      </c>
      <c r="M36" s="85">
        <v>1616331.731</v>
      </c>
      <c r="N36" s="85">
        <v>1695441.656</v>
      </c>
      <c r="O36" s="85">
        <v>1736455.748</v>
      </c>
      <c r="P36" s="85">
        <v>1664460.039</v>
      </c>
      <c r="Q36" s="85">
        <v>1618703.791</v>
      </c>
      <c r="R36" s="85">
        <v>1707059.547</v>
      </c>
      <c r="S36" s="85">
        <v>1641199.765</v>
      </c>
      <c r="T36" s="85">
        <v>1686127.675</v>
      </c>
      <c r="U36" s="85">
        <v>1798506.983</v>
      </c>
      <c r="V36" s="85">
        <v>1685900.008</v>
      </c>
      <c r="W36" s="85">
        <v>1726811.413</v>
      </c>
      <c r="X36" s="85">
        <v>1784397.239</v>
      </c>
      <c r="Y36" s="85">
        <v>1738762.002</v>
      </c>
      <c r="Z36" s="85">
        <v>1739712.635</v>
      </c>
      <c r="AA36" s="14"/>
    </row>
    <row r="37" spans="2:27" ht="15">
      <c r="B37" s="13"/>
      <c r="C37" s="83" t="s">
        <v>94</v>
      </c>
      <c r="D37" s="83" t="s">
        <v>298</v>
      </c>
      <c r="E37" s="83" t="s">
        <v>84</v>
      </c>
      <c r="F37" s="83" t="s">
        <v>32</v>
      </c>
      <c r="G37" s="85">
        <v>1148395.64</v>
      </c>
      <c r="H37" s="85">
        <v>1206756.43</v>
      </c>
      <c r="I37" s="85">
        <v>1212470.316</v>
      </c>
      <c r="J37" s="85">
        <v>1213010.07</v>
      </c>
      <c r="K37" s="85">
        <v>1230841.238</v>
      </c>
      <c r="L37" s="85">
        <v>1224804.696</v>
      </c>
      <c r="M37" s="85">
        <v>1361446.065</v>
      </c>
      <c r="N37" s="85">
        <v>1380959.933</v>
      </c>
      <c r="O37" s="85">
        <v>1402819.269</v>
      </c>
      <c r="P37" s="85">
        <v>1028950.984</v>
      </c>
      <c r="Q37" s="85">
        <v>1184478.535</v>
      </c>
      <c r="R37" s="85">
        <v>1197376.873</v>
      </c>
      <c r="S37" s="85">
        <v>1119338.466</v>
      </c>
      <c r="T37" s="85">
        <v>1160775.335</v>
      </c>
      <c r="U37" s="85">
        <v>1183788.37</v>
      </c>
      <c r="V37" s="85">
        <v>1182250.739</v>
      </c>
      <c r="W37" s="85">
        <v>1199220.028</v>
      </c>
      <c r="X37" s="85">
        <v>1249256.169</v>
      </c>
      <c r="Y37" s="85">
        <v>1290449</v>
      </c>
      <c r="Z37" s="85">
        <v>1205088.534</v>
      </c>
      <c r="AA37" s="14"/>
    </row>
    <row r="38" spans="2:27" ht="15">
      <c r="B38" s="13"/>
      <c r="C38" s="83" t="s">
        <v>94</v>
      </c>
      <c r="D38" s="83" t="s">
        <v>298</v>
      </c>
      <c r="E38" s="83" t="s">
        <v>85</v>
      </c>
      <c r="F38" s="83" t="s">
        <v>33</v>
      </c>
      <c r="G38" s="85">
        <v>3575760</v>
      </c>
      <c r="H38" s="85">
        <v>3670646.197</v>
      </c>
      <c r="I38" s="85">
        <v>3688080.597</v>
      </c>
      <c r="J38" s="85">
        <v>3793697.669</v>
      </c>
      <c r="K38" s="85">
        <v>3858245.752</v>
      </c>
      <c r="L38" s="85">
        <v>4016019.221</v>
      </c>
      <c r="M38" s="85">
        <v>4306760.885</v>
      </c>
      <c r="N38" s="85">
        <v>4585814.817</v>
      </c>
      <c r="O38" s="85">
        <v>4429485.108</v>
      </c>
      <c r="P38" s="85">
        <v>3810151.034</v>
      </c>
      <c r="Q38" s="85">
        <v>3461089.453</v>
      </c>
      <c r="R38" s="85">
        <v>3724435.832</v>
      </c>
      <c r="S38" s="85">
        <v>3299927.769</v>
      </c>
      <c r="T38" s="85">
        <v>3119670.509</v>
      </c>
      <c r="U38" s="85">
        <v>3137272.787</v>
      </c>
      <c r="V38" s="85">
        <v>3208884.796</v>
      </c>
      <c r="W38" s="85">
        <v>3197514.161</v>
      </c>
      <c r="X38" s="85">
        <v>3470318.762</v>
      </c>
      <c r="Y38" s="85">
        <v>3562103.449</v>
      </c>
      <c r="Z38" s="85">
        <v>3662815.979</v>
      </c>
      <c r="AA38" s="14"/>
    </row>
    <row r="39" spans="2:27" ht="15">
      <c r="B39" s="13"/>
      <c r="C39" s="83" t="s">
        <v>94</v>
      </c>
      <c r="D39" s="83" t="s">
        <v>298</v>
      </c>
      <c r="E39" s="83" t="s">
        <v>86</v>
      </c>
      <c r="F39" s="83" t="s">
        <v>34</v>
      </c>
      <c r="G39" s="85">
        <v>2312750.066</v>
      </c>
      <c r="H39" s="85">
        <v>2382475.446</v>
      </c>
      <c r="I39" s="85">
        <v>2346896.123</v>
      </c>
      <c r="J39" s="85">
        <v>2396370.956</v>
      </c>
      <c r="K39" s="85">
        <v>2458583.238</v>
      </c>
      <c r="L39" s="85">
        <v>2491092.495</v>
      </c>
      <c r="M39" s="85">
        <v>2547746.016</v>
      </c>
      <c r="N39" s="85">
        <v>2535453.642</v>
      </c>
      <c r="O39" s="85">
        <v>2553626.593</v>
      </c>
      <c r="P39" s="85">
        <v>2290119.935</v>
      </c>
      <c r="Q39" s="85">
        <v>2262651.427</v>
      </c>
      <c r="R39" s="85">
        <v>2233108.286</v>
      </c>
      <c r="S39" s="85">
        <v>2239402.643</v>
      </c>
      <c r="T39" s="85">
        <v>2203450.13</v>
      </c>
      <c r="U39" s="85">
        <v>2120185.313</v>
      </c>
      <c r="V39" s="85">
        <v>2156795.678</v>
      </c>
      <c r="W39" s="85">
        <v>2057230.57</v>
      </c>
      <c r="X39" s="85">
        <v>2190496.064</v>
      </c>
      <c r="Y39" s="85">
        <v>2220819.926</v>
      </c>
      <c r="Z39" s="85">
        <v>2137161.147</v>
      </c>
      <c r="AA39" s="14"/>
    </row>
    <row r="40" spans="2:27" ht="15">
      <c r="B40" s="13"/>
      <c r="C40" s="86"/>
      <c r="D40" s="86"/>
      <c r="E40" s="86"/>
      <c r="F40" s="86"/>
      <c r="G40" s="147"/>
      <c r="H40" s="147"/>
      <c r="I40" s="147"/>
      <c r="J40" s="147"/>
      <c r="K40" s="147"/>
      <c r="L40" s="147"/>
      <c r="M40" s="147"/>
      <c r="N40" s="147"/>
      <c r="O40" s="147"/>
      <c r="P40" s="147"/>
      <c r="Q40" s="147"/>
      <c r="R40" s="147"/>
      <c r="S40" s="147"/>
      <c r="T40" s="147"/>
      <c r="U40" s="147"/>
      <c r="V40" s="147"/>
      <c r="W40" s="147"/>
      <c r="X40" s="147"/>
      <c r="Y40" s="147"/>
      <c r="Z40" s="147"/>
      <c r="AA40" s="14"/>
    </row>
    <row r="41" spans="2:27" ht="15">
      <c r="B41" s="13"/>
      <c r="C41" s="86" t="s">
        <v>38</v>
      </c>
      <c r="D41" s="86"/>
      <c r="E41" s="86"/>
      <c r="F41" s="87"/>
      <c r="G41" s="147"/>
      <c r="H41" s="147"/>
      <c r="I41" s="147"/>
      <c r="J41" s="147"/>
      <c r="K41" s="147"/>
      <c r="L41" s="147"/>
      <c r="M41" s="147"/>
      <c r="N41" s="147"/>
      <c r="O41" s="147"/>
      <c r="P41" s="147"/>
      <c r="Q41" s="147"/>
      <c r="R41" s="147"/>
      <c r="S41" s="147"/>
      <c r="T41" s="147"/>
      <c r="U41" s="147"/>
      <c r="V41" s="147"/>
      <c r="W41" s="147"/>
      <c r="X41" s="147"/>
      <c r="Y41" s="147"/>
      <c r="Z41" s="147"/>
      <c r="AA41" s="14"/>
    </row>
    <row r="42" spans="2:27" ht="15">
      <c r="B42" s="13"/>
      <c r="C42" s="86" t="s">
        <v>36</v>
      </c>
      <c r="D42" s="86" t="s">
        <v>39</v>
      </c>
      <c r="E42" s="86"/>
      <c r="G42" s="147"/>
      <c r="H42" s="147"/>
      <c r="I42" s="147"/>
      <c r="J42" s="147"/>
      <c r="K42" s="147"/>
      <c r="L42" s="147"/>
      <c r="M42" s="147"/>
      <c r="N42" s="147"/>
      <c r="O42" s="147"/>
      <c r="P42" s="147"/>
      <c r="Q42" s="147"/>
      <c r="R42" s="147"/>
      <c r="S42" s="147"/>
      <c r="T42" s="147"/>
      <c r="U42" s="147"/>
      <c r="V42" s="147"/>
      <c r="W42" s="147"/>
      <c r="X42" s="147"/>
      <c r="Y42" s="147"/>
      <c r="Z42" s="147"/>
      <c r="AA42" s="14"/>
    </row>
    <row r="43" spans="2:27" ht="15">
      <c r="B43" s="13"/>
      <c r="C43" s="86"/>
      <c r="D43" s="86"/>
      <c r="E43" s="86"/>
      <c r="F43" s="86"/>
      <c r="G43" s="147"/>
      <c r="H43" s="147"/>
      <c r="I43" s="147"/>
      <c r="J43" s="147"/>
      <c r="K43" s="147"/>
      <c r="L43" s="147"/>
      <c r="M43" s="147"/>
      <c r="N43" s="147"/>
      <c r="O43" s="147"/>
      <c r="P43" s="147"/>
      <c r="Q43" s="147"/>
      <c r="R43" s="147"/>
      <c r="S43" s="147"/>
      <c r="T43" s="147"/>
      <c r="U43" s="147"/>
      <c r="V43" s="147"/>
      <c r="W43" s="147"/>
      <c r="X43" s="147"/>
      <c r="Y43" s="147"/>
      <c r="Z43" s="147"/>
      <c r="AA43" s="14"/>
    </row>
    <row r="44" spans="2:27" ht="14.25">
      <c r="B44" s="13"/>
      <c r="C44" s="157" t="s">
        <v>13</v>
      </c>
      <c r="D44" s="157" t="s">
        <v>114</v>
      </c>
      <c r="E44" s="156"/>
      <c r="F44" s="86"/>
      <c r="G44" s="147"/>
      <c r="H44" s="147"/>
      <c r="I44" s="147"/>
      <c r="J44" s="147"/>
      <c r="K44" s="147"/>
      <c r="L44" s="147"/>
      <c r="M44" s="147"/>
      <c r="N44" s="147"/>
      <c r="O44" s="147"/>
      <c r="P44" s="147"/>
      <c r="Q44" s="147"/>
      <c r="R44" s="147"/>
      <c r="S44" s="147"/>
      <c r="T44" s="147"/>
      <c r="U44" s="147"/>
      <c r="V44" s="147"/>
      <c r="W44" s="147"/>
      <c r="X44" s="147"/>
      <c r="Y44" s="147"/>
      <c r="Z44" s="147"/>
      <c r="AA44" s="14"/>
    </row>
    <row r="45" spans="2:27" ht="14.25">
      <c r="B45" s="13"/>
      <c r="C45" s="157" t="s">
        <v>15</v>
      </c>
      <c r="D45" s="157" t="s">
        <v>303</v>
      </c>
      <c r="E45" s="156"/>
      <c r="F45" s="86"/>
      <c r="G45" s="147"/>
      <c r="H45" s="147"/>
      <c r="I45" s="147"/>
      <c r="J45" s="147"/>
      <c r="K45" s="147"/>
      <c r="L45" s="147"/>
      <c r="M45" s="147"/>
      <c r="N45" s="147"/>
      <c r="O45" s="147"/>
      <c r="P45" s="147"/>
      <c r="Q45" s="147"/>
      <c r="R45" s="147"/>
      <c r="S45" s="147"/>
      <c r="T45" s="147"/>
      <c r="U45" s="147"/>
      <c r="V45" s="147"/>
      <c r="W45" s="147"/>
      <c r="X45" s="147"/>
      <c r="Y45" s="147"/>
      <c r="Z45" s="147"/>
      <c r="AA45" s="14"/>
    </row>
    <row r="46" spans="2:27" ht="15">
      <c r="B46" s="13"/>
      <c r="C46" s="86"/>
      <c r="D46" s="86"/>
      <c r="E46" s="86"/>
      <c r="F46" s="86"/>
      <c r="G46" s="147"/>
      <c r="H46" s="147"/>
      <c r="I46" s="147"/>
      <c r="J46" s="147"/>
      <c r="K46" s="147"/>
      <c r="L46" s="147"/>
      <c r="M46" s="147"/>
      <c r="N46" s="147"/>
      <c r="O46" s="147"/>
      <c r="P46" s="147"/>
      <c r="Q46" s="147"/>
      <c r="R46" s="147"/>
      <c r="S46" s="147"/>
      <c r="T46" s="147"/>
      <c r="U46" s="147"/>
      <c r="V46" s="147"/>
      <c r="W46" s="147"/>
      <c r="X46" s="147"/>
      <c r="Y46" s="147"/>
      <c r="Z46" s="147"/>
      <c r="AA46" s="14"/>
    </row>
    <row r="47" spans="2:27" ht="15">
      <c r="B47" s="13"/>
      <c r="C47" s="151" t="s">
        <v>115</v>
      </c>
      <c r="D47" s="151" t="s">
        <v>116</v>
      </c>
      <c r="E47" s="151" t="s">
        <v>78</v>
      </c>
      <c r="F47" s="151" t="s">
        <v>79</v>
      </c>
      <c r="G47" s="274">
        <v>2000</v>
      </c>
      <c r="H47" s="274">
        <v>2001</v>
      </c>
      <c r="I47" s="274">
        <v>2002</v>
      </c>
      <c r="J47" s="274">
        <v>2003</v>
      </c>
      <c r="K47" s="274">
        <v>2004</v>
      </c>
      <c r="L47" s="274">
        <v>2005</v>
      </c>
      <c r="M47" s="274">
        <v>2006</v>
      </c>
      <c r="N47" s="274">
        <v>2007</v>
      </c>
      <c r="O47" s="274">
        <v>2008</v>
      </c>
      <c r="P47" s="274">
        <v>2009</v>
      </c>
      <c r="Q47" s="274">
        <v>2010</v>
      </c>
      <c r="R47" s="274">
        <v>2011</v>
      </c>
      <c r="S47" s="274">
        <v>2012</v>
      </c>
      <c r="T47" s="274">
        <v>2013</v>
      </c>
      <c r="U47" s="274">
        <v>2014</v>
      </c>
      <c r="V47" s="274">
        <v>2015</v>
      </c>
      <c r="W47" s="274">
        <v>2016</v>
      </c>
      <c r="X47" s="274">
        <v>2017</v>
      </c>
      <c r="Y47" s="274">
        <v>2018</v>
      </c>
      <c r="Z47" s="274">
        <v>2019</v>
      </c>
      <c r="AA47" s="14"/>
    </row>
    <row r="48" spans="2:27" ht="15">
      <c r="B48" s="13"/>
      <c r="C48" s="151" t="s">
        <v>80</v>
      </c>
      <c r="D48" s="151" t="s">
        <v>1</v>
      </c>
      <c r="E48" s="151" t="s">
        <v>82</v>
      </c>
      <c r="F48" s="151" t="s">
        <v>14</v>
      </c>
      <c r="G48" s="159">
        <v>12.948</v>
      </c>
      <c r="H48" s="159">
        <v>13.037</v>
      </c>
      <c r="I48" s="159">
        <v>13.049</v>
      </c>
      <c r="J48" s="159">
        <v>12.988</v>
      </c>
      <c r="K48" s="159">
        <v>13.595</v>
      </c>
      <c r="L48" s="159">
        <v>13.685</v>
      </c>
      <c r="M48" s="159">
        <v>13.992</v>
      </c>
      <c r="N48" s="159">
        <v>14.535</v>
      </c>
      <c r="O48" s="159">
        <v>14.231</v>
      </c>
      <c r="P48" s="159">
        <v>12.676</v>
      </c>
      <c r="Q48" s="159">
        <v>12.105</v>
      </c>
      <c r="R48" s="159">
        <v>12.871</v>
      </c>
      <c r="S48" s="159">
        <v>11.905</v>
      </c>
      <c r="T48" s="159">
        <v>11.622</v>
      </c>
      <c r="U48" s="159">
        <v>11.71</v>
      </c>
      <c r="V48" s="159">
        <v>11.533</v>
      </c>
      <c r="W48" s="159">
        <v>11.496</v>
      </c>
      <c r="X48" s="159">
        <v>11.882</v>
      </c>
      <c r="Y48" s="159">
        <v>11.946</v>
      </c>
      <c r="Z48" s="159">
        <v>11.917</v>
      </c>
      <c r="AA48" s="14"/>
    </row>
    <row r="49" spans="2:27" ht="15">
      <c r="B49" s="13"/>
      <c r="C49" s="151" t="s">
        <v>80</v>
      </c>
      <c r="D49" s="151" t="s">
        <v>1</v>
      </c>
      <c r="E49" s="151" t="s">
        <v>83</v>
      </c>
      <c r="F49" s="151" t="s">
        <v>31</v>
      </c>
      <c r="G49" s="159">
        <v>3.421</v>
      </c>
      <c r="H49" s="159">
        <v>3.369</v>
      </c>
      <c r="I49" s="159">
        <v>3.364</v>
      </c>
      <c r="J49" s="159">
        <v>3.104</v>
      </c>
      <c r="K49" s="159">
        <v>3.539</v>
      </c>
      <c r="L49" s="159">
        <v>3.379</v>
      </c>
      <c r="M49" s="159">
        <v>3.195</v>
      </c>
      <c r="N49" s="159">
        <v>3.295</v>
      </c>
      <c r="O49" s="159">
        <v>3.382</v>
      </c>
      <c r="P49" s="159">
        <v>3.308</v>
      </c>
      <c r="Q49" s="159">
        <v>3.222</v>
      </c>
      <c r="R49" s="159">
        <v>3.382</v>
      </c>
      <c r="S49" s="159">
        <v>3.244</v>
      </c>
      <c r="T49" s="159">
        <v>3.338</v>
      </c>
      <c r="U49" s="159">
        <v>3.556</v>
      </c>
      <c r="V49" s="159">
        <v>3.307</v>
      </c>
      <c r="W49" s="159">
        <v>3.359</v>
      </c>
      <c r="X49" s="159">
        <v>3.45</v>
      </c>
      <c r="Y49" s="159">
        <v>3.315</v>
      </c>
      <c r="Z49" s="159">
        <v>3.307</v>
      </c>
      <c r="AA49" s="14"/>
    </row>
    <row r="50" spans="2:27" ht="15">
      <c r="B50" s="13"/>
      <c r="C50" s="151" t="s">
        <v>80</v>
      </c>
      <c r="D50" s="151" t="s">
        <v>1</v>
      </c>
      <c r="E50" s="151" t="s">
        <v>84</v>
      </c>
      <c r="F50" s="151" t="s">
        <v>32</v>
      </c>
      <c r="G50" s="159">
        <v>0.351</v>
      </c>
      <c r="H50" s="159">
        <v>0.337</v>
      </c>
      <c r="I50" s="159">
        <v>0.325</v>
      </c>
      <c r="J50" s="159">
        <v>0.319</v>
      </c>
      <c r="K50" s="159">
        <v>0.322</v>
      </c>
      <c r="L50" s="159">
        <v>0.32</v>
      </c>
      <c r="M50" s="159">
        <v>0.327</v>
      </c>
      <c r="N50" s="159">
        <v>0.319</v>
      </c>
      <c r="O50" s="159">
        <v>0.319</v>
      </c>
      <c r="P50" s="159">
        <v>0.31</v>
      </c>
      <c r="Q50" s="159">
        <v>0.372</v>
      </c>
      <c r="R50" s="159">
        <v>0.388</v>
      </c>
      <c r="S50" s="159">
        <v>0.418</v>
      </c>
      <c r="T50" s="159">
        <v>0.483</v>
      </c>
      <c r="U50" s="159">
        <v>0.427</v>
      </c>
      <c r="V50" s="159">
        <v>0.426</v>
      </c>
      <c r="W50" s="159">
        <v>0.464</v>
      </c>
      <c r="X50" s="159">
        <v>0.474</v>
      </c>
      <c r="Y50" s="159">
        <v>0.49</v>
      </c>
      <c r="Z50" s="159">
        <v>0.491</v>
      </c>
      <c r="AA50" s="14"/>
    </row>
    <row r="51" spans="2:27" ht="15">
      <c r="B51" s="13"/>
      <c r="C51" s="151" t="s">
        <v>80</v>
      </c>
      <c r="D51" s="151" t="s">
        <v>1</v>
      </c>
      <c r="E51" s="151" t="s">
        <v>85</v>
      </c>
      <c r="F51" s="151" t="s">
        <v>33</v>
      </c>
      <c r="G51" s="159">
        <v>7.356</v>
      </c>
      <c r="H51" s="159">
        <v>7.492</v>
      </c>
      <c r="I51" s="159">
        <v>7.532</v>
      </c>
      <c r="J51" s="159">
        <v>7.739</v>
      </c>
      <c r="K51" s="159">
        <v>7.917</v>
      </c>
      <c r="L51" s="159">
        <v>8.216</v>
      </c>
      <c r="M51" s="159">
        <v>8.731</v>
      </c>
      <c r="N51" s="159">
        <v>9.229</v>
      </c>
      <c r="O51" s="159">
        <v>8.884</v>
      </c>
      <c r="P51" s="159">
        <v>7.5</v>
      </c>
      <c r="Q51" s="159">
        <v>6.958</v>
      </c>
      <c r="R51" s="159">
        <v>7.504</v>
      </c>
      <c r="S51" s="159">
        <v>6.657</v>
      </c>
      <c r="T51" s="159">
        <v>6.275</v>
      </c>
      <c r="U51" s="159">
        <v>6.284</v>
      </c>
      <c r="V51" s="159">
        <v>6.412</v>
      </c>
      <c r="W51" s="159">
        <v>6.385</v>
      </c>
      <c r="X51" s="159">
        <v>6.668</v>
      </c>
      <c r="Y51" s="159">
        <v>6.883</v>
      </c>
      <c r="Z51" s="159">
        <v>7.049</v>
      </c>
      <c r="AA51" s="14"/>
    </row>
    <row r="52" spans="2:27" ht="15">
      <c r="B52" s="13"/>
      <c r="C52" s="151" t="s">
        <v>80</v>
      </c>
      <c r="D52" s="151" t="s">
        <v>1</v>
      </c>
      <c r="E52" s="151" t="s">
        <v>86</v>
      </c>
      <c r="F52" s="151" t="s">
        <v>34</v>
      </c>
      <c r="G52" s="159">
        <v>1.821</v>
      </c>
      <c r="H52" s="159">
        <v>1.839</v>
      </c>
      <c r="I52" s="159">
        <v>1.829</v>
      </c>
      <c r="J52" s="159">
        <v>1.825</v>
      </c>
      <c r="K52" s="159">
        <v>1.816</v>
      </c>
      <c r="L52" s="159">
        <v>1.77</v>
      </c>
      <c r="M52" s="159">
        <v>1.739</v>
      </c>
      <c r="N52" s="159">
        <v>1.693</v>
      </c>
      <c r="O52" s="159">
        <v>1.646</v>
      </c>
      <c r="P52" s="159">
        <v>1.557</v>
      </c>
      <c r="Q52" s="159">
        <v>1.553</v>
      </c>
      <c r="R52" s="159">
        <v>1.597</v>
      </c>
      <c r="S52" s="159">
        <v>1.586</v>
      </c>
      <c r="T52" s="159">
        <v>1.526</v>
      </c>
      <c r="U52" s="159">
        <v>1.444</v>
      </c>
      <c r="V52" s="159">
        <v>1.388</v>
      </c>
      <c r="W52" s="159">
        <v>1.289</v>
      </c>
      <c r="X52" s="159">
        <v>1.289</v>
      </c>
      <c r="Y52" s="159">
        <v>1.258</v>
      </c>
      <c r="Z52" s="159">
        <v>1.07</v>
      </c>
      <c r="AA52" s="14"/>
    </row>
    <row r="53" spans="2:27" ht="15">
      <c r="B53" s="13"/>
      <c r="C53" s="151" t="s">
        <v>91</v>
      </c>
      <c r="D53" s="151" t="s">
        <v>112</v>
      </c>
      <c r="E53" s="151" t="s">
        <v>82</v>
      </c>
      <c r="F53" s="151" t="s">
        <v>14</v>
      </c>
      <c r="G53" s="159">
        <v>7.434</v>
      </c>
      <c r="H53" s="159">
        <v>7.788</v>
      </c>
      <c r="I53" s="159">
        <v>7.697</v>
      </c>
      <c r="J53" s="159">
        <v>7.77</v>
      </c>
      <c r="K53" s="159">
        <v>7.851</v>
      </c>
      <c r="L53" s="159">
        <v>7.958</v>
      </c>
      <c r="M53" s="159">
        <v>8.532</v>
      </c>
      <c r="N53" s="159">
        <v>8.748</v>
      </c>
      <c r="O53" s="159">
        <v>8.806</v>
      </c>
      <c r="P53" s="159">
        <v>7.29</v>
      </c>
      <c r="Q53" s="159">
        <v>7.228</v>
      </c>
      <c r="R53" s="159">
        <v>7.258</v>
      </c>
      <c r="S53" s="159">
        <v>6.92</v>
      </c>
      <c r="T53" s="159">
        <v>6.864</v>
      </c>
      <c r="U53" s="159">
        <v>6.878</v>
      </c>
      <c r="V53" s="159">
        <v>7.002</v>
      </c>
      <c r="W53" s="159">
        <v>6.88</v>
      </c>
      <c r="X53" s="159">
        <v>7.618</v>
      </c>
      <c r="Y53" s="159">
        <v>7.786</v>
      </c>
      <c r="Z53" s="159">
        <v>7.651</v>
      </c>
      <c r="AA53" s="14"/>
    </row>
    <row r="54" spans="2:27" ht="15">
      <c r="B54" s="13"/>
      <c r="C54" s="151" t="s">
        <v>91</v>
      </c>
      <c r="D54" s="151" t="s">
        <v>112</v>
      </c>
      <c r="E54" s="151" t="s">
        <v>83</v>
      </c>
      <c r="F54" s="151" t="s">
        <v>31</v>
      </c>
      <c r="G54" s="159">
        <v>0.555</v>
      </c>
      <c r="H54" s="159">
        <v>0.552</v>
      </c>
      <c r="I54" s="159">
        <v>0.546</v>
      </c>
      <c r="J54" s="159">
        <v>0.516</v>
      </c>
      <c r="K54" s="159">
        <v>0.5</v>
      </c>
      <c r="L54" s="159">
        <v>0.494</v>
      </c>
      <c r="M54" s="159">
        <v>0.508</v>
      </c>
      <c r="N54" s="159">
        <v>0.576</v>
      </c>
      <c r="O54" s="159">
        <v>0.57</v>
      </c>
      <c r="P54" s="159">
        <v>0.471</v>
      </c>
      <c r="Q54" s="159">
        <v>0.448</v>
      </c>
      <c r="R54" s="159">
        <v>0.495</v>
      </c>
      <c r="S54" s="159">
        <v>0.478</v>
      </c>
      <c r="T54" s="159">
        <v>0.477</v>
      </c>
      <c r="U54" s="159">
        <v>0.502</v>
      </c>
      <c r="V54" s="159">
        <v>0.488</v>
      </c>
      <c r="W54" s="159">
        <v>0.52</v>
      </c>
      <c r="X54" s="159">
        <v>0.552</v>
      </c>
      <c r="Y54" s="159">
        <v>0.578</v>
      </c>
      <c r="Z54" s="159">
        <v>0.586</v>
      </c>
      <c r="AA54" s="14"/>
    </row>
    <row r="55" spans="2:27" ht="15">
      <c r="B55" s="13"/>
      <c r="C55" s="151" t="s">
        <v>91</v>
      </c>
      <c r="D55" s="151" t="s">
        <v>112</v>
      </c>
      <c r="E55" s="151" t="s">
        <v>84</v>
      </c>
      <c r="F55" s="151" t="s">
        <v>32</v>
      </c>
      <c r="G55" s="159">
        <v>2.327</v>
      </c>
      <c r="H55" s="159">
        <v>2.473</v>
      </c>
      <c r="I55" s="159">
        <v>2.492</v>
      </c>
      <c r="J55" s="159">
        <v>2.489</v>
      </c>
      <c r="K55" s="159">
        <v>2.516</v>
      </c>
      <c r="L55" s="159">
        <v>2.495</v>
      </c>
      <c r="M55" s="159">
        <v>2.792</v>
      </c>
      <c r="N55" s="159">
        <v>2.834</v>
      </c>
      <c r="O55" s="159">
        <v>2.874</v>
      </c>
      <c r="P55" s="159">
        <v>2.026</v>
      </c>
      <c r="Q55" s="159">
        <v>2.314</v>
      </c>
      <c r="R55" s="159">
        <v>2.332</v>
      </c>
      <c r="S55" s="159">
        <v>2.12</v>
      </c>
      <c r="T55" s="159">
        <v>2.143</v>
      </c>
      <c r="U55" s="159">
        <v>2.244</v>
      </c>
      <c r="V55" s="159">
        <v>2.235</v>
      </c>
      <c r="W55" s="159">
        <v>2.23</v>
      </c>
      <c r="X55" s="159">
        <v>2.328</v>
      </c>
      <c r="Y55" s="159">
        <v>2.4</v>
      </c>
      <c r="Z55" s="159">
        <v>2.205</v>
      </c>
      <c r="AA55" s="14"/>
    </row>
    <row r="56" spans="2:27" ht="15">
      <c r="B56" s="13"/>
      <c r="C56" s="151" t="s">
        <v>91</v>
      </c>
      <c r="D56" s="151" t="s">
        <v>112</v>
      </c>
      <c r="E56" s="151" t="s">
        <v>85</v>
      </c>
      <c r="F56" s="151" t="s">
        <v>33</v>
      </c>
      <c r="G56" s="159">
        <v>0.981</v>
      </c>
      <c r="H56" s="159">
        <v>1.055</v>
      </c>
      <c r="I56" s="159">
        <v>1.036</v>
      </c>
      <c r="J56" s="159">
        <v>1.043</v>
      </c>
      <c r="K56" s="159">
        <v>0.981</v>
      </c>
      <c r="L56" s="159">
        <v>1.014</v>
      </c>
      <c r="M56" s="159">
        <v>1.135</v>
      </c>
      <c r="N56" s="159">
        <v>1.242</v>
      </c>
      <c r="O56" s="159">
        <v>1.197</v>
      </c>
      <c r="P56" s="159">
        <v>1.151</v>
      </c>
      <c r="Q56" s="159">
        <v>0.889</v>
      </c>
      <c r="R56" s="159">
        <v>0.956</v>
      </c>
      <c r="S56" s="159">
        <v>0.828</v>
      </c>
      <c r="T56" s="159">
        <v>0.784</v>
      </c>
      <c r="U56" s="159">
        <v>0.793</v>
      </c>
      <c r="V56" s="159">
        <v>0.812</v>
      </c>
      <c r="W56" s="159">
        <v>0.798</v>
      </c>
      <c r="X56" s="159">
        <v>1.115</v>
      </c>
      <c r="Y56" s="159">
        <v>1.093</v>
      </c>
      <c r="Z56" s="159">
        <v>1.147</v>
      </c>
      <c r="AA56" s="14"/>
    </row>
    <row r="57" spans="2:27" ht="15">
      <c r="B57" s="13"/>
      <c r="C57" s="151" t="s">
        <v>91</v>
      </c>
      <c r="D57" s="151" t="s">
        <v>112</v>
      </c>
      <c r="E57" s="151" t="s">
        <v>86</v>
      </c>
      <c r="F57" s="151" t="s">
        <v>34</v>
      </c>
      <c r="G57" s="159">
        <v>3.571</v>
      </c>
      <c r="H57" s="159">
        <v>3.708</v>
      </c>
      <c r="I57" s="159">
        <v>3.623</v>
      </c>
      <c r="J57" s="159">
        <v>3.722</v>
      </c>
      <c r="K57" s="159">
        <v>3.854</v>
      </c>
      <c r="L57" s="159">
        <v>3.955</v>
      </c>
      <c r="M57" s="159">
        <v>4.097</v>
      </c>
      <c r="N57" s="159">
        <v>4.096</v>
      </c>
      <c r="O57" s="159">
        <v>4.165</v>
      </c>
      <c r="P57" s="159">
        <v>3.642</v>
      </c>
      <c r="Q57" s="159">
        <v>3.577</v>
      </c>
      <c r="R57" s="159">
        <v>3.475</v>
      </c>
      <c r="S57" s="159">
        <v>3.493</v>
      </c>
      <c r="T57" s="159">
        <v>3.46</v>
      </c>
      <c r="U57" s="159">
        <v>3.339</v>
      </c>
      <c r="V57" s="159">
        <v>3.467</v>
      </c>
      <c r="W57" s="159">
        <v>3.332</v>
      </c>
      <c r="X57" s="159">
        <v>3.624</v>
      </c>
      <c r="Y57" s="159">
        <v>3.715</v>
      </c>
      <c r="Z57" s="159">
        <v>3.712</v>
      </c>
      <c r="AA57" s="14"/>
    </row>
    <row r="58" spans="2:27" ht="15">
      <c r="B58" s="13"/>
      <c r="C58" s="151" t="s">
        <v>92</v>
      </c>
      <c r="D58" s="151" t="s">
        <v>304</v>
      </c>
      <c r="E58" s="151" t="s">
        <v>82</v>
      </c>
      <c r="F58" s="151" t="s">
        <v>14</v>
      </c>
      <c r="G58" s="159">
        <v>4.2</v>
      </c>
      <c r="H58" s="159">
        <v>4.298</v>
      </c>
      <c r="I58" s="159">
        <v>4.294</v>
      </c>
      <c r="J58" s="159">
        <v>4.237</v>
      </c>
      <c r="K58" s="159">
        <v>4.294</v>
      </c>
      <c r="L58" s="159">
        <v>4.322</v>
      </c>
      <c r="M58" s="159">
        <v>4.606</v>
      </c>
      <c r="N58" s="159">
        <v>4.977</v>
      </c>
      <c r="O58" s="159">
        <v>5.158</v>
      </c>
      <c r="P58" s="159">
        <v>4.524</v>
      </c>
      <c r="Q58" s="159">
        <v>4.299</v>
      </c>
      <c r="R58" s="159">
        <v>4.525</v>
      </c>
      <c r="S58" s="159">
        <v>4.501</v>
      </c>
      <c r="T58" s="159">
        <v>4.522</v>
      </c>
      <c r="U58" s="159">
        <v>4.585</v>
      </c>
      <c r="V58" s="159">
        <v>4.628</v>
      </c>
      <c r="W58" s="159">
        <v>4.544</v>
      </c>
      <c r="X58" s="159">
        <v>5.179</v>
      </c>
      <c r="Y58" s="159">
        <v>5.183</v>
      </c>
      <c r="Z58" s="159">
        <v>5.11</v>
      </c>
      <c r="AA58" s="14"/>
    </row>
    <row r="59" spans="2:27" ht="15">
      <c r="B59" s="13"/>
      <c r="C59" s="151" t="s">
        <v>92</v>
      </c>
      <c r="D59" s="151" t="s">
        <v>304</v>
      </c>
      <c r="E59" s="151" t="s">
        <v>83</v>
      </c>
      <c r="F59" s="151" t="s">
        <v>31</v>
      </c>
      <c r="G59" s="159">
        <v>0.618</v>
      </c>
      <c r="H59" s="159">
        <v>0.572</v>
      </c>
      <c r="I59" s="159">
        <v>0.568</v>
      </c>
      <c r="J59" s="159">
        <v>0.537</v>
      </c>
      <c r="K59" s="159">
        <v>0.518</v>
      </c>
      <c r="L59" s="159">
        <v>0.536</v>
      </c>
      <c r="M59" s="159">
        <v>0.528</v>
      </c>
      <c r="N59" s="159">
        <v>0.583</v>
      </c>
      <c r="O59" s="159">
        <v>0.63</v>
      </c>
      <c r="P59" s="159">
        <v>0.571</v>
      </c>
      <c r="Q59" s="159">
        <v>0.528</v>
      </c>
      <c r="R59" s="159">
        <v>0.598</v>
      </c>
      <c r="S59" s="159">
        <v>0.587</v>
      </c>
      <c r="T59" s="159">
        <v>0.627</v>
      </c>
      <c r="U59" s="159">
        <v>0.649</v>
      </c>
      <c r="V59" s="159">
        <v>0.641</v>
      </c>
      <c r="W59" s="159">
        <v>0.669</v>
      </c>
      <c r="X59" s="159">
        <v>0.682</v>
      </c>
      <c r="Y59" s="159">
        <v>0.668</v>
      </c>
      <c r="Z59" s="159">
        <v>0.707</v>
      </c>
      <c r="AA59" s="14"/>
    </row>
    <row r="60" spans="2:27" ht="15">
      <c r="B60" s="13"/>
      <c r="C60" s="151" t="s">
        <v>92</v>
      </c>
      <c r="D60" s="151" t="s">
        <v>304</v>
      </c>
      <c r="E60" s="151" t="s">
        <v>84</v>
      </c>
      <c r="F60" s="151" t="s">
        <v>32</v>
      </c>
      <c r="G60" s="159">
        <v>1.029</v>
      </c>
      <c r="H60" s="159">
        <v>1.063</v>
      </c>
      <c r="I60" s="159">
        <v>1.032</v>
      </c>
      <c r="J60" s="159">
        <v>1.008</v>
      </c>
      <c r="K60" s="159">
        <v>1.113</v>
      </c>
      <c r="L60" s="159">
        <v>1.065</v>
      </c>
      <c r="M60" s="159">
        <v>1.224</v>
      </c>
      <c r="N60" s="159">
        <v>1.299</v>
      </c>
      <c r="O60" s="159">
        <v>1.419</v>
      </c>
      <c r="P60" s="159">
        <v>1.076</v>
      </c>
      <c r="Q60" s="159">
        <v>1.196</v>
      </c>
      <c r="R60" s="159">
        <v>1.283</v>
      </c>
      <c r="S60" s="159">
        <v>1.249</v>
      </c>
      <c r="T60" s="159">
        <v>1.279</v>
      </c>
      <c r="U60" s="159">
        <v>1.325</v>
      </c>
      <c r="V60" s="159">
        <v>1.271</v>
      </c>
      <c r="W60" s="159">
        <v>1.29</v>
      </c>
      <c r="X60" s="159">
        <v>1.343</v>
      </c>
      <c r="Y60" s="159">
        <v>1.424</v>
      </c>
      <c r="Z60" s="159">
        <v>1.346</v>
      </c>
      <c r="AA60" s="14"/>
    </row>
    <row r="61" spans="2:27" ht="15">
      <c r="B61" s="13"/>
      <c r="C61" s="151" t="s">
        <v>92</v>
      </c>
      <c r="D61" s="151" t="s">
        <v>304</v>
      </c>
      <c r="E61" s="151" t="s">
        <v>85</v>
      </c>
      <c r="F61" s="151" t="s">
        <v>33</v>
      </c>
      <c r="G61" s="159">
        <v>0.896</v>
      </c>
      <c r="H61" s="159">
        <v>0.976</v>
      </c>
      <c r="I61" s="159">
        <v>0.999</v>
      </c>
      <c r="J61" s="159">
        <v>0.964</v>
      </c>
      <c r="K61" s="159">
        <v>0.939</v>
      </c>
      <c r="L61" s="159">
        <v>0.974</v>
      </c>
      <c r="M61" s="159">
        <v>1.063</v>
      </c>
      <c r="N61" s="159">
        <v>1.192</v>
      </c>
      <c r="O61" s="159">
        <v>1.195</v>
      </c>
      <c r="P61" s="159">
        <v>1.236</v>
      </c>
      <c r="Q61" s="159">
        <v>0.949</v>
      </c>
      <c r="R61" s="159">
        <v>1.004</v>
      </c>
      <c r="S61" s="159">
        <v>0.918</v>
      </c>
      <c r="T61" s="159">
        <v>0.913</v>
      </c>
      <c r="U61" s="159">
        <v>0.936</v>
      </c>
      <c r="V61" s="159">
        <v>0.995</v>
      </c>
      <c r="W61" s="159">
        <v>0.941</v>
      </c>
      <c r="X61" s="159">
        <v>1.377</v>
      </c>
      <c r="Y61" s="159">
        <v>1.285</v>
      </c>
      <c r="Z61" s="159">
        <v>1.341</v>
      </c>
      <c r="AA61" s="14"/>
    </row>
    <row r="62" spans="2:27" ht="15">
      <c r="B62" s="13"/>
      <c r="C62" s="151" t="s">
        <v>92</v>
      </c>
      <c r="D62" s="151" t="s">
        <v>304</v>
      </c>
      <c r="E62" s="151" t="s">
        <v>86</v>
      </c>
      <c r="F62" s="151" t="s">
        <v>34</v>
      </c>
      <c r="G62" s="159">
        <v>1.658</v>
      </c>
      <c r="H62" s="159">
        <v>1.687</v>
      </c>
      <c r="I62" s="159">
        <v>1.695</v>
      </c>
      <c r="J62" s="159">
        <v>1.729</v>
      </c>
      <c r="K62" s="159">
        <v>1.722</v>
      </c>
      <c r="L62" s="159">
        <v>1.747</v>
      </c>
      <c r="M62" s="159">
        <v>1.791</v>
      </c>
      <c r="N62" s="159">
        <v>1.903</v>
      </c>
      <c r="O62" s="159">
        <v>1.914</v>
      </c>
      <c r="P62" s="159">
        <v>1.641</v>
      </c>
      <c r="Q62" s="159">
        <v>1.625</v>
      </c>
      <c r="R62" s="159">
        <v>1.641</v>
      </c>
      <c r="S62" s="159">
        <v>1.747</v>
      </c>
      <c r="T62" s="159">
        <v>1.702</v>
      </c>
      <c r="U62" s="159">
        <v>1.676</v>
      </c>
      <c r="V62" s="159">
        <v>1.721</v>
      </c>
      <c r="W62" s="159">
        <v>1.644</v>
      </c>
      <c r="X62" s="159">
        <v>1.777</v>
      </c>
      <c r="Y62" s="159">
        <v>1.807</v>
      </c>
      <c r="Z62" s="159">
        <v>1.716</v>
      </c>
      <c r="AA62" s="14"/>
    </row>
    <row r="63" spans="2:27" ht="15">
      <c r="B63" s="13"/>
      <c r="C63" s="151" t="s">
        <v>93</v>
      </c>
      <c r="D63" s="151" t="s">
        <v>297</v>
      </c>
      <c r="E63" s="151" t="s">
        <v>82</v>
      </c>
      <c r="F63" s="151" t="s">
        <v>14</v>
      </c>
      <c r="G63" s="159">
        <v>16.182</v>
      </c>
      <c r="H63" s="159">
        <v>16.527</v>
      </c>
      <c r="I63" s="159">
        <v>16.452</v>
      </c>
      <c r="J63" s="159">
        <v>16.52</v>
      </c>
      <c r="K63" s="159">
        <v>17.152</v>
      </c>
      <c r="L63" s="159">
        <v>17.32</v>
      </c>
      <c r="M63" s="159">
        <v>17.918</v>
      </c>
      <c r="N63" s="159">
        <v>18.306</v>
      </c>
      <c r="O63" s="159">
        <v>17.88</v>
      </c>
      <c r="P63" s="159">
        <v>15.442</v>
      </c>
      <c r="Q63" s="159">
        <v>15.035</v>
      </c>
      <c r="R63" s="159">
        <v>15.604</v>
      </c>
      <c r="S63" s="159">
        <v>14.323</v>
      </c>
      <c r="T63" s="159">
        <v>13.964</v>
      </c>
      <c r="U63" s="159">
        <v>14.003</v>
      </c>
      <c r="V63" s="159">
        <v>13.907</v>
      </c>
      <c r="W63" s="159">
        <v>13.833</v>
      </c>
      <c r="X63" s="159">
        <v>14.321</v>
      </c>
      <c r="Y63" s="159">
        <v>14.549</v>
      </c>
      <c r="Z63" s="159">
        <v>14.458</v>
      </c>
      <c r="AA63" s="14"/>
    </row>
    <row r="64" spans="2:27" ht="15">
      <c r="B64" s="13"/>
      <c r="C64" s="151" t="s">
        <v>93</v>
      </c>
      <c r="D64" s="151" t="s">
        <v>297</v>
      </c>
      <c r="E64" s="151" t="s">
        <v>83</v>
      </c>
      <c r="F64" s="151" t="s">
        <v>31</v>
      </c>
      <c r="G64" s="159">
        <v>3.359</v>
      </c>
      <c r="H64" s="159">
        <v>3.349</v>
      </c>
      <c r="I64" s="159">
        <v>3.342</v>
      </c>
      <c r="J64" s="159">
        <v>3.083</v>
      </c>
      <c r="K64" s="159">
        <v>3.52</v>
      </c>
      <c r="L64" s="159">
        <v>3.336</v>
      </c>
      <c r="M64" s="159">
        <v>3.175</v>
      </c>
      <c r="N64" s="159">
        <v>3.288</v>
      </c>
      <c r="O64" s="159">
        <v>3.322</v>
      </c>
      <c r="P64" s="159">
        <v>3.209</v>
      </c>
      <c r="Q64" s="159">
        <v>3.142</v>
      </c>
      <c r="R64" s="159">
        <v>3.279</v>
      </c>
      <c r="S64" s="159">
        <v>3.135</v>
      </c>
      <c r="T64" s="159">
        <v>3.188</v>
      </c>
      <c r="U64" s="159">
        <v>3.408</v>
      </c>
      <c r="V64" s="159">
        <v>3.154</v>
      </c>
      <c r="W64" s="159">
        <v>3.21</v>
      </c>
      <c r="X64" s="159">
        <v>3.32</v>
      </c>
      <c r="Y64" s="159">
        <v>3.225</v>
      </c>
      <c r="Z64" s="159">
        <v>3.186</v>
      </c>
      <c r="AA64" s="14"/>
    </row>
    <row r="65" spans="2:27" ht="15">
      <c r="B65" s="13"/>
      <c r="C65" s="151" t="s">
        <v>93</v>
      </c>
      <c r="D65" s="151" t="s">
        <v>297</v>
      </c>
      <c r="E65" s="151" t="s">
        <v>84</v>
      </c>
      <c r="F65" s="151" t="s">
        <v>32</v>
      </c>
      <c r="G65" s="159">
        <v>1.648</v>
      </c>
      <c r="H65" s="159">
        <v>1.747</v>
      </c>
      <c r="I65" s="159">
        <v>1.785</v>
      </c>
      <c r="J65" s="159">
        <v>1.8</v>
      </c>
      <c r="K65" s="159">
        <v>1.725</v>
      </c>
      <c r="L65" s="159">
        <v>1.75</v>
      </c>
      <c r="M65" s="159">
        <v>1.895</v>
      </c>
      <c r="N65" s="159">
        <v>1.854</v>
      </c>
      <c r="O65" s="159">
        <v>1.774</v>
      </c>
      <c r="P65" s="159">
        <v>1.26</v>
      </c>
      <c r="Q65" s="159">
        <v>1.49</v>
      </c>
      <c r="R65" s="159">
        <v>1.437</v>
      </c>
      <c r="S65" s="159">
        <v>1.29</v>
      </c>
      <c r="T65" s="159">
        <v>1.347</v>
      </c>
      <c r="U65" s="159">
        <v>1.346</v>
      </c>
      <c r="V65" s="159">
        <v>1.39</v>
      </c>
      <c r="W65" s="159">
        <v>1.404</v>
      </c>
      <c r="X65" s="159">
        <v>1.459</v>
      </c>
      <c r="Y65" s="159">
        <v>1.466</v>
      </c>
      <c r="Z65" s="159">
        <v>1.351</v>
      </c>
      <c r="AA65" s="14"/>
    </row>
    <row r="66" spans="2:27" ht="15">
      <c r="B66" s="13"/>
      <c r="C66" s="151" t="s">
        <v>93</v>
      </c>
      <c r="D66" s="151" t="s">
        <v>297</v>
      </c>
      <c r="E66" s="151" t="s">
        <v>85</v>
      </c>
      <c r="F66" s="151" t="s">
        <v>33</v>
      </c>
      <c r="G66" s="159">
        <v>7.441</v>
      </c>
      <c r="H66" s="159">
        <v>7.571</v>
      </c>
      <c r="I66" s="159">
        <v>7.569</v>
      </c>
      <c r="J66" s="159">
        <v>7.819</v>
      </c>
      <c r="K66" s="159">
        <v>7.959</v>
      </c>
      <c r="L66" s="159">
        <v>8.256</v>
      </c>
      <c r="M66" s="159">
        <v>8.803</v>
      </c>
      <c r="N66" s="159">
        <v>9.278</v>
      </c>
      <c r="O66" s="159">
        <v>8.886</v>
      </c>
      <c r="P66" s="159">
        <v>7.415</v>
      </c>
      <c r="Q66" s="159">
        <v>6.898</v>
      </c>
      <c r="R66" s="159">
        <v>7.456</v>
      </c>
      <c r="S66" s="159">
        <v>6.566</v>
      </c>
      <c r="T66" s="159">
        <v>6.145</v>
      </c>
      <c r="U66" s="159">
        <v>6.142</v>
      </c>
      <c r="V66" s="159">
        <v>6.228</v>
      </c>
      <c r="W66" s="159">
        <v>6.241</v>
      </c>
      <c r="X66" s="159">
        <v>6.406</v>
      </c>
      <c r="Y66" s="159">
        <v>6.691</v>
      </c>
      <c r="Z66" s="159">
        <v>6.856</v>
      </c>
      <c r="AA66" s="14"/>
    </row>
    <row r="67" spans="2:27" ht="15">
      <c r="B67" s="13"/>
      <c r="C67" s="151" t="s">
        <v>93</v>
      </c>
      <c r="D67" s="151" t="s">
        <v>297</v>
      </c>
      <c r="E67" s="151" t="s">
        <v>86</v>
      </c>
      <c r="F67" s="151" t="s">
        <v>34</v>
      </c>
      <c r="G67" s="159">
        <v>3.734</v>
      </c>
      <c r="H67" s="159">
        <v>3.86</v>
      </c>
      <c r="I67" s="159">
        <v>3.757</v>
      </c>
      <c r="J67" s="159">
        <v>3.818</v>
      </c>
      <c r="K67" s="159">
        <v>3.948</v>
      </c>
      <c r="L67" s="159">
        <v>3.978</v>
      </c>
      <c r="M67" s="159">
        <v>4.046</v>
      </c>
      <c r="N67" s="159">
        <v>3.886</v>
      </c>
      <c r="O67" s="159">
        <v>3.898</v>
      </c>
      <c r="P67" s="159">
        <v>3.559</v>
      </c>
      <c r="Q67" s="159">
        <v>3.505</v>
      </c>
      <c r="R67" s="159">
        <v>3.432</v>
      </c>
      <c r="S67" s="159">
        <v>3.332</v>
      </c>
      <c r="T67" s="159">
        <v>3.284</v>
      </c>
      <c r="U67" s="159">
        <v>3.107</v>
      </c>
      <c r="V67" s="159">
        <v>3.134</v>
      </c>
      <c r="W67" s="159">
        <v>2.978</v>
      </c>
      <c r="X67" s="159">
        <v>3.136</v>
      </c>
      <c r="Y67" s="159">
        <v>3.166</v>
      </c>
      <c r="Z67" s="159">
        <v>3.066</v>
      </c>
      <c r="AA67" s="14"/>
    </row>
    <row r="68" spans="2:27" ht="15">
      <c r="B68" s="13"/>
      <c r="C68" s="151" t="s">
        <v>94</v>
      </c>
      <c r="D68" s="151" t="s">
        <v>298</v>
      </c>
      <c r="E68" s="151" t="s">
        <v>82</v>
      </c>
      <c r="F68" s="151" t="s">
        <v>14</v>
      </c>
      <c r="G68" s="159">
        <v>20.382</v>
      </c>
      <c r="H68" s="159">
        <v>20.825</v>
      </c>
      <c r="I68" s="159">
        <v>20.747</v>
      </c>
      <c r="J68" s="159">
        <v>20.758</v>
      </c>
      <c r="K68" s="159">
        <v>21.446</v>
      </c>
      <c r="L68" s="159">
        <v>21.642</v>
      </c>
      <c r="M68" s="159">
        <v>22.524</v>
      </c>
      <c r="N68" s="159">
        <v>23.283</v>
      </c>
      <c r="O68" s="159">
        <v>23.038</v>
      </c>
      <c r="P68" s="159">
        <v>19.966</v>
      </c>
      <c r="Q68" s="159">
        <v>19.334</v>
      </c>
      <c r="R68" s="159">
        <v>20.129</v>
      </c>
      <c r="S68" s="159">
        <v>18.825</v>
      </c>
      <c r="T68" s="159">
        <v>18.486</v>
      </c>
      <c r="U68" s="159">
        <v>18.588</v>
      </c>
      <c r="V68" s="159">
        <v>18.535</v>
      </c>
      <c r="W68" s="159">
        <v>18.377</v>
      </c>
      <c r="X68" s="159">
        <v>19.5</v>
      </c>
      <c r="Y68" s="159">
        <v>19.732</v>
      </c>
      <c r="Z68" s="159">
        <v>19.568</v>
      </c>
      <c r="AA68" s="14"/>
    </row>
    <row r="69" spans="2:27" ht="15">
      <c r="B69" s="13"/>
      <c r="C69" s="151" t="s">
        <v>94</v>
      </c>
      <c r="D69" s="151" t="s">
        <v>298</v>
      </c>
      <c r="E69" s="151" t="s">
        <v>83</v>
      </c>
      <c r="F69" s="151" t="s">
        <v>31</v>
      </c>
      <c r="G69" s="159">
        <v>3.976</v>
      </c>
      <c r="H69" s="159">
        <v>3.921</v>
      </c>
      <c r="I69" s="159">
        <v>3.91</v>
      </c>
      <c r="J69" s="159">
        <v>3.62</v>
      </c>
      <c r="K69" s="159">
        <v>4.038</v>
      </c>
      <c r="L69" s="159">
        <v>3.873</v>
      </c>
      <c r="M69" s="159">
        <v>3.703</v>
      </c>
      <c r="N69" s="159">
        <v>3.871</v>
      </c>
      <c r="O69" s="159">
        <v>3.952</v>
      </c>
      <c r="P69" s="159">
        <v>3.779</v>
      </c>
      <c r="Q69" s="159">
        <v>3.67</v>
      </c>
      <c r="R69" s="159">
        <v>3.877</v>
      </c>
      <c r="S69" s="159">
        <v>3.722</v>
      </c>
      <c r="T69" s="159">
        <v>3.815</v>
      </c>
      <c r="U69" s="159">
        <v>4.057</v>
      </c>
      <c r="V69" s="159">
        <v>3.795</v>
      </c>
      <c r="W69" s="159">
        <v>3.879</v>
      </c>
      <c r="X69" s="159">
        <v>4.002</v>
      </c>
      <c r="Y69" s="159">
        <v>3.893</v>
      </c>
      <c r="Z69" s="159">
        <v>3.893</v>
      </c>
      <c r="AA69" s="14"/>
    </row>
    <row r="70" spans="2:27" ht="15">
      <c r="B70" s="13"/>
      <c r="C70" s="151" t="s">
        <v>94</v>
      </c>
      <c r="D70" s="151" t="s">
        <v>298</v>
      </c>
      <c r="E70" s="151" t="s">
        <v>84</v>
      </c>
      <c r="F70" s="151" t="s">
        <v>32</v>
      </c>
      <c r="G70" s="159">
        <v>2.677</v>
      </c>
      <c r="H70" s="159">
        <v>2.81</v>
      </c>
      <c r="I70" s="159">
        <v>2.817</v>
      </c>
      <c r="J70" s="159">
        <v>2.808</v>
      </c>
      <c r="K70" s="159">
        <v>2.839</v>
      </c>
      <c r="L70" s="159">
        <v>2.815</v>
      </c>
      <c r="M70" s="159">
        <v>3.119</v>
      </c>
      <c r="N70" s="159">
        <v>3.153</v>
      </c>
      <c r="O70" s="159">
        <v>3.193</v>
      </c>
      <c r="P70" s="159">
        <v>2.336</v>
      </c>
      <c r="Q70" s="159">
        <v>2.686</v>
      </c>
      <c r="R70" s="159">
        <v>2.72</v>
      </c>
      <c r="S70" s="159">
        <v>2.539</v>
      </c>
      <c r="T70" s="159">
        <v>2.626</v>
      </c>
      <c r="U70" s="159">
        <v>2.671</v>
      </c>
      <c r="V70" s="159">
        <v>2.661</v>
      </c>
      <c r="W70" s="159">
        <v>2.694</v>
      </c>
      <c r="X70" s="159">
        <v>2.802</v>
      </c>
      <c r="Y70" s="159">
        <v>2.89</v>
      </c>
      <c r="Z70" s="159">
        <v>2.697</v>
      </c>
      <c r="AA70" s="14"/>
    </row>
    <row r="71" spans="2:27" ht="15">
      <c r="B71" s="13"/>
      <c r="C71" s="151" t="s">
        <v>94</v>
      </c>
      <c r="D71" s="151" t="s">
        <v>298</v>
      </c>
      <c r="E71" s="151" t="s">
        <v>85</v>
      </c>
      <c r="F71" s="151" t="s">
        <v>33</v>
      </c>
      <c r="G71" s="159">
        <v>8.336</v>
      </c>
      <c r="H71" s="159">
        <v>8.547</v>
      </c>
      <c r="I71" s="159">
        <v>8.568</v>
      </c>
      <c r="J71" s="159">
        <v>8.782</v>
      </c>
      <c r="K71" s="159">
        <v>8.898</v>
      </c>
      <c r="L71" s="159">
        <v>9.23</v>
      </c>
      <c r="M71" s="159">
        <v>9.866</v>
      </c>
      <c r="N71" s="159">
        <v>10.47</v>
      </c>
      <c r="O71" s="159">
        <v>10.081</v>
      </c>
      <c r="P71" s="159">
        <v>8.651</v>
      </c>
      <c r="Q71" s="159">
        <v>7.848</v>
      </c>
      <c r="R71" s="159">
        <v>8.46</v>
      </c>
      <c r="S71" s="159">
        <v>7.484</v>
      </c>
      <c r="T71" s="159">
        <v>7.059</v>
      </c>
      <c r="U71" s="159">
        <v>7.077</v>
      </c>
      <c r="V71" s="159">
        <v>7.223</v>
      </c>
      <c r="W71" s="159">
        <v>7.183</v>
      </c>
      <c r="X71" s="159">
        <v>7.783</v>
      </c>
      <c r="Y71" s="159">
        <v>7.976</v>
      </c>
      <c r="Z71" s="159">
        <v>8.196</v>
      </c>
      <c r="AA71" s="14"/>
    </row>
    <row r="72" spans="2:27" ht="15">
      <c r="B72" s="13"/>
      <c r="C72" s="151" t="s">
        <v>94</v>
      </c>
      <c r="D72" s="151" t="s">
        <v>298</v>
      </c>
      <c r="E72" s="151" t="s">
        <v>86</v>
      </c>
      <c r="F72" s="151" t="s">
        <v>34</v>
      </c>
      <c r="G72" s="159">
        <v>5.392</v>
      </c>
      <c r="H72" s="159">
        <v>5.547</v>
      </c>
      <c r="I72" s="159">
        <v>5.452</v>
      </c>
      <c r="J72" s="159">
        <v>5.547</v>
      </c>
      <c r="K72" s="159">
        <v>5.67</v>
      </c>
      <c r="L72" s="159">
        <v>5.725</v>
      </c>
      <c r="M72" s="159">
        <v>5.836</v>
      </c>
      <c r="N72" s="159">
        <v>5.789</v>
      </c>
      <c r="O72" s="159">
        <v>5.812</v>
      </c>
      <c r="P72" s="159">
        <v>5.2</v>
      </c>
      <c r="Q72" s="159">
        <v>5.13</v>
      </c>
      <c r="R72" s="159">
        <v>5.072</v>
      </c>
      <c r="S72" s="159">
        <v>5.079</v>
      </c>
      <c r="T72" s="159">
        <v>4.986</v>
      </c>
      <c r="U72" s="159">
        <v>4.783</v>
      </c>
      <c r="V72" s="159">
        <v>4.855</v>
      </c>
      <c r="W72" s="159">
        <v>4.621</v>
      </c>
      <c r="X72" s="159">
        <v>4.913</v>
      </c>
      <c r="Y72" s="159">
        <v>4.973</v>
      </c>
      <c r="Z72" s="159">
        <v>4.782</v>
      </c>
      <c r="AA72" s="14"/>
    </row>
    <row r="73" spans="2:27" ht="15">
      <c r="B73" s="13"/>
      <c r="C73" s="86"/>
      <c r="D73" s="86"/>
      <c r="E73" s="86"/>
      <c r="F73" s="86"/>
      <c r="G73" s="147"/>
      <c r="H73" s="147"/>
      <c r="I73" s="147"/>
      <c r="J73" s="147"/>
      <c r="K73" s="147"/>
      <c r="L73" s="147"/>
      <c r="M73" s="147"/>
      <c r="N73" s="147"/>
      <c r="O73" s="147"/>
      <c r="P73" s="147"/>
      <c r="Q73" s="147"/>
      <c r="R73" s="147"/>
      <c r="S73" s="147"/>
      <c r="T73" s="147"/>
      <c r="U73" s="147"/>
      <c r="V73" s="147"/>
      <c r="W73" s="147"/>
      <c r="X73" s="147"/>
      <c r="Y73" s="147"/>
      <c r="Z73" s="147"/>
      <c r="AA73" s="14"/>
    </row>
    <row r="74" spans="2:27" ht="15">
      <c r="B74" s="13"/>
      <c r="C74" s="152" t="s">
        <v>38</v>
      </c>
      <c r="D74" s="158"/>
      <c r="E74" s="86"/>
      <c r="F74" s="86"/>
      <c r="G74" s="147"/>
      <c r="H74" s="147"/>
      <c r="I74" s="147"/>
      <c r="J74" s="147"/>
      <c r="K74" s="147"/>
      <c r="L74" s="147"/>
      <c r="M74" s="147"/>
      <c r="N74" s="147"/>
      <c r="O74" s="147"/>
      <c r="P74" s="147"/>
      <c r="Q74" s="147"/>
      <c r="R74" s="147"/>
      <c r="S74" s="147"/>
      <c r="T74" s="147"/>
      <c r="U74" s="147"/>
      <c r="V74" s="147"/>
      <c r="W74" s="147"/>
      <c r="X74" s="147"/>
      <c r="Y74" s="147"/>
      <c r="Z74" s="147"/>
      <c r="AA74" s="14"/>
    </row>
    <row r="75" spans="2:27" ht="15">
      <c r="B75" s="13"/>
      <c r="C75" s="152" t="s">
        <v>36</v>
      </c>
      <c r="D75" s="152" t="s">
        <v>39</v>
      </c>
      <c r="E75" s="86"/>
      <c r="F75" s="86"/>
      <c r="G75" s="147"/>
      <c r="H75" s="147"/>
      <c r="I75" s="147"/>
      <c r="J75" s="147"/>
      <c r="K75" s="147"/>
      <c r="L75" s="147"/>
      <c r="M75" s="147"/>
      <c r="N75" s="147"/>
      <c r="O75" s="147"/>
      <c r="P75" s="147"/>
      <c r="Q75" s="147"/>
      <c r="R75" s="147"/>
      <c r="S75" s="147"/>
      <c r="T75" s="147"/>
      <c r="U75" s="147"/>
      <c r="V75" s="147"/>
      <c r="W75" s="147"/>
      <c r="X75" s="147"/>
      <c r="Y75" s="147"/>
      <c r="Z75" s="147"/>
      <c r="AA75" s="14"/>
    </row>
    <row r="76" spans="2:27" ht="12.75" thickBot="1">
      <c r="B76" s="16"/>
      <c r="C76" s="88"/>
      <c r="D76" s="88"/>
      <c r="E76" s="88"/>
      <c r="F76" s="88"/>
      <c r="G76" s="17"/>
      <c r="H76" s="17"/>
      <c r="I76" s="17"/>
      <c r="J76" s="17"/>
      <c r="K76" s="17"/>
      <c r="L76" s="17"/>
      <c r="M76" s="17"/>
      <c r="N76" s="17"/>
      <c r="O76" s="17"/>
      <c r="P76" s="17"/>
      <c r="Q76" s="17"/>
      <c r="R76" s="17"/>
      <c r="S76" s="17"/>
      <c r="T76" s="17"/>
      <c r="U76" s="17"/>
      <c r="V76" s="17"/>
      <c r="W76" s="17"/>
      <c r="X76" s="17"/>
      <c r="Y76" s="17"/>
      <c r="Z76" s="17"/>
      <c r="AA76" s="18"/>
    </row>
    <row r="77" ht="12.75" thickBot="1"/>
    <row r="78" spans="2:27" ht="15">
      <c r="B78" s="116" t="s">
        <v>52</v>
      </c>
      <c r="C78" s="19"/>
      <c r="D78" s="19"/>
      <c r="E78" s="19"/>
      <c r="F78" s="19"/>
      <c r="G78" s="19"/>
      <c r="H78" s="19"/>
      <c r="I78" s="19"/>
      <c r="J78" s="19"/>
      <c r="K78" s="19"/>
      <c r="L78" s="19"/>
      <c r="M78" s="19"/>
      <c r="N78" s="19"/>
      <c r="O78" s="19"/>
      <c r="P78" s="19"/>
      <c r="Q78" s="19"/>
      <c r="R78" s="19"/>
      <c r="S78" s="19"/>
      <c r="T78" s="19"/>
      <c r="U78" s="19"/>
      <c r="V78" s="19"/>
      <c r="W78" s="19"/>
      <c r="X78" s="19"/>
      <c r="Y78" s="19"/>
      <c r="Z78" s="19"/>
      <c r="AA78" s="20"/>
    </row>
    <row r="79" spans="2:27" ht="15">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4"/>
    </row>
    <row r="80" spans="2:27" ht="15">
      <c r="B80" s="13"/>
      <c r="C80" s="21" t="s">
        <v>29</v>
      </c>
      <c r="D80" s="21"/>
      <c r="E80" s="21"/>
      <c r="F80" s="15"/>
      <c r="G80" s="15"/>
      <c r="H80" s="15"/>
      <c r="I80" s="15"/>
      <c r="J80" s="15"/>
      <c r="K80" s="15"/>
      <c r="L80" s="15"/>
      <c r="M80" s="15"/>
      <c r="N80" s="15"/>
      <c r="O80" s="15"/>
      <c r="P80" s="15"/>
      <c r="Q80" s="15"/>
      <c r="R80" s="15"/>
      <c r="S80" s="15"/>
      <c r="T80" s="15"/>
      <c r="U80" s="15"/>
      <c r="V80" s="15"/>
      <c r="W80" s="15"/>
      <c r="X80" s="15"/>
      <c r="Y80" s="15"/>
      <c r="Z80" s="15"/>
      <c r="AA80" s="14"/>
    </row>
    <row r="81" spans="2:27" ht="15">
      <c r="B81" s="13"/>
      <c r="C81" s="22" t="s">
        <v>54</v>
      </c>
      <c r="D81" s="22"/>
      <c r="E81" s="22"/>
      <c r="F81" s="15"/>
      <c r="G81" s="15"/>
      <c r="H81" s="15"/>
      <c r="I81" s="15"/>
      <c r="J81" s="15"/>
      <c r="K81" s="15"/>
      <c r="L81" s="15"/>
      <c r="M81" s="15"/>
      <c r="N81" s="15"/>
      <c r="O81" s="15"/>
      <c r="P81" s="15"/>
      <c r="Q81" s="15"/>
      <c r="R81" s="15"/>
      <c r="S81" s="15"/>
      <c r="T81" s="15"/>
      <c r="U81" s="15"/>
      <c r="V81" s="15"/>
      <c r="W81" s="15"/>
      <c r="X81" s="15"/>
      <c r="Y81" s="15"/>
      <c r="Z81" s="15"/>
      <c r="AA81" s="14"/>
    </row>
    <row r="82" spans="2:27" ht="15">
      <c r="B82" s="13"/>
      <c r="C82" s="89"/>
      <c r="D82" s="89"/>
      <c r="E82" s="89"/>
      <c r="F82" s="90"/>
      <c r="G82" s="91">
        <v>2000</v>
      </c>
      <c r="H82" s="91">
        <v>2001</v>
      </c>
      <c r="I82" s="91">
        <v>2002</v>
      </c>
      <c r="J82" s="91">
        <v>2003</v>
      </c>
      <c r="K82" s="91">
        <v>2004</v>
      </c>
      <c r="L82" s="91">
        <v>2005</v>
      </c>
      <c r="M82" s="91">
        <v>2006</v>
      </c>
      <c r="N82" s="91">
        <v>2007</v>
      </c>
      <c r="O82" s="91">
        <v>2008</v>
      </c>
      <c r="P82" s="91">
        <v>2009</v>
      </c>
      <c r="Q82" s="91">
        <v>2010</v>
      </c>
      <c r="R82" s="91">
        <v>2011</v>
      </c>
      <c r="S82" s="91">
        <v>2012</v>
      </c>
      <c r="T82" s="91">
        <v>2013</v>
      </c>
      <c r="U82" s="91">
        <v>2014</v>
      </c>
      <c r="V82" s="91">
        <v>2015</v>
      </c>
      <c r="W82" s="91">
        <v>2016</v>
      </c>
      <c r="X82" s="91">
        <v>2017</v>
      </c>
      <c r="Y82" s="91">
        <v>2018</v>
      </c>
      <c r="Z82" s="91">
        <v>2019</v>
      </c>
      <c r="AA82" s="14"/>
    </row>
    <row r="83" spans="2:27" ht="15">
      <c r="B83" s="13"/>
      <c r="C83" s="92" t="s">
        <v>95</v>
      </c>
      <c r="D83" s="93" t="s">
        <v>29</v>
      </c>
      <c r="E83" s="93" t="s">
        <v>82</v>
      </c>
      <c r="F83" s="94" t="s">
        <v>14</v>
      </c>
      <c r="G83" s="95">
        <f aca="true" t="shared" si="0" ref="G83:V83">G20-G25</f>
        <v>1387236.0320000001</v>
      </c>
      <c r="H83" s="95">
        <f t="shared" si="0"/>
        <v>1499021.4889999998</v>
      </c>
      <c r="I83" s="95">
        <f t="shared" si="0"/>
        <v>1464766.8609999998</v>
      </c>
      <c r="J83" s="95">
        <f t="shared" si="0"/>
        <v>1526071.329</v>
      </c>
      <c r="K83" s="95">
        <f t="shared" si="0"/>
        <v>1542449.2510000002</v>
      </c>
      <c r="L83" s="95">
        <f t="shared" si="0"/>
        <v>1581920.2750000001</v>
      </c>
      <c r="M83" s="95">
        <f t="shared" si="0"/>
        <v>1713658.268</v>
      </c>
      <c r="N83" s="95">
        <f t="shared" si="0"/>
        <v>1651642.477</v>
      </c>
      <c r="O83" s="95">
        <f t="shared" si="0"/>
        <v>1603152.6330000004</v>
      </c>
      <c r="P83" s="95">
        <f t="shared" si="0"/>
        <v>1218261.8740000003</v>
      </c>
      <c r="Q83" s="95">
        <f t="shared" si="0"/>
        <v>1292075.067</v>
      </c>
      <c r="R83" s="95">
        <f t="shared" si="0"/>
        <v>1202885.816</v>
      </c>
      <c r="S83" s="95">
        <f t="shared" si="0"/>
        <v>1066392.526</v>
      </c>
      <c r="T83" s="96">
        <f t="shared" si="0"/>
        <v>1034826.513</v>
      </c>
      <c r="U83" s="96">
        <f t="shared" si="0"/>
        <v>1016205.317</v>
      </c>
      <c r="V83" s="96">
        <f t="shared" si="0"/>
        <v>1054493.132</v>
      </c>
      <c r="W83" s="96">
        <f aca="true" t="shared" si="1" ref="W83:X83">W20-W25</f>
        <v>1040026.077</v>
      </c>
      <c r="X83" s="96">
        <f t="shared" si="1"/>
        <v>1087207.5099999998</v>
      </c>
      <c r="Y83" s="96">
        <f aca="true" t="shared" si="2" ref="Y83:Z83">Y20-Y25</f>
        <v>1162319.8869999996</v>
      </c>
      <c r="Z83" s="96">
        <f t="shared" si="2"/>
        <v>1135558.8970000003</v>
      </c>
      <c r="AA83" s="14"/>
    </row>
    <row r="84" spans="2:27" ht="15">
      <c r="B84" s="13"/>
      <c r="C84" s="97" t="s">
        <v>95</v>
      </c>
      <c r="D84" s="97" t="s">
        <v>29</v>
      </c>
      <c r="E84" s="97" t="s">
        <v>83</v>
      </c>
      <c r="F84" s="98" t="s">
        <v>31</v>
      </c>
      <c r="G84" s="99">
        <f aca="true" t="shared" si="3" ref="G84:V84">G21-G26</f>
        <v>-26638.14599999998</v>
      </c>
      <c r="H84" s="99">
        <f t="shared" si="3"/>
        <v>-8619.139000000025</v>
      </c>
      <c r="I84" s="99">
        <f t="shared" si="3"/>
        <v>-9252.326000000001</v>
      </c>
      <c r="J84" s="99">
        <f t="shared" si="3"/>
        <v>-9074.08600000001</v>
      </c>
      <c r="K84" s="99">
        <f t="shared" si="3"/>
        <v>-8179.412000000011</v>
      </c>
      <c r="L84" s="99">
        <f t="shared" si="3"/>
        <v>-18480.918999999994</v>
      </c>
      <c r="M84" s="99">
        <f t="shared" si="3"/>
        <v>-8763.742999999988</v>
      </c>
      <c r="N84" s="99">
        <f t="shared" si="3"/>
        <v>-2985.4979999999923</v>
      </c>
      <c r="O84" s="99">
        <f t="shared" si="3"/>
        <v>-26498.98299999998</v>
      </c>
      <c r="P84" s="99">
        <f t="shared" si="3"/>
        <v>-44005.26999999999</v>
      </c>
      <c r="Q84" s="99">
        <f t="shared" si="3"/>
        <v>-35470.283999999985</v>
      </c>
      <c r="R84" s="99">
        <f t="shared" si="3"/>
        <v>-45253.065</v>
      </c>
      <c r="S84" s="99">
        <f t="shared" si="3"/>
        <v>-47983.962</v>
      </c>
      <c r="T84" s="100">
        <f t="shared" si="3"/>
        <v>-66388.26800000001</v>
      </c>
      <c r="U84" s="100">
        <f t="shared" si="3"/>
        <v>-65410.22099999999</v>
      </c>
      <c r="V84" s="100">
        <f t="shared" si="3"/>
        <v>-67985.33499999996</v>
      </c>
      <c r="W84" s="100">
        <f aca="true" t="shared" si="4" ref="W84:X84">W21-W26</f>
        <v>-66407.55000000002</v>
      </c>
      <c r="X84" s="100">
        <f t="shared" si="4"/>
        <v>-58069.56700000001</v>
      </c>
      <c r="Y84" s="100">
        <f aca="true" t="shared" si="5" ref="Y84:Z84">Y21-Y26</f>
        <v>-40218.84399999998</v>
      </c>
      <c r="Z84" s="100">
        <f t="shared" si="5"/>
        <v>-53890.005000000034</v>
      </c>
      <c r="AA84" s="14"/>
    </row>
    <row r="85" spans="2:27" ht="15">
      <c r="B85" s="13"/>
      <c r="C85" s="97" t="s">
        <v>95</v>
      </c>
      <c r="D85" s="97" t="s">
        <v>29</v>
      </c>
      <c r="E85" s="97" t="s">
        <v>84</v>
      </c>
      <c r="F85" s="98" t="s">
        <v>32</v>
      </c>
      <c r="G85" s="99">
        <f aca="true" t="shared" si="6" ref="G85:V85">G22-G27</f>
        <v>556683.108</v>
      </c>
      <c r="H85" s="99">
        <f t="shared" si="6"/>
        <v>605687.953</v>
      </c>
      <c r="I85" s="99">
        <f t="shared" si="6"/>
        <v>628262.2339999999</v>
      </c>
      <c r="J85" s="99">
        <f t="shared" si="6"/>
        <v>639735.629</v>
      </c>
      <c r="K85" s="99">
        <f t="shared" si="6"/>
        <v>608230.956</v>
      </c>
      <c r="L85" s="99">
        <f t="shared" si="6"/>
        <v>622174.085</v>
      </c>
      <c r="M85" s="99">
        <f t="shared" si="6"/>
        <v>684281.682</v>
      </c>
      <c r="N85" s="99">
        <f t="shared" si="6"/>
        <v>672337.872</v>
      </c>
      <c r="O85" s="99">
        <f t="shared" si="6"/>
        <v>639290.767</v>
      </c>
      <c r="P85" s="99">
        <f t="shared" si="6"/>
        <v>418383.87700000004</v>
      </c>
      <c r="Q85" s="99">
        <f t="shared" si="6"/>
        <v>493022.757</v>
      </c>
      <c r="R85" s="99">
        <f t="shared" si="6"/>
        <v>461824.1020000001</v>
      </c>
      <c r="S85" s="99">
        <f t="shared" si="6"/>
        <v>384270.981</v>
      </c>
      <c r="T85" s="100">
        <f t="shared" si="6"/>
        <v>381720.47699999996</v>
      </c>
      <c r="U85" s="100">
        <f t="shared" si="6"/>
        <v>407404.24</v>
      </c>
      <c r="V85" s="100">
        <f t="shared" si="6"/>
        <v>428289.87</v>
      </c>
      <c r="W85" s="100">
        <f aca="true" t="shared" si="7" ref="W85:X85">W22-W27</f>
        <v>418625.13800000004</v>
      </c>
      <c r="X85" s="100">
        <f t="shared" si="7"/>
        <v>438944.74900000007</v>
      </c>
      <c r="Y85" s="100">
        <f aca="true" t="shared" si="8" ref="Y85:Z85">Y22-Y27</f>
        <v>435922.2309999999</v>
      </c>
      <c r="Z85" s="100">
        <f t="shared" si="8"/>
        <v>383909.81700000004</v>
      </c>
      <c r="AA85" s="14"/>
    </row>
    <row r="86" spans="2:27" ht="15">
      <c r="B86" s="13"/>
      <c r="C86" s="97" t="s">
        <v>95</v>
      </c>
      <c r="D86" s="97" t="s">
        <v>29</v>
      </c>
      <c r="E86" s="97" t="s">
        <v>85</v>
      </c>
      <c r="F86" s="98" t="s">
        <v>33</v>
      </c>
      <c r="G86" s="99">
        <f aca="true" t="shared" si="9" ref="G86:V86">G23-G28</f>
        <v>36422.23800000001</v>
      </c>
      <c r="H86" s="99">
        <f t="shared" si="9"/>
        <v>33936.84899999999</v>
      </c>
      <c r="I86" s="99">
        <f t="shared" si="9"/>
        <v>15746.527999999991</v>
      </c>
      <c r="J86" s="99">
        <f t="shared" si="9"/>
        <v>34510.14600000001</v>
      </c>
      <c r="K86" s="99">
        <f t="shared" si="9"/>
        <v>18047.542999999947</v>
      </c>
      <c r="L86" s="99">
        <f t="shared" si="9"/>
        <v>17416.722999999998</v>
      </c>
      <c r="M86" s="99">
        <f t="shared" si="9"/>
        <v>31330.611000000034</v>
      </c>
      <c r="N86" s="99">
        <f t="shared" si="9"/>
        <v>21836.052000000025</v>
      </c>
      <c r="O86" s="99">
        <f t="shared" si="9"/>
        <v>1034.363000000012</v>
      </c>
      <c r="P86" s="99">
        <f t="shared" si="9"/>
        <v>-37459.63899999997</v>
      </c>
      <c r="Q86" s="99">
        <f t="shared" si="9"/>
        <v>-26472.27999999997</v>
      </c>
      <c r="R86" s="99">
        <f t="shared" si="9"/>
        <v>-21234.147999999986</v>
      </c>
      <c r="S86" s="99">
        <f t="shared" si="9"/>
        <v>-39843.262000000046</v>
      </c>
      <c r="T86" s="100">
        <f t="shared" si="9"/>
        <v>-57387.685</v>
      </c>
      <c r="U86" s="100">
        <f t="shared" si="9"/>
        <v>-63285.899000000034</v>
      </c>
      <c r="V86" s="100">
        <f t="shared" si="9"/>
        <v>-81665.20299999998</v>
      </c>
      <c r="W86" s="100">
        <f aca="true" t="shared" si="10" ref="W86:X86">W23-W28</f>
        <v>-63787.80499999999</v>
      </c>
      <c r="X86" s="100">
        <f t="shared" si="10"/>
        <v>-117077.89500000002</v>
      </c>
      <c r="Y86" s="100">
        <f aca="true" t="shared" si="11" ref="Y86:Z86">Y23-Y28</f>
        <v>-85659.91200000001</v>
      </c>
      <c r="Z86" s="100">
        <f t="shared" si="11"/>
        <v>-86312.03199999995</v>
      </c>
      <c r="AA86" s="14"/>
    </row>
    <row r="87" spans="2:27" ht="15">
      <c r="B87" s="13"/>
      <c r="C87" s="101" t="s">
        <v>95</v>
      </c>
      <c r="D87" s="101" t="s">
        <v>29</v>
      </c>
      <c r="E87" s="101" t="s">
        <v>86</v>
      </c>
      <c r="F87" s="102" t="s">
        <v>34</v>
      </c>
      <c r="G87" s="103">
        <f aca="true" t="shared" si="12" ref="G87:V87">G24-G29</f>
        <v>820768.8319999999</v>
      </c>
      <c r="H87" s="103">
        <f t="shared" si="12"/>
        <v>868015.826</v>
      </c>
      <c r="I87" s="103">
        <f t="shared" si="12"/>
        <v>830010.4260000001</v>
      </c>
      <c r="J87" s="103">
        <f t="shared" si="12"/>
        <v>860899.64</v>
      </c>
      <c r="K87" s="103">
        <f t="shared" si="12"/>
        <v>924350.165</v>
      </c>
      <c r="L87" s="103">
        <f t="shared" si="12"/>
        <v>960810.3870000001</v>
      </c>
      <c r="M87" s="103">
        <f t="shared" si="12"/>
        <v>1006809.718</v>
      </c>
      <c r="N87" s="103">
        <f t="shared" si="12"/>
        <v>960454.05</v>
      </c>
      <c r="O87" s="103">
        <f t="shared" si="12"/>
        <v>989326.4859999999</v>
      </c>
      <c r="P87" s="103">
        <f t="shared" si="12"/>
        <v>881342.907</v>
      </c>
      <c r="Q87" s="103">
        <f t="shared" si="12"/>
        <v>860994.874</v>
      </c>
      <c r="R87" s="103">
        <f t="shared" si="12"/>
        <v>807548.926</v>
      </c>
      <c r="S87" s="103">
        <f t="shared" si="12"/>
        <v>769948.7689999999</v>
      </c>
      <c r="T87" s="104">
        <f t="shared" si="12"/>
        <v>776881.9890000001</v>
      </c>
      <c r="U87" s="104">
        <f t="shared" si="12"/>
        <v>737497.1960000001</v>
      </c>
      <c r="V87" s="104">
        <f t="shared" si="12"/>
        <v>775853.7999999999</v>
      </c>
      <c r="W87" s="104">
        <f aca="true" t="shared" si="13" ref="W87:X87">W24-W29</f>
        <v>751596.2949999999</v>
      </c>
      <c r="X87" s="104">
        <f t="shared" si="13"/>
        <v>823410.2230000001</v>
      </c>
      <c r="Y87" s="104">
        <f aca="true" t="shared" si="14" ref="Y87:Z87">Y24-Y29</f>
        <v>852276.4119999999</v>
      </c>
      <c r="Z87" s="104">
        <f t="shared" si="14"/>
        <v>891851.116</v>
      </c>
      <c r="AA87" s="14"/>
    </row>
    <row r="88" spans="2:27" ht="15">
      <c r="B88" s="13"/>
      <c r="C88" s="51" t="s">
        <v>99</v>
      </c>
      <c r="D88" s="51"/>
      <c r="E88" s="51"/>
      <c r="F88" s="10"/>
      <c r="G88" s="105"/>
      <c r="H88" s="105"/>
      <c r="I88" s="105"/>
      <c r="J88" s="105"/>
      <c r="K88" s="105"/>
      <c r="L88" s="105"/>
      <c r="M88" s="105"/>
      <c r="N88" s="105"/>
      <c r="O88" s="105"/>
      <c r="P88" s="105"/>
      <c r="Q88" s="105"/>
      <c r="R88" s="105"/>
      <c r="S88" s="105"/>
      <c r="T88" s="105"/>
      <c r="U88" s="105"/>
      <c r="V88" s="105"/>
      <c r="W88" s="105"/>
      <c r="X88" s="105"/>
      <c r="Y88" s="105"/>
      <c r="Z88" s="105"/>
      <c r="AA88" s="14"/>
    </row>
    <row r="89" spans="2:27" ht="15">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4"/>
    </row>
    <row r="90" spans="2:27" ht="15">
      <c r="B90" s="13"/>
      <c r="C90" s="21" t="str">
        <f>"Raw material equivalents (RME) available to EU-27 economies and how they are used, 2000-"&amp;Cover!C1</f>
        <v>Raw material equivalents (RME) available to EU-27 economies and how they are used, 2000-2019</v>
      </c>
      <c r="D90" s="21"/>
      <c r="E90" s="21"/>
      <c r="F90" s="15"/>
      <c r="G90" s="15"/>
      <c r="H90" s="15"/>
      <c r="I90" s="15"/>
      <c r="J90" s="15"/>
      <c r="K90" s="15"/>
      <c r="L90" s="15"/>
      <c r="M90" s="15"/>
      <c r="N90" s="15"/>
      <c r="O90" s="15"/>
      <c r="P90" s="15"/>
      <c r="Q90" s="15"/>
      <c r="R90" s="15"/>
      <c r="S90" s="15"/>
      <c r="T90" s="15"/>
      <c r="U90" s="15"/>
      <c r="V90" s="15"/>
      <c r="W90" s="15"/>
      <c r="X90" s="15"/>
      <c r="Y90" s="15"/>
      <c r="Z90" s="15"/>
      <c r="AA90" s="14"/>
    </row>
    <row r="91" spans="2:27" ht="15">
      <c r="B91" s="13"/>
      <c r="C91" s="22" t="s">
        <v>5</v>
      </c>
      <c r="D91" s="22"/>
      <c r="E91" s="22"/>
      <c r="F91" s="15"/>
      <c r="G91" s="15"/>
      <c r="H91" s="15"/>
      <c r="I91" s="15"/>
      <c r="J91" s="15"/>
      <c r="K91" s="15"/>
      <c r="L91" s="15"/>
      <c r="M91" s="15"/>
      <c r="N91" s="15"/>
      <c r="O91" s="15"/>
      <c r="P91" s="15"/>
      <c r="Q91" s="15"/>
      <c r="R91" s="15"/>
      <c r="S91" s="15"/>
      <c r="T91" s="15"/>
      <c r="U91" s="15"/>
      <c r="V91" s="15"/>
      <c r="W91" s="15"/>
      <c r="X91" s="15"/>
      <c r="Y91" s="15"/>
      <c r="Z91" s="15"/>
      <c r="AA91" s="14"/>
    </row>
    <row r="92" spans="2:27" ht="15">
      <c r="B92" s="13"/>
      <c r="C92" s="89"/>
      <c r="D92" s="181"/>
      <c r="E92" s="89"/>
      <c r="F92" s="89"/>
      <c r="G92" s="90">
        <v>2000</v>
      </c>
      <c r="H92" s="91">
        <f aca="true" t="shared" si="15" ref="H92:X92">G92+1</f>
        <v>2001</v>
      </c>
      <c r="I92" s="91">
        <f t="shared" si="15"/>
        <v>2002</v>
      </c>
      <c r="J92" s="91">
        <f t="shared" si="15"/>
        <v>2003</v>
      </c>
      <c r="K92" s="91">
        <f t="shared" si="15"/>
        <v>2004</v>
      </c>
      <c r="L92" s="91">
        <f t="shared" si="15"/>
        <v>2005</v>
      </c>
      <c r="M92" s="91">
        <f t="shared" si="15"/>
        <v>2006</v>
      </c>
      <c r="N92" s="91">
        <f t="shared" si="15"/>
        <v>2007</v>
      </c>
      <c r="O92" s="91">
        <f t="shared" si="15"/>
        <v>2008</v>
      </c>
      <c r="P92" s="91">
        <f t="shared" si="15"/>
        <v>2009</v>
      </c>
      <c r="Q92" s="91">
        <f t="shared" si="15"/>
        <v>2010</v>
      </c>
      <c r="R92" s="91">
        <f t="shared" si="15"/>
        <v>2011</v>
      </c>
      <c r="S92" s="91">
        <f t="shared" si="15"/>
        <v>2012</v>
      </c>
      <c r="T92" s="91">
        <f t="shared" si="15"/>
        <v>2013</v>
      </c>
      <c r="U92" s="91">
        <f t="shared" si="15"/>
        <v>2014</v>
      </c>
      <c r="V92" s="91">
        <f t="shared" si="15"/>
        <v>2015</v>
      </c>
      <c r="W92" s="91">
        <f t="shared" si="15"/>
        <v>2016</v>
      </c>
      <c r="X92" s="91">
        <f t="shared" si="15"/>
        <v>2017</v>
      </c>
      <c r="Y92" s="91">
        <f aca="true" t="shared" si="16" ref="Y92">X92+1</f>
        <v>2018</v>
      </c>
      <c r="Z92" s="91">
        <f aca="true" t="shared" si="17" ref="Z92">Y92+1</f>
        <v>2019</v>
      </c>
      <c r="AA92" s="14"/>
    </row>
    <row r="93" spans="2:27" ht="15">
      <c r="B93" s="13"/>
      <c r="C93" s="93" t="s">
        <v>80</v>
      </c>
      <c r="D93" s="93" t="s">
        <v>1</v>
      </c>
      <c r="E93" s="93" t="s">
        <v>82</v>
      </c>
      <c r="F93" s="94" t="s">
        <v>14</v>
      </c>
      <c r="G93" s="106">
        <f>G48</f>
        <v>12.948</v>
      </c>
      <c r="H93" s="106">
        <f aca="true" t="shared" si="18" ref="H93:V93">H48</f>
        <v>13.037</v>
      </c>
      <c r="I93" s="106">
        <f t="shared" si="18"/>
        <v>13.049</v>
      </c>
      <c r="J93" s="106">
        <f t="shared" si="18"/>
        <v>12.988</v>
      </c>
      <c r="K93" s="106">
        <f t="shared" si="18"/>
        <v>13.595</v>
      </c>
      <c r="L93" s="106">
        <f t="shared" si="18"/>
        <v>13.685</v>
      </c>
      <c r="M93" s="106">
        <f t="shared" si="18"/>
        <v>13.992</v>
      </c>
      <c r="N93" s="106">
        <f t="shared" si="18"/>
        <v>14.535</v>
      </c>
      <c r="O93" s="106">
        <f t="shared" si="18"/>
        <v>14.231</v>
      </c>
      <c r="P93" s="106">
        <f t="shared" si="18"/>
        <v>12.676</v>
      </c>
      <c r="Q93" s="106">
        <f t="shared" si="18"/>
        <v>12.105</v>
      </c>
      <c r="R93" s="106">
        <f t="shared" si="18"/>
        <v>12.871</v>
      </c>
      <c r="S93" s="106">
        <f t="shared" si="18"/>
        <v>11.905</v>
      </c>
      <c r="T93" s="106">
        <f t="shared" si="18"/>
        <v>11.622</v>
      </c>
      <c r="U93" s="106">
        <f t="shared" si="18"/>
        <v>11.71</v>
      </c>
      <c r="V93" s="106">
        <f t="shared" si="18"/>
        <v>11.533</v>
      </c>
      <c r="W93" s="106">
        <f aca="true" t="shared" si="19" ref="W93:X93">W48</f>
        <v>11.496</v>
      </c>
      <c r="X93" s="106">
        <f t="shared" si="19"/>
        <v>11.882</v>
      </c>
      <c r="Y93" s="106">
        <f aca="true" t="shared" si="20" ref="Y93:Z93">Y48</f>
        <v>11.946</v>
      </c>
      <c r="Z93" s="106">
        <f t="shared" si="20"/>
        <v>11.917</v>
      </c>
      <c r="AA93" s="14"/>
    </row>
    <row r="94" spans="2:27" ht="15">
      <c r="B94" s="13"/>
      <c r="C94" s="97" t="s">
        <v>80</v>
      </c>
      <c r="D94" s="97" t="s">
        <v>1</v>
      </c>
      <c r="E94" s="97" t="s">
        <v>83</v>
      </c>
      <c r="F94" s="98" t="s">
        <v>31</v>
      </c>
      <c r="G94" s="107">
        <f>G49</f>
        <v>3.421</v>
      </c>
      <c r="H94" s="107">
        <f aca="true" t="shared" si="21" ref="H94:V94">H49</f>
        <v>3.369</v>
      </c>
      <c r="I94" s="107">
        <f t="shared" si="21"/>
        <v>3.364</v>
      </c>
      <c r="J94" s="107">
        <f t="shared" si="21"/>
        <v>3.104</v>
      </c>
      <c r="K94" s="107">
        <f t="shared" si="21"/>
        <v>3.539</v>
      </c>
      <c r="L94" s="107">
        <f t="shared" si="21"/>
        <v>3.379</v>
      </c>
      <c r="M94" s="107">
        <f t="shared" si="21"/>
        <v>3.195</v>
      </c>
      <c r="N94" s="107">
        <f t="shared" si="21"/>
        <v>3.295</v>
      </c>
      <c r="O94" s="107">
        <f t="shared" si="21"/>
        <v>3.382</v>
      </c>
      <c r="P94" s="107">
        <f t="shared" si="21"/>
        <v>3.308</v>
      </c>
      <c r="Q94" s="107">
        <f t="shared" si="21"/>
        <v>3.222</v>
      </c>
      <c r="R94" s="107">
        <f t="shared" si="21"/>
        <v>3.382</v>
      </c>
      <c r="S94" s="107">
        <f t="shared" si="21"/>
        <v>3.244</v>
      </c>
      <c r="T94" s="107">
        <f t="shared" si="21"/>
        <v>3.338</v>
      </c>
      <c r="U94" s="107">
        <f t="shared" si="21"/>
        <v>3.556</v>
      </c>
      <c r="V94" s="107">
        <f t="shared" si="21"/>
        <v>3.307</v>
      </c>
      <c r="W94" s="107">
        <f aca="true" t="shared" si="22" ref="W94:X94">W49</f>
        <v>3.359</v>
      </c>
      <c r="X94" s="107">
        <f t="shared" si="22"/>
        <v>3.45</v>
      </c>
      <c r="Y94" s="107">
        <f aca="true" t="shared" si="23" ref="Y94:Z94">Y49</f>
        <v>3.315</v>
      </c>
      <c r="Z94" s="107">
        <f t="shared" si="23"/>
        <v>3.307</v>
      </c>
      <c r="AA94" s="14"/>
    </row>
    <row r="95" spans="2:27" ht="15">
      <c r="B95" s="13"/>
      <c r="C95" s="97" t="s">
        <v>80</v>
      </c>
      <c r="D95" s="97" t="s">
        <v>1</v>
      </c>
      <c r="E95" s="97" t="s">
        <v>84</v>
      </c>
      <c r="F95" s="98" t="s">
        <v>32</v>
      </c>
      <c r="G95" s="107">
        <f aca="true" t="shared" si="24" ref="G95:V95">G50</f>
        <v>0.351</v>
      </c>
      <c r="H95" s="107">
        <f t="shared" si="24"/>
        <v>0.337</v>
      </c>
      <c r="I95" s="107">
        <f t="shared" si="24"/>
        <v>0.325</v>
      </c>
      <c r="J95" s="107">
        <f t="shared" si="24"/>
        <v>0.319</v>
      </c>
      <c r="K95" s="107">
        <f t="shared" si="24"/>
        <v>0.322</v>
      </c>
      <c r="L95" s="107">
        <f t="shared" si="24"/>
        <v>0.32</v>
      </c>
      <c r="M95" s="107">
        <f t="shared" si="24"/>
        <v>0.327</v>
      </c>
      <c r="N95" s="107">
        <f t="shared" si="24"/>
        <v>0.319</v>
      </c>
      <c r="O95" s="107">
        <f t="shared" si="24"/>
        <v>0.319</v>
      </c>
      <c r="P95" s="107">
        <f t="shared" si="24"/>
        <v>0.31</v>
      </c>
      <c r="Q95" s="107">
        <f t="shared" si="24"/>
        <v>0.372</v>
      </c>
      <c r="R95" s="107">
        <f t="shared" si="24"/>
        <v>0.388</v>
      </c>
      <c r="S95" s="107">
        <f t="shared" si="24"/>
        <v>0.418</v>
      </c>
      <c r="T95" s="107">
        <f t="shared" si="24"/>
        <v>0.483</v>
      </c>
      <c r="U95" s="107">
        <f t="shared" si="24"/>
        <v>0.427</v>
      </c>
      <c r="V95" s="107">
        <f t="shared" si="24"/>
        <v>0.426</v>
      </c>
      <c r="W95" s="107">
        <f aca="true" t="shared" si="25" ref="W95:X95">W50</f>
        <v>0.464</v>
      </c>
      <c r="X95" s="107">
        <f t="shared" si="25"/>
        <v>0.474</v>
      </c>
      <c r="Y95" s="107">
        <f aca="true" t="shared" si="26" ref="Y95:Z95">Y50</f>
        <v>0.49</v>
      </c>
      <c r="Z95" s="107">
        <f t="shared" si="26"/>
        <v>0.491</v>
      </c>
      <c r="AA95" s="14"/>
    </row>
    <row r="96" spans="2:27" ht="15">
      <c r="B96" s="13"/>
      <c r="C96" s="97" t="s">
        <v>80</v>
      </c>
      <c r="D96" s="97" t="s">
        <v>1</v>
      </c>
      <c r="E96" s="97" t="s">
        <v>85</v>
      </c>
      <c r="F96" s="98" t="s">
        <v>33</v>
      </c>
      <c r="G96" s="107">
        <f aca="true" t="shared" si="27" ref="G96:V96">G51</f>
        <v>7.356</v>
      </c>
      <c r="H96" s="107">
        <f t="shared" si="27"/>
        <v>7.492</v>
      </c>
      <c r="I96" s="107">
        <f t="shared" si="27"/>
        <v>7.532</v>
      </c>
      <c r="J96" s="107">
        <f t="shared" si="27"/>
        <v>7.739</v>
      </c>
      <c r="K96" s="107">
        <f t="shared" si="27"/>
        <v>7.917</v>
      </c>
      <c r="L96" s="107">
        <f t="shared" si="27"/>
        <v>8.216</v>
      </c>
      <c r="M96" s="107">
        <f t="shared" si="27"/>
        <v>8.731</v>
      </c>
      <c r="N96" s="107">
        <f t="shared" si="27"/>
        <v>9.229</v>
      </c>
      <c r="O96" s="107">
        <f t="shared" si="27"/>
        <v>8.884</v>
      </c>
      <c r="P96" s="107">
        <f t="shared" si="27"/>
        <v>7.5</v>
      </c>
      <c r="Q96" s="107">
        <f t="shared" si="27"/>
        <v>6.958</v>
      </c>
      <c r="R96" s="107">
        <f t="shared" si="27"/>
        <v>7.504</v>
      </c>
      <c r="S96" s="107">
        <f t="shared" si="27"/>
        <v>6.657</v>
      </c>
      <c r="T96" s="107">
        <f t="shared" si="27"/>
        <v>6.275</v>
      </c>
      <c r="U96" s="107">
        <f t="shared" si="27"/>
        <v>6.284</v>
      </c>
      <c r="V96" s="107">
        <f t="shared" si="27"/>
        <v>6.412</v>
      </c>
      <c r="W96" s="107">
        <f aca="true" t="shared" si="28" ref="W96:X96">W51</f>
        <v>6.385</v>
      </c>
      <c r="X96" s="107">
        <f t="shared" si="28"/>
        <v>6.668</v>
      </c>
      <c r="Y96" s="107">
        <f aca="true" t="shared" si="29" ref="Y96:Z96">Y51</f>
        <v>6.883</v>
      </c>
      <c r="Z96" s="107">
        <f t="shared" si="29"/>
        <v>7.049</v>
      </c>
      <c r="AA96" s="14"/>
    </row>
    <row r="97" spans="2:27" ht="15">
      <c r="B97" s="13"/>
      <c r="C97" s="97" t="s">
        <v>80</v>
      </c>
      <c r="D97" s="97" t="s">
        <v>1</v>
      </c>
      <c r="E97" s="97" t="s">
        <v>86</v>
      </c>
      <c r="F97" s="98" t="s">
        <v>34</v>
      </c>
      <c r="G97" s="107">
        <f aca="true" t="shared" si="30" ref="G97:V97">G52</f>
        <v>1.821</v>
      </c>
      <c r="H97" s="107">
        <f t="shared" si="30"/>
        <v>1.839</v>
      </c>
      <c r="I97" s="107">
        <f t="shared" si="30"/>
        <v>1.829</v>
      </c>
      <c r="J97" s="107">
        <f t="shared" si="30"/>
        <v>1.825</v>
      </c>
      <c r="K97" s="107">
        <f t="shared" si="30"/>
        <v>1.816</v>
      </c>
      <c r="L97" s="107">
        <f t="shared" si="30"/>
        <v>1.77</v>
      </c>
      <c r="M97" s="107">
        <f t="shared" si="30"/>
        <v>1.739</v>
      </c>
      <c r="N97" s="107">
        <f t="shared" si="30"/>
        <v>1.693</v>
      </c>
      <c r="O97" s="107">
        <f t="shared" si="30"/>
        <v>1.646</v>
      </c>
      <c r="P97" s="107">
        <f t="shared" si="30"/>
        <v>1.557</v>
      </c>
      <c r="Q97" s="107">
        <f t="shared" si="30"/>
        <v>1.553</v>
      </c>
      <c r="R97" s="107">
        <f t="shared" si="30"/>
        <v>1.597</v>
      </c>
      <c r="S97" s="107">
        <f t="shared" si="30"/>
        <v>1.586</v>
      </c>
      <c r="T97" s="107">
        <f t="shared" si="30"/>
        <v>1.526</v>
      </c>
      <c r="U97" s="107">
        <f t="shared" si="30"/>
        <v>1.444</v>
      </c>
      <c r="V97" s="107">
        <f t="shared" si="30"/>
        <v>1.388</v>
      </c>
      <c r="W97" s="107">
        <f aca="true" t="shared" si="31" ref="W97:X97">W52</f>
        <v>1.289</v>
      </c>
      <c r="X97" s="107">
        <f t="shared" si="31"/>
        <v>1.289</v>
      </c>
      <c r="Y97" s="107">
        <f aca="true" t="shared" si="32" ref="Y97:Z97">Y52</f>
        <v>1.258</v>
      </c>
      <c r="Z97" s="107">
        <f t="shared" si="32"/>
        <v>1.07</v>
      </c>
      <c r="AA97" s="14"/>
    </row>
    <row r="98" spans="2:27" ht="15">
      <c r="B98" s="13"/>
      <c r="C98" s="97" t="s">
        <v>91</v>
      </c>
      <c r="D98" s="97" t="s">
        <v>6</v>
      </c>
      <c r="E98" s="97" t="s">
        <v>82</v>
      </c>
      <c r="F98" s="108" t="s">
        <v>14</v>
      </c>
      <c r="G98" s="107">
        <f aca="true" t="shared" si="33" ref="G98:V98">G53</f>
        <v>7.434</v>
      </c>
      <c r="H98" s="107">
        <f t="shared" si="33"/>
        <v>7.788</v>
      </c>
      <c r="I98" s="107">
        <f t="shared" si="33"/>
        <v>7.697</v>
      </c>
      <c r="J98" s="107">
        <f t="shared" si="33"/>
        <v>7.77</v>
      </c>
      <c r="K98" s="107">
        <f t="shared" si="33"/>
        <v>7.851</v>
      </c>
      <c r="L98" s="107">
        <f t="shared" si="33"/>
        <v>7.958</v>
      </c>
      <c r="M98" s="107">
        <f t="shared" si="33"/>
        <v>8.532</v>
      </c>
      <c r="N98" s="107">
        <f t="shared" si="33"/>
        <v>8.748</v>
      </c>
      <c r="O98" s="107">
        <f t="shared" si="33"/>
        <v>8.806</v>
      </c>
      <c r="P98" s="107">
        <f t="shared" si="33"/>
        <v>7.29</v>
      </c>
      <c r="Q98" s="107">
        <f t="shared" si="33"/>
        <v>7.228</v>
      </c>
      <c r="R98" s="107">
        <f t="shared" si="33"/>
        <v>7.258</v>
      </c>
      <c r="S98" s="107">
        <f t="shared" si="33"/>
        <v>6.92</v>
      </c>
      <c r="T98" s="107">
        <f t="shared" si="33"/>
        <v>6.864</v>
      </c>
      <c r="U98" s="107">
        <f t="shared" si="33"/>
        <v>6.878</v>
      </c>
      <c r="V98" s="107">
        <f t="shared" si="33"/>
        <v>7.002</v>
      </c>
      <c r="W98" s="107">
        <f aca="true" t="shared" si="34" ref="W98:X98">W53</f>
        <v>6.88</v>
      </c>
      <c r="X98" s="107">
        <f t="shared" si="34"/>
        <v>7.618</v>
      </c>
      <c r="Y98" s="107">
        <f aca="true" t="shared" si="35" ref="Y98:Z98">Y53</f>
        <v>7.786</v>
      </c>
      <c r="Z98" s="107">
        <f t="shared" si="35"/>
        <v>7.651</v>
      </c>
      <c r="AA98" s="14"/>
    </row>
    <row r="99" spans="2:27" ht="15">
      <c r="B99" s="13"/>
      <c r="C99" s="97" t="s">
        <v>91</v>
      </c>
      <c r="D99" s="97" t="s">
        <v>6</v>
      </c>
      <c r="E99" s="97" t="s">
        <v>83</v>
      </c>
      <c r="F99" s="98" t="s">
        <v>31</v>
      </c>
      <c r="G99" s="107">
        <f aca="true" t="shared" si="36" ref="G99:V99">G54</f>
        <v>0.555</v>
      </c>
      <c r="H99" s="107">
        <f t="shared" si="36"/>
        <v>0.552</v>
      </c>
      <c r="I99" s="107">
        <f t="shared" si="36"/>
        <v>0.546</v>
      </c>
      <c r="J99" s="107">
        <f t="shared" si="36"/>
        <v>0.516</v>
      </c>
      <c r="K99" s="107">
        <f t="shared" si="36"/>
        <v>0.5</v>
      </c>
      <c r="L99" s="107">
        <f t="shared" si="36"/>
        <v>0.494</v>
      </c>
      <c r="M99" s="107">
        <f t="shared" si="36"/>
        <v>0.508</v>
      </c>
      <c r="N99" s="107">
        <f t="shared" si="36"/>
        <v>0.576</v>
      </c>
      <c r="O99" s="107">
        <f t="shared" si="36"/>
        <v>0.57</v>
      </c>
      <c r="P99" s="107">
        <f t="shared" si="36"/>
        <v>0.471</v>
      </c>
      <c r="Q99" s="107">
        <f t="shared" si="36"/>
        <v>0.448</v>
      </c>
      <c r="R99" s="107">
        <f t="shared" si="36"/>
        <v>0.495</v>
      </c>
      <c r="S99" s="107">
        <f t="shared" si="36"/>
        <v>0.478</v>
      </c>
      <c r="T99" s="107">
        <f t="shared" si="36"/>
        <v>0.477</v>
      </c>
      <c r="U99" s="107">
        <f t="shared" si="36"/>
        <v>0.502</v>
      </c>
      <c r="V99" s="107">
        <f t="shared" si="36"/>
        <v>0.488</v>
      </c>
      <c r="W99" s="107">
        <f aca="true" t="shared" si="37" ref="W99:X99">W54</f>
        <v>0.52</v>
      </c>
      <c r="X99" s="107">
        <f t="shared" si="37"/>
        <v>0.552</v>
      </c>
      <c r="Y99" s="107">
        <f aca="true" t="shared" si="38" ref="Y99:Z99">Y54</f>
        <v>0.578</v>
      </c>
      <c r="Z99" s="107">
        <f t="shared" si="38"/>
        <v>0.586</v>
      </c>
      <c r="AA99" s="14"/>
    </row>
    <row r="100" spans="2:27" ht="15">
      <c r="B100" s="13"/>
      <c r="C100" s="97" t="s">
        <v>91</v>
      </c>
      <c r="D100" s="97" t="s">
        <v>6</v>
      </c>
      <c r="E100" s="97" t="s">
        <v>84</v>
      </c>
      <c r="F100" s="98" t="s">
        <v>32</v>
      </c>
      <c r="G100" s="107">
        <f aca="true" t="shared" si="39" ref="G100:V100">G55</f>
        <v>2.327</v>
      </c>
      <c r="H100" s="107">
        <f t="shared" si="39"/>
        <v>2.473</v>
      </c>
      <c r="I100" s="107">
        <f t="shared" si="39"/>
        <v>2.492</v>
      </c>
      <c r="J100" s="107">
        <f t="shared" si="39"/>
        <v>2.489</v>
      </c>
      <c r="K100" s="107">
        <f t="shared" si="39"/>
        <v>2.516</v>
      </c>
      <c r="L100" s="107">
        <f t="shared" si="39"/>
        <v>2.495</v>
      </c>
      <c r="M100" s="107">
        <f t="shared" si="39"/>
        <v>2.792</v>
      </c>
      <c r="N100" s="107">
        <f t="shared" si="39"/>
        <v>2.834</v>
      </c>
      <c r="O100" s="107">
        <f t="shared" si="39"/>
        <v>2.874</v>
      </c>
      <c r="P100" s="107">
        <f t="shared" si="39"/>
        <v>2.026</v>
      </c>
      <c r="Q100" s="107">
        <f t="shared" si="39"/>
        <v>2.314</v>
      </c>
      <c r="R100" s="107">
        <f t="shared" si="39"/>
        <v>2.332</v>
      </c>
      <c r="S100" s="107">
        <f t="shared" si="39"/>
        <v>2.12</v>
      </c>
      <c r="T100" s="107">
        <f t="shared" si="39"/>
        <v>2.143</v>
      </c>
      <c r="U100" s="107">
        <f t="shared" si="39"/>
        <v>2.244</v>
      </c>
      <c r="V100" s="107">
        <f t="shared" si="39"/>
        <v>2.235</v>
      </c>
      <c r="W100" s="107">
        <f aca="true" t="shared" si="40" ref="W100:X100">W55</f>
        <v>2.23</v>
      </c>
      <c r="X100" s="107">
        <f t="shared" si="40"/>
        <v>2.328</v>
      </c>
      <c r="Y100" s="107">
        <f aca="true" t="shared" si="41" ref="Y100:Z100">Y55</f>
        <v>2.4</v>
      </c>
      <c r="Z100" s="107">
        <f t="shared" si="41"/>
        <v>2.205</v>
      </c>
      <c r="AA100" s="14"/>
    </row>
    <row r="101" spans="2:27" ht="15">
      <c r="B101" s="13"/>
      <c r="C101" s="97" t="s">
        <v>91</v>
      </c>
      <c r="D101" s="97" t="s">
        <v>6</v>
      </c>
      <c r="E101" s="97" t="s">
        <v>85</v>
      </c>
      <c r="F101" s="98" t="s">
        <v>33</v>
      </c>
      <c r="G101" s="107">
        <f aca="true" t="shared" si="42" ref="G101:V101">G56</f>
        <v>0.981</v>
      </c>
      <c r="H101" s="107">
        <f t="shared" si="42"/>
        <v>1.055</v>
      </c>
      <c r="I101" s="107">
        <f t="shared" si="42"/>
        <v>1.036</v>
      </c>
      <c r="J101" s="107">
        <f t="shared" si="42"/>
        <v>1.043</v>
      </c>
      <c r="K101" s="107">
        <f t="shared" si="42"/>
        <v>0.981</v>
      </c>
      <c r="L101" s="107">
        <f t="shared" si="42"/>
        <v>1.014</v>
      </c>
      <c r="M101" s="107">
        <f t="shared" si="42"/>
        <v>1.135</v>
      </c>
      <c r="N101" s="107">
        <f t="shared" si="42"/>
        <v>1.242</v>
      </c>
      <c r="O101" s="107">
        <f t="shared" si="42"/>
        <v>1.197</v>
      </c>
      <c r="P101" s="107">
        <f t="shared" si="42"/>
        <v>1.151</v>
      </c>
      <c r="Q101" s="107">
        <f t="shared" si="42"/>
        <v>0.889</v>
      </c>
      <c r="R101" s="107">
        <f t="shared" si="42"/>
        <v>0.956</v>
      </c>
      <c r="S101" s="107">
        <f t="shared" si="42"/>
        <v>0.828</v>
      </c>
      <c r="T101" s="107">
        <f t="shared" si="42"/>
        <v>0.784</v>
      </c>
      <c r="U101" s="107">
        <f t="shared" si="42"/>
        <v>0.793</v>
      </c>
      <c r="V101" s="107">
        <f t="shared" si="42"/>
        <v>0.812</v>
      </c>
      <c r="W101" s="107">
        <f aca="true" t="shared" si="43" ref="W101:X101">W56</f>
        <v>0.798</v>
      </c>
      <c r="X101" s="107">
        <f t="shared" si="43"/>
        <v>1.115</v>
      </c>
      <c r="Y101" s="107">
        <f aca="true" t="shared" si="44" ref="Y101:Z101">Y56</f>
        <v>1.093</v>
      </c>
      <c r="Z101" s="107">
        <f t="shared" si="44"/>
        <v>1.147</v>
      </c>
      <c r="AA101" s="14"/>
    </row>
    <row r="102" spans="2:27" ht="15">
      <c r="B102" s="13"/>
      <c r="C102" s="97" t="s">
        <v>91</v>
      </c>
      <c r="D102" s="97" t="s">
        <v>6</v>
      </c>
      <c r="E102" s="97" t="s">
        <v>86</v>
      </c>
      <c r="F102" s="98" t="s">
        <v>34</v>
      </c>
      <c r="G102" s="107">
        <f aca="true" t="shared" si="45" ref="G102:V102">G57</f>
        <v>3.571</v>
      </c>
      <c r="H102" s="107">
        <f t="shared" si="45"/>
        <v>3.708</v>
      </c>
      <c r="I102" s="107">
        <f t="shared" si="45"/>
        <v>3.623</v>
      </c>
      <c r="J102" s="107">
        <f t="shared" si="45"/>
        <v>3.722</v>
      </c>
      <c r="K102" s="107">
        <f t="shared" si="45"/>
        <v>3.854</v>
      </c>
      <c r="L102" s="107">
        <f t="shared" si="45"/>
        <v>3.955</v>
      </c>
      <c r="M102" s="107">
        <f t="shared" si="45"/>
        <v>4.097</v>
      </c>
      <c r="N102" s="107">
        <f t="shared" si="45"/>
        <v>4.096</v>
      </c>
      <c r="O102" s="107">
        <f t="shared" si="45"/>
        <v>4.165</v>
      </c>
      <c r="P102" s="107">
        <f t="shared" si="45"/>
        <v>3.642</v>
      </c>
      <c r="Q102" s="107">
        <f t="shared" si="45"/>
        <v>3.577</v>
      </c>
      <c r="R102" s="107">
        <f t="shared" si="45"/>
        <v>3.475</v>
      </c>
      <c r="S102" s="107">
        <f t="shared" si="45"/>
        <v>3.493</v>
      </c>
      <c r="T102" s="107">
        <f t="shared" si="45"/>
        <v>3.46</v>
      </c>
      <c r="U102" s="107">
        <f t="shared" si="45"/>
        <v>3.339</v>
      </c>
      <c r="V102" s="107">
        <f t="shared" si="45"/>
        <v>3.467</v>
      </c>
      <c r="W102" s="107">
        <f aca="true" t="shared" si="46" ref="W102:X102">W57</f>
        <v>3.332</v>
      </c>
      <c r="X102" s="107">
        <f t="shared" si="46"/>
        <v>3.624</v>
      </c>
      <c r="Y102" s="107">
        <f aca="true" t="shared" si="47" ref="Y102:Z102">Y57</f>
        <v>3.715</v>
      </c>
      <c r="Z102" s="107">
        <f t="shared" si="47"/>
        <v>3.712</v>
      </c>
      <c r="AA102" s="14"/>
    </row>
    <row r="103" spans="2:27" ht="15">
      <c r="B103" s="13"/>
      <c r="C103" s="97" t="s">
        <v>92</v>
      </c>
      <c r="D103" s="97" t="s">
        <v>7</v>
      </c>
      <c r="E103" s="97" t="s">
        <v>82</v>
      </c>
      <c r="F103" s="108" t="s">
        <v>14</v>
      </c>
      <c r="G103" s="107">
        <f aca="true" t="shared" si="48" ref="G103:V103">G58</f>
        <v>4.2</v>
      </c>
      <c r="H103" s="107">
        <f t="shared" si="48"/>
        <v>4.298</v>
      </c>
      <c r="I103" s="107">
        <f t="shared" si="48"/>
        <v>4.294</v>
      </c>
      <c r="J103" s="107">
        <f t="shared" si="48"/>
        <v>4.237</v>
      </c>
      <c r="K103" s="107">
        <f t="shared" si="48"/>
        <v>4.294</v>
      </c>
      <c r="L103" s="107">
        <f t="shared" si="48"/>
        <v>4.322</v>
      </c>
      <c r="M103" s="107">
        <f t="shared" si="48"/>
        <v>4.606</v>
      </c>
      <c r="N103" s="107">
        <f t="shared" si="48"/>
        <v>4.977</v>
      </c>
      <c r="O103" s="107">
        <f t="shared" si="48"/>
        <v>5.158</v>
      </c>
      <c r="P103" s="107">
        <f t="shared" si="48"/>
        <v>4.524</v>
      </c>
      <c r="Q103" s="107">
        <f t="shared" si="48"/>
        <v>4.299</v>
      </c>
      <c r="R103" s="107">
        <f t="shared" si="48"/>
        <v>4.525</v>
      </c>
      <c r="S103" s="107">
        <f t="shared" si="48"/>
        <v>4.501</v>
      </c>
      <c r="T103" s="107">
        <f t="shared" si="48"/>
        <v>4.522</v>
      </c>
      <c r="U103" s="107">
        <f t="shared" si="48"/>
        <v>4.585</v>
      </c>
      <c r="V103" s="107">
        <f t="shared" si="48"/>
        <v>4.628</v>
      </c>
      <c r="W103" s="107">
        <f aca="true" t="shared" si="49" ref="W103:X103">W58</f>
        <v>4.544</v>
      </c>
      <c r="X103" s="107">
        <f t="shared" si="49"/>
        <v>5.179</v>
      </c>
      <c r="Y103" s="107">
        <f aca="true" t="shared" si="50" ref="Y103:Z103">Y58</f>
        <v>5.183</v>
      </c>
      <c r="Z103" s="107">
        <f t="shared" si="50"/>
        <v>5.11</v>
      </c>
      <c r="AA103" s="14"/>
    </row>
    <row r="104" spans="2:27" ht="15">
      <c r="B104" s="13"/>
      <c r="C104" s="97" t="s">
        <v>92</v>
      </c>
      <c r="D104" s="97" t="s">
        <v>7</v>
      </c>
      <c r="E104" s="97" t="s">
        <v>83</v>
      </c>
      <c r="F104" s="98" t="s">
        <v>31</v>
      </c>
      <c r="G104" s="107">
        <f aca="true" t="shared" si="51" ref="G104:V104">G59</f>
        <v>0.618</v>
      </c>
      <c r="H104" s="107">
        <f t="shared" si="51"/>
        <v>0.572</v>
      </c>
      <c r="I104" s="107">
        <f t="shared" si="51"/>
        <v>0.568</v>
      </c>
      <c r="J104" s="107">
        <f t="shared" si="51"/>
        <v>0.537</v>
      </c>
      <c r="K104" s="107">
        <f t="shared" si="51"/>
        <v>0.518</v>
      </c>
      <c r="L104" s="107">
        <f t="shared" si="51"/>
        <v>0.536</v>
      </c>
      <c r="M104" s="107">
        <f t="shared" si="51"/>
        <v>0.528</v>
      </c>
      <c r="N104" s="107">
        <f t="shared" si="51"/>
        <v>0.583</v>
      </c>
      <c r="O104" s="107">
        <f t="shared" si="51"/>
        <v>0.63</v>
      </c>
      <c r="P104" s="107">
        <f t="shared" si="51"/>
        <v>0.571</v>
      </c>
      <c r="Q104" s="107">
        <f t="shared" si="51"/>
        <v>0.528</v>
      </c>
      <c r="R104" s="107">
        <f t="shared" si="51"/>
        <v>0.598</v>
      </c>
      <c r="S104" s="107">
        <f t="shared" si="51"/>
        <v>0.587</v>
      </c>
      <c r="T104" s="107">
        <f t="shared" si="51"/>
        <v>0.627</v>
      </c>
      <c r="U104" s="107">
        <f t="shared" si="51"/>
        <v>0.649</v>
      </c>
      <c r="V104" s="107">
        <f t="shared" si="51"/>
        <v>0.641</v>
      </c>
      <c r="W104" s="107">
        <f aca="true" t="shared" si="52" ref="W104:X104">W59</f>
        <v>0.669</v>
      </c>
      <c r="X104" s="107">
        <f t="shared" si="52"/>
        <v>0.682</v>
      </c>
      <c r="Y104" s="107">
        <f aca="true" t="shared" si="53" ref="Y104:Z104">Y59</f>
        <v>0.668</v>
      </c>
      <c r="Z104" s="107">
        <f t="shared" si="53"/>
        <v>0.707</v>
      </c>
      <c r="AA104" s="14"/>
    </row>
    <row r="105" spans="2:27" ht="15">
      <c r="B105" s="13"/>
      <c r="C105" s="97" t="s">
        <v>92</v>
      </c>
      <c r="D105" s="97" t="s">
        <v>7</v>
      </c>
      <c r="E105" s="97" t="s">
        <v>84</v>
      </c>
      <c r="F105" s="98" t="s">
        <v>32</v>
      </c>
      <c r="G105" s="107">
        <f aca="true" t="shared" si="54" ref="G105:V105">G60</f>
        <v>1.029</v>
      </c>
      <c r="H105" s="107">
        <f t="shared" si="54"/>
        <v>1.063</v>
      </c>
      <c r="I105" s="107">
        <f t="shared" si="54"/>
        <v>1.032</v>
      </c>
      <c r="J105" s="107">
        <f t="shared" si="54"/>
        <v>1.008</v>
      </c>
      <c r="K105" s="107">
        <f t="shared" si="54"/>
        <v>1.113</v>
      </c>
      <c r="L105" s="107">
        <f t="shared" si="54"/>
        <v>1.065</v>
      </c>
      <c r="M105" s="107">
        <f t="shared" si="54"/>
        <v>1.224</v>
      </c>
      <c r="N105" s="107">
        <f t="shared" si="54"/>
        <v>1.299</v>
      </c>
      <c r="O105" s="107">
        <f t="shared" si="54"/>
        <v>1.419</v>
      </c>
      <c r="P105" s="107">
        <f t="shared" si="54"/>
        <v>1.076</v>
      </c>
      <c r="Q105" s="107">
        <f t="shared" si="54"/>
        <v>1.196</v>
      </c>
      <c r="R105" s="107">
        <f t="shared" si="54"/>
        <v>1.283</v>
      </c>
      <c r="S105" s="107">
        <f t="shared" si="54"/>
        <v>1.249</v>
      </c>
      <c r="T105" s="107">
        <f t="shared" si="54"/>
        <v>1.279</v>
      </c>
      <c r="U105" s="107">
        <f t="shared" si="54"/>
        <v>1.325</v>
      </c>
      <c r="V105" s="107">
        <f t="shared" si="54"/>
        <v>1.271</v>
      </c>
      <c r="W105" s="107">
        <f aca="true" t="shared" si="55" ref="W105:X105">W60</f>
        <v>1.29</v>
      </c>
      <c r="X105" s="107">
        <f t="shared" si="55"/>
        <v>1.343</v>
      </c>
      <c r="Y105" s="107">
        <f aca="true" t="shared" si="56" ref="Y105:Z105">Y60</f>
        <v>1.424</v>
      </c>
      <c r="Z105" s="107">
        <f t="shared" si="56"/>
        <v>1.346</v>
      </c>
      <c r="AA105" s="14"/>
    </row>
    <row r="106" spans="2:27" ht="15">
      <c r="B106" s="13"/>
      <c r="C106" s="97" t="s">
        <v>92</v>
      </c>
      <c r="D106" s="97" t="s">
        <v>7</v>
      </c>
      <c r="E106" s="97" t="s">
        <v>85</v>
      </c>
      <c r="F106" s="98" t="s">
        <v>33</v>
      </c>
      <c r="G106" s="107">
        <f aca="true" t="shared" si="57" ref="G106:V106">G61</f>
        <v>0.896</v>
      </c>
      <c r="H106" s="107">
        <f t="shared" si="57"/>
        <v>0.976</v>
      </c>
      <c r="I106" s="107">
        <f t="shared" si="57"/>
        <v>0.999</v>
      </c>
      <c r="J106" s="107">
        <f t="shared" si="57"/>
        <v>0.964</v>
      </c>
      <c r="K106" s="107">
        <f t="shared" si="57"/>
        <v>0.939</v>
      </c>
      <c r="L106" s="107">
        <f t="shared" si="57"/>
        <v>0.974</v>
      </c>
      <c r="M106" s="107">
        <f t="shared" si="57"/>
        <v>1.063</v>
      </c>
      <c r="N106" s="107">
        <f t="shared" si="57"/>
        <v>1.192</v>
      </c>
      <c r="O106" s="107">
        <f t="shared" si="57"/>
        <v>1.195</v>
      </c>
      <c r="P106" s="107">
        <f t="shared" si="57"/>
        <v>1.236</v>
      </c>
      <c r="Q106" s="107">
        <f t="shared" si="57"/>
        <v>0.949</v>
      </c>
      <c r="R106" s="107">
        <f t="shared" si="57"/>
        <v>1.004</v>
      </c>
      <c r="S106" s="107">
        <f t="shared" si="57"/>
        <v>0.918</v>
      </c>
      <c r="T106" s="107">
        <f t="shared" si="57"/>
        <v>0.913</v>
      </c>
      <c r="U106" s="107">
        <f t="shared" si="57"/>
        <v>0.936</v>
      </c>
      <c r="V106" s="107">
        <f t="shared" si="57"/>
        <v>0.995</v>
      </c>
      <c r="W106" s="107">
        <f aca="true" t="shared" si="58" ref="W106:X106">W61</f>
        <v>0.941</v>
      </c>
      <c r="X106" s="107">
        <f t="shared" si="58"/>
        <v>1.377</v>
      </c>
      <c r="Y106" s="107">
        <f aca="true" t="shared" si="59" ref="Y106:Z106">Y61</f>
        <v>1.285</v>
      </c>
      <c r="Z106" s="107">
        <f t="shared" si="59"/>
        <v>1.341</v>
      </c>
      <c r="AA106" s="14"/>
    </row>
    <row r="107" spans="2:27" ht="15">
      <c r="B107" s="13"/>
      <c r="C107" s="97" t="s">
        <v>92</v>
      </c>
      <c r="D107" s="97" t="s">
        <v>7</v>
      </c>
      <c r="E107" s="97" t="s">
        <v>86</v>
      </c>
      <c r="F107" s="98" t="s">
        <v>34</v>
      </c>
      <c r="G107" s="107">
        <f aca="true" t="shared" si="60" ref="G107:V107">G62</f>
        <v>1.658</v>
      </c>
      <c r="H107" s="107">
        <f t="shared" si="60"/>
        <v>1.687</v>
      </c>
      <c r="I107" s="107">
        <f t="shared" si="60"/>
        <v>1.695</v>
      </c>
      <c r="J107" s="107">
        <f t="shared" si="60"/>
        <v>1.729</v>
      </c>
      <c r="K107" s="107">
        <f t="shared" si="60"/>
        <v>1.722</v>
      </c>
      <c r="L107" s="107">
        <f t="shared" si="60"/>
        <v>1.747</v>
      </c>
      <c r="M107" s="107">
        <f t="shared" si="60"/>
        <v>1.791</v>
      </c>
      <c r="N107" s="107">
        <f t="shared" si="60"/>
        <v>1.903</v>
      </c>
      <c r="O107" s="107">
        <f t="shared" si="60"/>
        <v>1.914</v>
      </c>
      <c r="P107" s="107">
        <f t="shared" si="60"/>
        <v>1.641</v>
      </c>
      <c r="Q107" s="107">
        <f t="shared" si="60"/>
        <v>1.625</v>
      </c>
      <c r="R107" s="107">
        <f t="shared" si="60"/>
        <v>1.641</v>
      </c>
      <c r="S107" s="107">
        <f t="shared" si="60"/>
        <v>1.747</v>
      </c>
      <c r="T107" s="107">
        <f t="shared" si="60"/>
        <v>1.702</v>
      </c>
      <c r="U107" s="107">
        <f t="shared" si="60"/>
        <v>1.676</v>
      </c>
      <c r="V107" s="107">
        <f t="shared" si="60"/>
        <v>1.721</v>
      </c>
      <c r="W107" s="107">
        <f aca="true" t="shared" si="61" ref="W107:X107">W62</f>
        <v>1.644</v>
      </c>
      <c r="X107" s="107">
        <f t="shared" si="61"/>
        <v>1.777</v>
      </c>
      <c r="Y107" s="107">
        <f aca="true" t="shared" si="62" ref="Y107:Z107">Y62</f>
        <v>1.807</v>
      </c>
      <c r="Z107" s="107">
        <f t="shared" si="62"/>
        <v>1.716</v>
      </c>
      <c r="AA107" s="14"/>
    </row>
    <row r="108" spans="2:27" ht="15">
      <c r="B108" s="13"/>
      <c r="C108" s="97" t="s">
        <v>93</v>
      </c>
      <c r="D108" s="97" t="s">
        <v>3</v>
      </c>
      <c r="E108" s="97" t="s">
        <v>82</v>
      </c>
      <c r="F108" s="108" t="s">
        <v>14</v>
      </c>
      <c r="G108" s="107">
        <f aca="true" t="shared" si="63" ref="G108:V108">G63</f>
        <v>16.182</v>
      </c>
      <c r="H108" s="107">
        <f t="shared" si="63"/>
        <v>16.527</v>
      </c>
      <c r="I108" s="107">
        <f t="shared" si="63"/>
        <v>16.452</v>
      </c>
      <c r="J108" s="107">
        <f t="shared" si="63"/>
        <v>16.52</v>
      </c>
      <c r="K108" s="107">
        <f t="shared" si="63"/>
        <v>17.152</v>
      </c>
      <c r="L108" s="107">
        <f t="shared" si="63"/>
        <v>17.32</v>
      </c>
      <c r="M108" s="107">
        <f t="shared" si="63"/>
        <v>17.918</v>
      </c>
      <c r="N108" s="107">
        <f t="shared" si="63"/>
        <v>18.306</v>
      </c>
      <c r="O108" s="107">
        <f t="shared" si="63"/>
        <v>17.88</v>
      </c>
      <c r="P108" s="107">
        <f t="shared" si="63"/>
        <v>15.442</v>
      </c>
      <c r="Q108" s="107">
        <f t="shared" si="63"/>
        <v>15.035</v>
      </c>
      <c r="R108" s="107">
        <f t="shared" si="63"/>
        <v>15.604</v>
      </c>
      <c r="S108" s="107">
        <f t="shared" si="63"/>
        <v>14.323</v>
      </c>
      <c r="T108" s="107">
        <f t="shared" si="63"/>
        <v>13.964</v>
      </c>
      <c r="U108" s="107">
        <f t="shared" si="63"/>
        <v>14.003</v>
      </c>
      <c r="V108" s="107">
        <f t="shared" si="63"/>
        <v>13.907</v>
      </c>
      <c r="W108" s="107">
        <f aca="true" t="shared" si="64" ref="W108:X108">W63</f>
        <v>13.833</v>
      </c>
      <c r="X108" s="107">
        <f t="shared" si="64"/>
        <v>14.321</v>
      </c>
      <c r="Y108" s="107">
        <f aca="true" t="shared" si="65" ref="Y108:Z108">Y63</f>
        <v>14.549</v>
      </c>
      <c r="Z108" s="107">
        <f t="shared" si="65"/>
        <v>14.458</v>
      </c>
      <c r="AA108" s="14"/>
    </row>
    <row r="109" spans="2:27" ht="15">
      <c r="B109" s="13"/>
      <c r="C109" s="97" t="s">
        <v>93</v>
      </c>
      <c r="D109" s="97" t="s">
        <v>3</v>
      </c>
      <c r="E109" s="97" t="s">
        <v>83</v>
      </c>
      <c r="F109" s="98" t="s">
        <v>31</v>
      </c>
      <c r="G109" s="107">
        <f aca="true" t="shared" si="66" ref="G109:V109">G64</f>
        <v>3.359</v>
      </c>
      <c r="H109" s="107">
        <f t="shared" si="66"/>
        <v>3.349</v>
      </c>
      <c r="I109" s="107">
        <f t="shared" si="66"/>
        <v>3.342</v>
      </c>
      <c r="J109" s="107">
        <f t="shared" si="66"/>
        <v>3.083</v>
      </c>
      <c r="K109" s="107">
        <f t="shared" si="66"/>
        <v>3.52</v>
      </c>
      <c r="L109" s="107">
        <f t="shared" si="66"/>
        <v>3.336</v>
      </c>
      <c r="M109" s="107">
        <f t="shared" si="66"/>
        <v>3.175</v>
      </c>
      <c r="N109" s="107">
        <f t="shared" si="66"/>
        <v>3.288</v>
      </c>
      <c r="O109" s="107">
        <f t="shared" si="66"/>
        <v>3.322</v>
      </c>
      <c r="P109" s="107">
        <f t="shared" si="66"/>
        <v>3.209</v>
      </c>
      <c r="Q109" s="107">
        <f t="shared" si="66"/>
        <v>3.142</v>
      </c>
      <c r="R109" s="107">
        <f t="shared" si="66"/>
        <v>3.279</v>
      </c>
      <c r="S109" s="107">
        <f t="shared" si="66"/>
        <v>3.135</v>
      </c>
      <c r="T109" s="107">
        <f t="shared" si="66"/>
        <v>3.188</v>
      </c>
      <c r="U109" s="107">
        <f t="shared" si="66"/>
        <v>3.408</v>
      </c>
      <c r="V109" s="107">
        <f t="shared" si="66"/>
        <v>3.154</v>
      </c>
      <c r="W109" s="107">
        <f aca="true" t="shared" si="67" ref="W109:X109">W64</f>
        <v>3.21</v>
      </c>
      <c r="X109" s="107">
        <f t="shared" si="67"/>
        <v>3.32</v>
      </c>
      <c r="Y109" s="107">
        <f aca="true" t="shared" si="68" ref="Y109:Z109">Y64</f>
        <v>3.225</v>
      </c>
      <c r="Z109" s="107">
        <f t="shared" si="68"/>
        <v>3.186</v>
      </c>
      <c r="AA109" s="14"/>
    </row>
    <row r="110" spans="2:27" ht="15">
      <c r="B110" s="13"/>
      <c r="C110" s="97" t="s">
        <v>93</v>
      </c>
      <c r="D110" s="97" t="s">
        <v>3</v>
      </c>
      <c r="E110" s="97" t="s">
        <v>84</v>
      </c>
      <c r="F110" s="98" t="s">
        <v>32</v>
      </c>
      <c r="G110" s="107">
        <f aca="true" t="shared" si="69" ref="G110:V110">G65</f>
        <v>1.648</v>
      </c>
      <c r="H110" s="107">
        <f t="shared" si="69"/>
        <v>1.747</v>
      </c>
      <c r="I110" s="107">
        <f t="shared" si="69"/>
        <v>1.785</v>
      </c>
      <c r="J110" s="107">
        <f t="shared" si="69"/>
        <v>1.8</v>
      </c>
      <c r="K110" s="107">
        <f t="shared" si="69"/>
        <v>1.725</v>
      </c>
      <c r="L110" s="107">
        <f t="shared" si="69"/>
        <v>1.75</v>
      </c>
      <c r="M110" s="107">
        <f t="shared" si="69"/>
        <v>1.895</v>
      </c>
      <c r="N110" s="107">
        <f t="shared" si="69"/>
        <v>1.854</v>
      </c>
      <c r="O110" s="107">
        <f t="shared" si="69"/>
        <v>1.774</v>
      </c>
      <c r="P110" s="107">
        <f t="shared" si="69"/>
        <v>1.26</v>
      </c>
      <c r="Q110" s="107">
        <f t="shared" si="69"/>
        <v>1.49</v>
      </c>
      <c r="R110" s="107">
        <f t="shared" si="69"/>
        <v>1.437</v>
      </c>
      <c r="S110" s="107">
        <f t="shared" si="69"/>
        <v>1.29</v>
      </c>
      <c r="T110" s="107">
        <f t="shared" si="69"/>
        <v>1.347</v>
      </c>
      <c r="U110" s="107">
        <f t="shared" si="69"/>
        <v>1.346</v>
      </c>
      <c r="V110" s="107">
        <f t="shared" si="69"/>
        <v>1.39</v>
      </c>
      <c r="W110" s="107">
        <f aca="true" t="shared" si="70" ref="W110:X110">W65</f>
        <v>1.404</v>
      </c>
      <c r="X110" s="107">
        <f t="shared" si="70"/>
        <v>1.459</v>
      </c>
      <c r="Y110" s="107">
        <f aca="true" t="shared" si="71" ref="Y110:Z110">Y65</f>
        <v>1.466</v>
      </c>
      <c r="Z110" s="107">
        <f t="shared" si="71"/>
        <v>1.351</v>
      </c>
      <c r="AA110" s="14"/>
    </row>
    <row r="111" spans="2:27" ht="15">
      <c r="B111" s="13"/>
      <c r="C111" s="97" t="s">
        <v>93</v>
      </c>
      <c r="D111" s="97" t="s">
        <v>3</v>
      </c>
      <c r="E111" s="97" t="s">
        <v>85</v>
      </c>
      <c r="F111" s="98" t="s">
        <v>33</v>
      </c>
      <c r="G111" s="107">
        <f aca="true" t="shared" si="72" ref="G111:V111">G66</f>
        <v>7.441</v>
      </c>
      <c r="H111" s="107">
        <f t="shared" si="72"/>
        <v>7.571</v>
      </c>
      <c r="I111" s="107">
        <f t="shared" si="72"/>
        <v>7.569</v>
      </c>
      <c r="J111" s="107">
        <f t="shared" si="72"/>
        <v>7.819</v>
      </c>
      <c r="K111" s="107">
        <f t="shared" si="72"/>
        <v>7.959</v>
      </c>
      <c r="L111" s="107">
        <f t="shared" si="72"/>
        <v>8.256</v>
      </c>
      <c r="M111" s="107">
        <f t="shared" si="72"/>
        <v>8.803</v>
      </c>
      <c r="N111" s="107">
        <f t="shared" si="72"/>
        <v>9.278</v>
      </c>
      <c r="O111" s="107">
        <f t="shared" si="72"/>
        <v>8.886</v>
      </c>
      <c r="P111" s="107">
        <f t="shared" si="72"/>
        <v>7.415</v>
      </c>
      <c r="Q111" s="107">
        <f t="shared" si="72"/>
        <v>6.898</v>
      </c>
      <c r="R111" s="107">
        <f t="shared" si="72"/>
        <v>7.456</v>
      </c>
      <c r="S111" s="107">
        <f t="shared" si="72"/>
        <v>6.566</v>
      </c>
      <c r="T111" s="107">
        <f t="shared" si="72"/>
        <v>6.145</v>
      </c>
      <c r="U111" s="107">
        <f t="shared" si="72"/>
        <v>6.142</v>
      </c>
      <c r="V111" s="107">
        <f t="shared" si="72"/>
        <v>6.228</v>
      </c>
      <c r="W111" s="107">
        <f aca="true" t="shared" si="73" ref="W111:X111">W66</f>
        <v>6.241</v>
      </c>
      <c r="X111" s="107">
        <f t="shared" si="73"/>
        <v>6.406</v>
      </c>
      <c r="Y111" s="107">
        <f aca="true" t="shared" si="74" ref="Y111:Z111">Y66</f>
        <v>6.691</v>
      </c>
      <c r="Z111" s="107">
        <f t="shared" si="74"/>
        <v>6.856</v>
      </c>
      <c r="AA111" s="14"/>
    </row>
    <row r="112" spans="2:27" ht="15">
      <c r="B112" s="13"/>
      <c r="C112" s="97" t="s">
        <v>93</v>
      </c>
      <c r="D112" s="97" t="s">
        <v>3</v>
      </c>
      <c r="E112" s="97" t="s">
        <v>86</v>
      </c>
      <c r="F112" s="98" t="s">
        <v>34</v>
      </c>
      <c r="G112" s="107">
        <f aca="true" t="shared" si="75" ref="G112:V112">G67</f>
        <v>3.734</v>
      </c>
      <c r="H112" s="107">
        <f t="shared" si="75"/>
        <v>3.86</v>
      </c>
      <c r="I112" s="107">
        <f t="shared" si="75"/>
        <v>3.757</v>
      </c>
      <c r="J112" s="107">
        <f t="shared" si="75"/>
        <v>3.818</v>
      </c>
      <c r="K112" s="107">
        <f t="shared" si="75"/>
        <v>3.948</v>
      </c>
      <c r="L112" s="107">
        <f t="shared" si="75"/>
        <v>3.978</v>
      </c>
      <c r="M112" s="107">
        <f t="shared" si="75"/>
        <v>4.046</v>
      </c>
      <c r="N112" s="107">
        <f t="shared" si="75"/>
        <v>3.886</v>
      </c>
      <c r="O112" s="107">
        <f t="shared" si="75"/>
        <v>3.898</v>
      </c>
      <c r="P112" s="107">
        <f t="shared" si="75"/>
        <v>3.559</v>
      </c>
      <c r="Q112" s="107">
        <f t="shared" si="75"/>
        <v>3.505</v>
      </c>
      <c r="R112" s="107">
        <f t="shared" si="75"/>
        <v>3.432</v>
      </c>
      <c r="S112" s="107">
        <f t="shared" si="75"/>
        <v>3.332</v>
      </c>
      <c r="T112" s="107">
        <f t="shared" si="75"/>
        <v>3.284</v>
      </c>
      <c r="U112" s="107">
        <f t="shared" si="75"/>
        <v>3.107</v>
      </c>
      <c r="V112" s="107">
        <f t="shared" si="75"/>
        <v>3.134</v>
      </c>
      <c r="W112" s="107">
        <f aca="true" t="shared" si="76" ref="W112:X112">W67</f>
        <v>2.978</v>
      </c>
      <c r="X112" s="107">
        <f t="shared" si="76"/>
        <v>3.136</v>
      </c>
      <c r="Y112" s="107">
        <f aca="true" t="shared" si="77" ref="Y112:Z112">Y67</f>
        <v>3.166</v>
      </c>
      <c r="Z112" s="107">
        <f t="shared" si="77"/>
        <v>3.066</v>
      </c>
      <c r="AA112" s="14"/>
    </row>
    <row r="113" spans="2:27" ht="15">
      <c r="B113" s="13"/>
      <c r="C113" s="97" t="s">
        <v>94</v>
      </c>
      <c r="D113" s="97" t="s">
        <v>2</v>
      </c>
      <c r="E113" s="97" t="s">
        <v>82</v>
      </c>
      <c r="F113" s="108" t="s">
        <v>14</v>
      </c>
      <c r="G113" s="107">
        <f aca="true" t="shared" si="78" ref="G113:V113">G68</f>
        <v>20.382</v>
      </c>
      <c r="H113" s="107">
        <f t="shared" si="78"/>
        <v>20.825</v>
      </c>
      <c r="I113" s="107">
        <f t="shared" si="78"/>
        <v>20.747</v>
      </c>
      <c r="J113" s="107">
        <f t="shared" si="78"/>
        <v>20.758</v>
      </c>
      <c r="K113" s="107">
        <f t="shared" si="78"/>
        <v>21.446</v>
      </c>
      <c r="L113" s="107">
        <f t="shared" si="78"/>
        <v>21.642</v>
      </c>
      <c r="M113" s="107">
        <f t="shared" si="78"/>
        <v>22.524</v>
      </c>
      <c r="N113" s="107">
        <f t="shared" si="78"/>
        <v>23.283</v>
      </c>
      <c r="O113" s="107">
        <f t="shared" si="78"/>
        <v>23.038</v>
      </c>
      <c r="P113" s="107">
        <f t="shared" si="78"/>
        <v>19.966</v>
      </c>
      <c r="Q113" s="107">
        <f t="shared" si="78"/>
        <v>19.334</v>
      </c>
      <c r="R113" s="107">
        <f t="shared" si="78"/>
        <v>20.129</v>
      </c>
      <c r="S113" s="107">
        <f t="shared" si="78"/>
        <v>18.825</v>
      </c>
      <c r="T113" s="107">
        <f t="shared" si="78"/>
        <v>18.486</v>
      </c>
      <c r="U113" s="107">
        <f t="shared" si="78"/>
        <v>18.588</v>
      </c>
      <c r="V113" s="107">
        <f t="shared" si="78"/>
        <v>18.535</v>
      </c>
      <c r="W113" s="107">
        <f aca="true" t="shared" si="79" ref="W113:X113">W68</f>
        <v>18.377</v>
      </c>
      <c r="X113" s="107">
        <f t="shared" si="79"/>
        <v>19.5</v>
      </c>
      <c r="Y113" s="107">
        <f aca="true" t="shared" si="80" ref="Y113:Z113">Y68</f>
        <v>19.732</v>
      </c>
      <c r="Z113" s="107">
        <f t="shared" si="80"/>
        <v>19.568</v>
      </c>
      <c r="AA113" s="14"/>
    </row>
    <row r="114" spans="2:27" ht="15">
      <c r="B114" s="13"/>
      <c r="C114" s="97" t="s">
        <v>94</v>
      </c>
      <c r="D114" s="97" t="s">
        <v>2</v>
      </c>
      <c r="E114" s="97" t="s">
        <v>83</v>
      </c>
      <c r="F114" s="98" t="s">
        <v>31</v>
      </c>
      <c r="G114" s="107">
        <f aca="true" t="shared" si="81" ref="G114:V114">G69</f>
        <v>3.976</v>
      </c>
      <c r="H114" s="107">
        <f t="shared" si="81"/>
        <v>3.921</v>
      </c>
      <c r="I114" s="107">
        <f t="shared" si="81"/>
        <v>3.91</v>
      </c>
      <c r="J114" s="107">
        <f t="shared" si="81"/>
        <v>3.62</v>
      </c>
      <c r="K114" s="107">
        <f t="shared" si="81"/>
        <v>4.038</v>
      </c>
      <c r="L114" s="107">
        <f t="shared" si="81"/>
        <v>3.873</v>
      </c>
      <c r="M114" s="107">
        <f t="shared" si="81"/>
        <v>3.703</v>
      </c>
      <c r="N114" s="107">
        <f t="shared" si="81"/>
        <v>3.871</v>
      </c>
      <c r="O114" s="107">
        <f t="shared" si="81"/>
        <v>3.952</v>
      </c>
      <c r="P114" s="107">
        <f t="shared" si="81"/>
        <v>3.779</v>
      </c>
      <c r="Q114" s="107">
        <f t="shared" si="81"/>
        <v>3.67</v>
      </c>
      <c r="R114" s="107">
        <f t="shared" si="81"/>
        <v>3.877</v>
      </c>
      <c r="S114" s="107">
        <f t="shared" si="81"/>
        <v>3.722</v>
      </c>
      <c r="T114" s="107">
        <f t="shared" si="81"/>
        <v>3.815</v>
      </c>
      <c r="U114" s="107">
        <f t="shared" si="81"/>
        <v>4.057</v>
      </c>
      <c r="V114" s="107">
        <f t="shared" si="81"/>
        <v>3.795</v>
      </c>
      <c r="W114" s="107">
        <f aca="true" t="shared" si="82" ref="W114:X114">W69</f>
        <v>3.879</v>
      </c>
      <c r="X114" s="107">
        <f t="shared" si="82"/>
        <v>4.002</v>
      </c>
      <c r="Y114" s="107">
        <f aca="true" t="shared" si="83" ref="Y114:Z114">Y69</f>
        <v>3.893</v>
      </c>
      <c r="Z114" s="107">
        <f t="shared" si="83"/>
        <v>3.893</v>
      </c>
      <c r="AA114" s="14"/>
    </row>
    <row r="115" spans="2:27" ht="15">
      <c r="B115" s="13"/>
      <c r="C115" s="97" t="s">
        <v>94</v>
      </c>
      <c r="D115" s="97" t="s">
        <v>2</v>
      </c>
      <c r="E115" s="97" t="s">
        <v>84</v>
      </c>
      <c r="F115" s="98" t="s">
        <v>32</v>
      </c>
      <c r="G115" s="107">
        <f aca="true" t="shared" si="84" ref="G115:V115">G70</f>
        <v>2.677</v>
      </c>
      <c r="H115" s="107">
        <f t="shared" si="84"/>
        <v>2.81</v>
      </c>
      <c r="I115" s="107">
        <f t="shared" si="84"/>
        <v>2.817</v>
      </c>
      <c r="J115" s="107">
        <f t="shared" si="84"/>
        <v>2.808</v>
      </c>
      <c r="K115" s="107">
        <f t="shared" si="84"/>
        <v>2.839</v>
      </c>
      <c r="L115" s="107">
        <f t="shared" si="84"/>
        <v>2.815</v>
      </c>
      <c r="M115" s="107">
        <f t="shared" si="84"/>
        <v>3.119</v>
      </c>
      <c r="N115" s="107">
        <f t="shared" si="84"/>
        <v>3.153</v>
      </c>
      <c r="O115" s="107">
        <f t="shared" si="84"/>
        <v>3.193</v>
      </c>
      <c r="P115" s="107">
        <f t="shared" si="84"/>
        <v>2.336</v>
      </c>
      <c r="Q115" s="107">
        <f t="shared" si="84"/>
        <v>2.686</v>
      </c>
      <c r="R115" s="107">
        <f t="shared" si="84"/>
        <v>2.72</v>
      </c>
      <c r="S115" s="107">
        <f t="shared" si="84"/>
        <v>2.539</v>
      </c>
      <c r="T115" s="107">
        <f t="shared" si="84"/>
        <v>2.626</v>
      </c>
      <c r="U115" s="107">
        <f t="shared" si="84"/>
        <v>2.671</v>
      </c>
      <c r="V115" s="107">
        <f t="shared" si="84"/>
        <v>2.661</v>
      </c>
      <c r="W115" s="107">
        <f aca="true" t="shared" si="85" ref="W115:X115">W70</f>
        <v>2.694</v>
      </c>
      <c r="X115" s="107">
        <f t="shared" si="85"/>
        <v>2.802</v>
      </c>
      <c r="Y115" s="107">
        <f aca="true" t="shared" si="86" ref="Y115:Z115">Y70</f>
        <v>2.89</v>
      </c>
      <c r="Z115" s="107">
        <f t="shared" si="86"/>
        <v>2.697</v>
      </c>
      <c r="AA115" s="14"/>
    </row>
    <row r="116" spans="2:27" ht="15">
      <c r="B116" s="13"/>
      <c r="C116" s="97" t="s">
        <v>94</v>
      </c>
      <c r="D116" s="97" t="s">
        <v>2</v>
      </c>
      <c r="E116" s="97" t="s">
        <v>85</v>
      </c>
      <c r="F116" s="98" t="s">
        <v>33</v>
      </c>
      <c r="G116" s="107">
        <f aca="true" t="shared" si="87" ref="G116:V116">G71</f>
        <v>8.336</v>
      </c>
      <c r="H116" s="107">
        <f t="shared" si="87"/>
        <v>8.547</v>
      </c>
      <c r="I116" s="107">
        <f t="shared" si="87"/>
        <v>8.568</v>
      </c>
      <c r="J116" s="107">
        <f t="shared" si="87"/>
        <v>8.782</v>
      </c>
      <c r="K116" s="107">
        <f t="shared" si="87"/>
        <v>8.898</v>
      </c>
      <c r="L116" s="107">
        <f t="shared" si="87"/>
        <v>9.23</v>
      </c>
      <c r="M116" s="107">
        <f t="shared" si="87"/>
        <v>9.866</v>
      </c>
      <c r="N116" s="107">
        <f t="shared" si="87"/>
        <v>10.47</v>
      </c>
      <c r="O116" s="107">
        <f t="shared" si="87"/>
        <v>10.081</v>
      </c>
      <c r="P116" s="107">
        <f t="shared" si="87"/>
        <v>8.651</v>
      </c>
      <c r="Q116" s="107">
        <f t="shared" si="87"/>
        <v>7.848</v>
      </c>
      <c r="R116" s="107">
        <f t="shared" si="87"/>
        <v>8.46</v>
      </c>
      <c r="S116" s="107">
        <f t="shared" si="87"/>
        <v>7.484</v>
      </c>
      <c r="T116" s="107">
        <f t="shared" si="87"/>
        <v>7.059</v>
      </c>
      <c r="U116" s="107">
        <f t="shared" si="87"/>
        <v>7.077</v>
      </c>
      <c r="V116" s="107">
        <f t="shared" si="87"/>
        <v>7.223</v>
      </c>
      <c r="W116" s="107">
        <f aca="true" t="shared" si="88" ref="W116:X116">W71</f>
        <v>7.183</v>
      </c>
      <c r="X116" s="107">
        <f t="shared" si="88"/>
        <v>7.783</v>
      </c>
      <c r="Y116" s="107">
        <f aca="true" t="shared" si="89" ref="Y116:Z116">Y71</f>
        <v>7.976</v>
      </c>
      <c r="Z116" s="107">
        <f t="shared" si="89"/>
        <v>8.196</v>
      </c>
      <c r="AA116" s="14"/>
    </row>
    <row r="117" spans="2:27" ht="15">
      <c r="B117" s="13"/>
      <c r="C117" s="97" t="s">
        <v>94</v>
      </c>
      <c r="D117" s="97" t="s">
        <v>2</v>
      </c>
      <c r="E117" s="97" t="s">
        <v>86</v>
      </c>
      <c r="F117" s="98" t="s">
        <v>34</v>
      </c>
      <c r="G117" s="107">
        <f aca="true" t="shared" si="90" ref="G117:V117">G72</f>
        <v>5.392</v>
      </c>
      <c r="H117" s="107">
        <f t="shared" si="90"/>
        <v>5.547</v>
      </c>
      <c r="I117" s="107">
        <f t="shared" si="90"/>
        <v>5.452</v>
      </c>
      <c r="J117" s="107">
        <f t="shared" si="90"/>
        <v>5.547</v>
      </c>
      <c r="K117" s="107">
        <f t="shared" si="90"/>
        <v>5.67</v>
      </c>
      <c r="L117" s="107">
        <f t="shared" si="90"/>
        <v>5.725</v>
      </c>
      <c r="M117" s="107">
        <f t="shared" si="90"/>
        <v>5.836</v>
      </c>
      <c r="N117" s="107">
        <f t="shared" si="90"/>
        <v>5.789</v>
      </c>
      <c r="O117" s="107">
        <f t="shared" si="90"/>
        <v>5.812</v>
      </c>
      <c r="P117" s="107">
        <f t="shared" si="90"/>
        <v>5.2</v>
      </c>
      <c r="Q117" s="107">
        <f t="shared" si="90"/>
        <v>5.13</v>
      </c>
      <c r="R117" s="107">
        <f t="shared" si="90"/>
        <v>5.072</v>
      </c>
      <c r="S117" s="107">
        <f t="shared" si="90"/>
        <v>5.079</v>
      </c>
      <c r="T117" s="107">
        <f t="shared" si="90"/>
        <v>4.986</v>
      </c>
      <c r="U117" s="107">
        <f t="shared" si="90"/>
        <v>4.783</v>
      </c>
      <c r="V117" s="107">
        <f t="shared" si="90"/>
        <v>4.855</v>
      </c>
      <c r="W117" s="107">
        <f aca="true" t="shared" si="91" ref="W117:X117">W72</f>
        <v>4.621</v>
      </c>
      <c r="X117" s="107">
        <f t="shared" si="91"/>
        <v>4.913</v>
      </c>
      <c r="Y117" s="107">
        <f aca="true" t="shared" si="92" ref="Y117:Z117">Y72</f>
        <v>4.973</v>
      </c>
      <c r="Z117" s="107">
        <f t="shared" si="92"/>
        <v>4.782</v>
      </c>
      <c r="AA117" s="14"/>
    </row>
    <row r="118" spans="2:27" ht="15">
      <c r="B118" s="13"/>
      <c r="C118" s="109" t="s">
        <v>95</v>
      </c>
      <c r="D118" s="109" t="s">
        <v>53</v>
      </c>
      <c r="E118" s="109" t="s">
        <v>82</v>
      </c>
      <c r="F118" s="108" t="s">
        <v>14</v>
      </c>
      <c r="G118" s="107">
        <f>G98-G103</f>
        <v>3.234</v>
      </c>
      <c r="H118" s="107">
        <f aca="true" t="shared" si="93" ref="H118:V118">H98-H103</f>
        <v>3.49</v>
      </c>
      <c r="I118" s="107">
        <f t="shared" si="93"/>
        <v>3.4030000000000005</v>
      </c>
      <c r="J118" s="107">
        <f t="shared" si="93"/>
        <v>3.5329999999999995</v>
      </c>
      <c r="K118" s="107">
        <f t="shared" si="93"/>
        <v>3.5570000000000004</v>
      </c>
      <c r="L118" s="107">
        <f t="shared" si="93"/>
        <v>3.636</v>
      </c>
      <c r="M118" s="107">
        <f t="shared" si="93"/>
        <v>3.926</v>
      </c>
      <c r="N118" s="107">
        <f t="shared" si="93"/>
        <v>3.770999999999999</v>
      </c>
      <c r="O118" s="107">
        <f t="shared" si="93"/>
        <v>3.647999999999999</v>
      </c>
      <c r="P118" s="107">
        <f t="shared" si="93"/>
        <v>2.766</v>
      </c>
      <c r="Q118" s="107">
        <f t="shared" si="93"/>
        <v>2.9289999999999994</v>
      </c>
      <c r="R118" s="107">
        <f t="shared" si="93"/>
        <v>2.7329999999999997</v>
      </c>
      <c r="S118" s="107">
        <f t="shared" si="93"/>
        <v>2.4189999999999996</v>
      </c>
      <c r="T118" s="107">
        <f t="shared" si="93"/>
        <v>2.3419999999999996</v>
      </c>
      <c r="U118" s="107">
        <f t="shared" si="93"/>
        <v>2.293</v>
      </c>
      <c r="V118" s="107">
        <f t="shared" si="93"/>
        <v>2.3739999999999997</v>
      </c>
      <c r="W118" s="107">
        <f aca="true" t="shared" si="94" ref="W118:X118">W98-W103</f>
        <v>2.3360000000000003</v>
      </c>
      <c r="X118" s="107">
        <f t="shared" si="94"/>
        <v>2.439</v>
      </c>
      <c r="Y118" s="107">
        <f aca="true" t="shared" si="95" ref="Y118:Z118">Y98-Y103</f>
        <v>2.6029999999999998</v>
      </c>
      <c r="Z118" s="107">
        <f t="shared" si="95"/>
        <v>2.5409999999999995</v>
      </c>
      <c r="AA118" s="14"/>
    </row>
    <row r="119" spans="2:27" ht="15">
      <c r="B119" s="13"/>
      <c r="C119" s="109" t="s">
        <v>95</v>
      </c>
      <c r="D119" s="109" t="s">
        <v>53</v>
      </c>
      <c r="E119" s="109" t="s">
        <v>83</v>
      </c>
      <c r="F119" s="98" t="s">
        <v>31</v>
      </c>
      <c r="G119" s="107">
        <f aca="true" t="shared" si="96" ref="G119:V122">G99-G104</f>
        <v>-0.06299999999999994</v>
      </c>
      <c r="H119" s="107">
        <f t="shared" si="96"/>
        <v>-0.019999999999999907</v>
      </c>
      <c r="I119" s="107">
        <f t="shared" si="96"/>
        <v>-0.02199999999999991</v>
      </c>
      <c r="J119" s="107">
        <f t="shared" si="96"/>
        <v>-0.02100000000000002</v>
      </c>
      <c r="K119" s="107">
        <f t="shared" si="96"/>
        <v>-0.018000000000000016</v>
      </c>
      <c r="L119" s="107">
        <f t="shared" si="96"/>
        <v>-0.04200000000000004</v>
      </c>
      <c r="M119" s="107">
        <f t="shared" si="96"/>
        <v>-0.020000000000000018</v>
      </c>
      <c r="N119" s="107">
        <f t="shared" si="96"/>
        <v>-0.007000000000000006</v>
      </c>
      <c r="O119" s="107">
        <f t="shared" si="96"/>
        <v>-0.06000000000000005</v>
      </c>
      <c r="P119" s="107">
        <f t="shared" si="96"/>
        <v>-0.09999999999999998</v>
      </c>
      <c r="Q119" s="107">
        <f t="shared" si="96"/>
        <v>-0.08000000000000002</v>
      </c>
      <c r="R119" s="107">
        <f t="shared" si="96"/>
        <v>-0.10299999999999998</v>
      </c>
      <c r="S119" s="107">
        <f t="shared" si="96"/>
        <v>-0.10899999999999999</v>
      </c>
      <c r="T119" s="107">
        <f t="shared" si="96"/>
        <v>-0.15000000000000002</v>
      </c>
      <c r="U119" s="107">
        <f t="shared" si="96"/>
        <v>-0.14700000000000002</v>
      </c>
      <c r="V119" s="107">
        <f t="shared" si="96"/>
        <v>-0.15300000000000002</v>
      </c>
      <c r="W119" s="107">
        <f aca="true" t="shared" si="97" ref="W119:X119">W99-W104</f>
        <v>-0.14900000000000002</v>
      </c>
      <c r="X119" s="107">
        <f t="shared" si="97"/>
        <v>-0.13</v>
      </c>
      <c r="Y119" s="107">
        <f aca="true" t="shared" si="98" ref="Y119:Z119">Y99-Y104</f>
        <v>-0.09000000000000008</v>
      </c>
      <c r="Z119" s="107">
        <f t="shared" si="98"/>
        <v>-0.121</v>
      </c>
      <c r="AA119" s="14"/>
    </row>
    <row r="120" spans="2:27" ht="15">
      <c r="B120" s="13"/>
      <c r="C120" s="109" t="s">
        <v>95</v>
      </c>
      <c r="D120" s="109" t="s">
        <v>53</v>
      </c>
      <c r="E120" s="109" t="s">
        <v>84</v>
      </c>
      <c r="F120" s="98" t="s">
        <v>32</v>
      </c>
      <c r="G120" s="107">
        <f t="shared" si="96"/>
        <v>1.298</v>
      </c>
      <c r="H120" s="107">
        <f t="shared" si="96"/>
        <v>1.41</v>
      </c>
      <c r="I120" s="107">
        <f t="shared" si="96"/>
        <v>1.46</v>
      </c>
      <c r="J120" s="107">
        <f t="shared" si="96"/>
        <v>1.4809999999999999</v>
      </c>
      <c r="K120" s="107">
        <f t="shared" si="96"/>
        <v>1.403</v>
      </c>
      <c r="L120" s="107">
        <f t="shared" si="96"/>
        <v>1.4300000000000002</v>
      </c>
      <c r="M120" s="107">
        <f t="shared" si="96"/>
        <v>1.5679999999999998</v>
      </c>
      <c r="N120" s="107">
        <f t="shared" si="96"/>
        <v>1.5350000000000001</v>
      </c>
      <c r="O120" s="107">
        <f t="shared" si="96"/>
        <v>1.455</v>
      </c>
      <c r="P120" s="107">
        <f t="shared" si="96"/>
        <v>0.9499999999999997</v>
      </c>
      <c r="Q120" s="107">
        <f t="shared" si="96"/>
        <v>1.118</v>
      </c>
      <c r="R120" s="107">
        <f t="shared" si="96"/>
        <v>1.049</v>
      </c>
      <c r="S120" s="107">
        <f t="shared" si="96"/>
        <v>0.871</v>
      </c>
      <c r="T120" s="107">
        <f t="shared" si="96"/>
        <v>0.8639999999999999</v>
      </c>
      <c r="U120" s="107">
        <f t="shared" si="96"/>
        <v>0.9190000000000003</v>
      </c>
      <c r="V120" s="107">
        <f t="shared" si="96"/>
        <v>0.964</v>
      </c>
      <c r="W120" s="107">
        <f aca="true" t="shared" si="99" ref="W120:X120">W100-W105</f>
        <v>0.94</v>
      </c>
      <c r="X120" s="107">
        <f t="shared" si="99"/>
        <v>0.9849999999999999</v>
      </c>
      <c r="Y120" s="107">
        <f aca="true" t="shared" si="100" ref="Y120:Z120">Y100-Y105</f>
        <v>0.976</v>
      </c>
      <c r="Z120" s="107">
        <f t="shared" si="100"/>
        <v>0.859</v>
      </c>
      <c r="AA120" s="14"/>
    </row>
    <row r="121" spans="2:27" ht="15">
      <c r="B121" s="13"/>
      <c r="C121" s="109" t="s">
        <v>95</v>
      </c>
      <c r="D121" s="109" t="s">
        <v>53</v>
      </c>
      <c r="E121" s="109" t="s">
        <v>85</v>
      </c>
      <c r="F121" s="98" t="s">
        <v>33</v>
      </c>
      <c r="G121" s="107">
        <f t="shared" si="96"/>
        <v>0.08499999999999996</v>
      </c>
      <c r="H121" s="107">
        <f t="shared" si="96"/>
        <v>0.07899999999999996</v>
      </c>
      <c r="I121" s="107">
        <f t="shared" si="96"/>
        <v>0.03700000000000003</v>
      </c>
      <c r="J121" s="107">
        <f t="shared" si="96"/>
        <v>0.07899999999999996</v>
      </c>
      <c r="K121" s="107">
        <f t="shared" si="96"/>
        <v>0.04200000000000004</v>
      </c>
      <c r="L121" s="107">
        <f t="shared" si="96"/>
        <v>0.040000000000000036</v>
      </c>
      <c r="M121" s="107">
        <f t="shared" si="96"/>
        <v>0.07200000000000006</v>
      </c>
      <c r="N121" s="107">
        <f t="shared" si="96"/>
        <v>0.050000000000000044</v>
      </c>
      <c r="O121" s="107">
        <f t="shared" si="96"/>
        <v>0.0020000000000000018</v>
      </c>
      <c r="P121" s="107">
        <f t="shared" si="96"/>
        <v>-0.08499999999999996</v>
      </c>
      <c r="Q121" s="107">
        <f t="shared" si="96"/>
        <v>-0.05999999999999994</v>
      </c>
      <c r="R121" s="107">
        <f t="shared" si="96"/>
        <v>-0.04800000000000004</v>
      </c>
      <c r="S121" s="107">
        <f t="shared" si="96"/>
        <v>-0.09000000000000008</v>
      </c>
      <c r="T121" s="107">
        <f t="shared" si="96"/>
        <v>-0.129</v>
      </c>
      <c r="U121" s="107">
        <f t="shared" si="96"/>
        <v>-0.14300000000000002</v>
      </c>
      <c r="V121" s="107">
        <f t="shared" si="96"/>
        <v>-0.18299999999999994</v>
      </c>
      <c r="W121" s="107">
        <f aca="true" t="shared" si="101" ref="W121:X121">W101-W106</f>
        <v>-0.1429999999999999</v>
      </c>
      <c r="X121" s="107">
        <f t="shared" si="101"/>
        <v>-0.262</v>
      </c>
      <c r="Y121" s="107">
        <f aca="true" t="shared" si="102" ref="Y121:Z121">Y101-Y106</f>
        <v>-0.19199999999999995</v>
      </c>
      <c r="Z121" s="107">
        <f t="shared" si="102"/>
        <v>-0.19399999999999995</v>
      </c>
      <c r="AA121" s="14"/>
    </row>
    <row r="122" spans="2:27" ht="15">
      <c r="B122" s="13"/>
      <c r="C122" s="110" t="s">
        <v>95</v>
      </c>
      <c r="D122" s="110" t="s">
        <v>53</v>
      </c>
      <c r="E122" s="110" t="s">
        <v>86</v>
      </c>
      <c r="F122" s="111" t="s">
        <v>34</v>
      </c>
      <c r="G122" s="112">
        <f t="shared" si="96"/>
        <v>1.9130000000000003</v>
      </c>
      <c r="H122" s="112">
        <f t="shared" si="96"/>
        <v>2.021</v>
      </c>
      <c r="I122" s="112">
        <f t="shared" si="96"/>
        <v>1.9280000000000002</v>
      </c>
      <c r="J122" s="112">
        <f t="shared" si="96"/>
        <v>1.9929999999999999</v>
      </c>
      <c r="K122" s="112">
        <f t="shared" si="96"/>
        <v>2.132</v>
      </c>
      <c r="L122" s="112">
        <f t="shared" si="96"/>
        <v>2.208</v>
      </c>
      <c r="M122" s="112">
        <f t="shared" si="96"/>
        <v>2.3060000000000005</v>
      </c>
      <c r="N122" s="112">
        <f t="shared" si="96"/>
        <v>2.193</v>
      </c>
      <c r="O122" s="112">
        <f t="shared" si="96"/>
        <v>2.2510000000000003</v>
      </c>
      <c r="P122" s="112">
        <f t="shared" si="96"/>
        <v>2.001</v>
      </c>
      <c r="Q122" s="112">
        <f t="shared" si="96"/>
        <v>1.952</v>
      </c>
      <c r="R122" s="112">
        <f t="shared" si="96"/>
        <v>1.834</v>
      </c>
      <c r="S122" s="112">
        <f t="shared" si="96"/>
        <v>1.7459999999999998</v>
      </c>
      <c r="T122" s="112">
        <f t="shared" si="96"/>
        <v>1.758</v>
      </c>
      <c r="U122" s="112">
        <f t="shared" si="96"/>
        <v>1.663</v>
      </c>
      <c r="V122" s="112">
        <f t="shared" si="96"/>
        <v>1.746</v>
      </c>
      <c r="W122" s="112">
        <f aca="true" t="shared" si="103" ref="W122:X122">W102-W107</f>
        <v>1.688</v>
      </c>
      <c r="X122" s="112">
        <f t="shared" si="103"/>
        <v>1.8470000000000002</v>
      </c>
      <c r="Y122" s="112">
        <f aca="true" t="shared" si="104" ref="Y122:Z122">Y102-Y107</f>
        <v>1.908</v>
      </c>
      <c r="Z122" s="112">
        <f t="shared" si="104"/>
        <v>1.9960000000000002</v>
      </c>
      <c r="AA122" s="14"/>
    </row>
    <row r="123" spans="2:27" ht="15">
      <c r="B123" s="13"/>
      <c r="C123" s="51" t="s">
        <v>99</v>
      </c>
      <c r="D123" s="51"/>
      <c r="E123" s="51"/>
      <c r="F123" s="15"/>
      <c r="G123" s="15"/>
      <c r="H123" s="15"/>
      <c r="I123" s="15"/>
      <c r="J123" s="15"/>
      <c r="K123" s="15"/>
      <c r="L123" s="15"/>
      <c r="M123" s="15"/>
      <c r="N123" s="15"/>
      <c r="O123" s="15"/>
      <c r="P123" s="15"/>
      <c r="Q123" s="15"/>
      <c r="R123" s="15"/>
      <c r="S123" s="15"/>
      <c r="T123" s="15"/>
      <c r="U123" s="15"/>
      <c r="V123" s="15"/>
      <c r="W123" s="15"/>
      <c r="X123" s="15"/>
      <c r="Y123" s="15"/>
      <c r="Z123" s="15"/>
      <c r="AA123" s="14"/>
    </row>
    <row r="124" spans="2:27" ht="12.75" thickBot="1">
      <c r="B124" s="16"/>
      <c r="C124" s="17"/>
      <c r="D124" s="17"/>
      <c r="E124" s="17"/>
      <c r="F124" s="113"/>
      <c r="G124" s="113"/>
      <c r="H124" s="113"/>
      <c r="I124" s="113"/>
      <c r="J124" s="113"/>
      <c r="K124" s="113"/>
      <c r="L124" s="113"/>
      <c r="M124" s="113"/>
      <c r="N124" s="113"/>
      <c r="O124" s="113"/>
      <c r="P124" s="113"/>
      <c r="Q124" s="113"/>
      <c r="R124" s="17"/>
      <c r="S124" s="17"/>
      <c r="T124" s="17"/>
      <c r="U124" s="17"/>
      <c r="V124" s="17"/>
      <c r="W124" s="17"/>
      <c r="X124" s="17"/>
      <c r="Y124" s="17"/>
      <c r="Z124" s="17"/>
      <c r="AA124" s="18"/>
    </row>
    <row r="125" spans="3:17" ht="15">
      <c r="C125" s="1"/>
      <c r="D125" s="1"/>
      <c r="E125" s="1"/>
      <c r="F125" s="114"/>
      <c r="G125" s="114"/>
      <c r="H125" s="114"/>
      <c r="I125" s="114"/>
      <c r="J125" s="114"/>
      <c r="K125" s="114"/>
      <c r="L125" s="114"/>
      <c r="M125" s="114"/>
      <c r="N125" s="114"/>
      <c r="O125" s="114"/>
      <c r="P125" s="114"/>
      <c r="Q125" s="115"/>
    </row>
    <row r="126" spans="7:26" ht="15">
      <c r="G126" s="160"/>
      <c r="H126" s="160"/>
      <c r="I126" s="160"/>
      <c r="J126" s="160"/>
      <c r="K126" s="160"/>
      <c r="L126" s="160"/>
      <c r="M126" s="160"/>
      <c r="N126" s="160"/>
      <c r="O126" s="160"/>
      <c r="P126" s="160"/>
      <c r="Q126" s="160"/>
      <c r="R126" s="160"/>
      <c r="S126" s="160"/>
      <c r="T126" s="160"/>
      <c r="U126" s="160"/>
      <c r="V126" s="160"/>
      <c r="W126" s="160"/>
      <c r="X126" s="160"/>
      <c r="Y126" s="160"/>
      <c r="Z126" s="160"/>
    </row>
    <row r="127" spans="7:26" ht="15">
      <c r="G127" s="160"/>
      <c r="H127" s="160"/>
      <c r="I127" s="160"/>
      <c r="J127" s="160"/>
      <c r="K127" s="160"/>
      <c r="L127" s="160"/>
      <c r="M127" s="160"/>
      <c r="N127" s="160"/>
      <c r="O127" s="160"/>
      <c r="P127" s="160"/>
      <c r="Q127" s="160"/>
      <c r="R127" s="160"/>
      <c r="S127" s="160"/>
      <c r="T127" s="160"/>
      <c r="U127" s="160"/>
      <c r="V127" s="160"/>
      <c r="W127" s="160"/>
      <c r="X127" s="160"/>
      <c r="Y127" s="160"/>
      <c r="Z127" s="160"/>
    </row>
    <row r="128" spans="7:26" ht="15">
      <c r="G128" s="160"/>
      <c r="H128" s="160"/>
      <c r="I128" s="160"/>
      <c r="J128" s="160"/>
      <c r="K128" s="160"/>
      <c r="L128" s="160"/>
      <c r="M128" s="160"/>
      <c r="N128" s="160"/>
      <c r="O128" s="160"/>
      <c r="P128" s="160"/>
      <c r="Q128" s="160"/>
      <c r="R128" s="160"/>
      <c r="S128" s="160"/>
      <c r="T128" s="160"/>
      <c r="U128" s="160"/>
      <c r="V128" s="160"/>
      <c r="W128" s="160"/>
      <c r="X128" s="160"/>
      <c r="Y128" s="160"/>
      <c r="Z128" s="160"/>
    </row>
    <row r="129" spans="7:26" ht="15">
      <c r="G129" s="160"/>
      <c r="H129" s="160"/>
      <c r="I129" s="160"/>
      <c r="J129" s="160"/>
      <c r="K129" s="160"/>
      <c r="L129" s="160"/>
      <c r="M129" s="160"/>
      <c r="N129" s="160"/>
      <c r="O129" s="160"/>
      <c r="P129" s="160"/>
      <c r="Q129" s="160"/>
      <c r="R129" s="160"/>
      <c r="S129" s="160"/>
      <c r="T129" s="160"/>
      <c r="U129" s="160"/>
      <c r="V129" s="160"/>
      <c r="W129" s="160"/>
      <c r="X129" s="160"/>
      <c r="Y129" s="160"/>
      <c r="Z129" s="160"/>
    </row>
    <row r="130" spans="6:26" ht="15">
      <c r="F130" s="161"/>
      <c r="G130" s="160"/>
      <c r="H130" s="160"/>
      <c r="I130" s="160"/>
      <c r="J130" s="160"/>
      <c r="K130" s="160"/>
      <c r="L130" s="160"/>
      <c r="M130" s="160"/>
      <c r="N130" s="160"/>
      <c r="O130" s="160"/>
      <c r="P130" s="160"/>
      <c r="Q130" s="160"/>
      <c r="R130" s="160"/>
      <c r="S130" s="160"/>
      <c r="T130" s="160"/>
      <c r="U130" s="160"/>
      <c r="V130" s="160"/>
      <c r="W130" s="160"/>
      <c r="X130" s="160"/>
      <c r="Y130" s="160"/>
      <c r="Z130" s="160"/>
    </row>
    <row r="131" spans="7:26" ht="15">
      <c r="G131" s="160"/>
      <c r="H131" s="160"/>
      <c r="I131" s="160"/>
      <c r="J131" s="160"/>
      <c r="K131" s="160"/>
      <c r="L131" s="160"/>
      <c r="M131" s="160"/>
      <c r="N131" s="160"/>
      <c r="O131" s="160"/>
      <c r="P131" s="160"/>
      <c r="Q131" s="160"/>
      <c r="R131" s="160"/>
      <c r="S131" s="160"/>
      <c r="T131" s="160"/>
      <c r="U131" s="160"/>
      <c r="V131" s="160"/>
      <c r="W131" s="160"/>
      <c r="X131" s="160"/>
      <c r="Y131" s="160"/>
      <c r="Z131" s="160"/>
    </row>
    <row r="132" spans="7:26" ht="15">
      <c r="G132" s="160"/>
      <c r="H132" s="160"/>
      <c r="I132" s="160"/>
      <c r="J132" s="160"/>
      <c r="K132" s="160"/>
      <c r="L132" s="160"/>
      <c r="M132" s="160"/>
      <c r="N132" s="160"/>
      <c r="O132" s="160"/>
      <c r="P132" s="160"/>
      <c r="Q132" s="160"/>
      <c r="R132" s="160"/>
      <c r="S132" s="160"/>
      <c r="T132" s="160"/>
      <c r="U132" s="160"/>
      <c r="V132" s="160"/>
      <c r="W132" s="160"/>
      <c r="X132" s="160"/>
      <c r="Y132" s="160"/>
      <c r="Z132" s="160"/>
    </row>
    <row r="133" spans="7:26" ht="15">
      <c r="G133" s="160"/>
      <c r="H133" s="160"/>
      <c r="I133" s="160"/>
      <c r="J133" s="160"/>
      <c r="K133" s="160"/>
      <c r="L133" s="160"/>
      <c r="M133" s="160"/>
      <c r="N133" s="160"/>
      <c r="O133" s="160"/>
      <c r="P133" s="160"/>
      <c r="Q133" s="160"/>
      <c r="R133" s="160"/>
      <c r="S133" s="160"/>
      <c r="T133" s="160"/>
      <c r="U133" s="160"/>
      <c r="V133" s="160"/>
      <c r="W133" s="160"/>
      <c r="X133" s="160"/>
      <c r="Y133" s="160"/>
      <c r="Z133" s="160"/>
    </row>
    <row r="134" spans="7:26" ht="15">
      <c r="G134" s="160"/>
      <c r="H134" s="160"/>
      <c r="I134" s="160"/>
      <c r="J134" s="160"/>
      <c r="K134" s="160"/>
      <c r="L134" s="160"/>
      <c r="M134" s="160"/>
      <c r="N134" s="160"/>
      <c r="O134" s="160"/>
      <c r="P134" s="160"/>
      <c r="Q134" s="160"/>
      <c r="R134" s="160"/>
      <c r="S134" s="160"/>
      <c r="T134" s="160"/>
      <c r="U134" s="160"/>
      <c r="V134" s="160"/>
      <c r="W134" s="160"/>
      <c r="X134" s="160"/>
      <c r="Y134" s="160"/>
      <c r="Z134" s="160"/>
    </row>
    <row r="135" spans="7:26" ht="15">
      <c r="G135" s="160"/>
      <c r="H135" s="160"/>
      <c r="I135" s="160"/>
      <c r="J135" s="160"/>
      <c r="K135" s="160"/>
      <c r="L135" s="160"/>
      <c r="M135" s="160"/>
      <c r="N135" s="160"/>
      <c r="O135" s="160"/>
      <c r="P135" s="160"/>
      <c r="Q135" s="160"/>
      <c r="R135" s="160"/>
      <c r="S135" s="160"/>
      <c r="T135" s="160"/>
      <c r="U135" s="160"/>
      <c r="V135" s="160"/>
      <c r="W135" s="160"/>
      <c r="X135" s="160"/>
      <c r="Y135" s="160"/>
      <c r="Z135" s="160"/>
    </row>
    <row r="136" spans="7:26" ht="15">
      <c r="G136" s="160"/>
      <c r="H136" s="160"/>
      <c r="I136" s="160"/>
      <c r="J136" s="160"/>
      <c r="K136" s="160"/>
      <c r="L136" s="160"/>
      <c r="M136" s="160"/>
      <c r="N136" s="160"/>
      <c r="O136" s="160"/>
      <c r="P136" s="160"/>
      <c r="Q136" s="160"/>
      <c r="R136" s="160"/>
      <c r="S136" s="160"/>
      <c r="T136" s="160"/>
      <c r="U136" s="160"/>
      <c r="V136" s="160"/>
      <c r="W136" s="160"/>
      <c r="X136" s="160"/>
      <c r="Y136" s="160"/>
      <c r="Z136" s="160"/>
    </row>
    <row r="137" spans="7:26" ht="15">
      <c r="G137" s="160"/>
      <c r="H137" s="160"/>
      <c r="I137" s="160"/>
      <c r="J137" s="160"/>
      <c r="K137" s="160"/>
      <c r="L137" s="160"/>
      <c r="M137" s="160"/>
      <c r="N137" s="160"/>
      <c r="O137" s="160"/>
      <c r="P137" s="160"/>
      <c r="Q137" s="160"/>
      <c r="R137" s="160"/>
      <c r="S137" s="160"/>
      <c r="T137" s="160"/>
      <c r="U137" s="160"/>
      <c r="V137" s="160"/>
      <c r="W137" s="160"/>
      <c r="X137" s="160"/>
      <c r="Y137" s="160"/>
      <c r="Z137" s="160"/>
    </row>
    <row r="138" spans="7:26" ht="15">
      <c r="G138" s="160"/>
      <c r="H138" s="160"/>
      <c r="I138" s="160"/>
      <c r="J138" s="160"/>
      <c r="K138" s="160"/>
      <c r="L138" s="160"/>
      <c r="M138" s="160"/>
      <c r="N138" s="160"/>
      <c r="O138" s="160"/>
      <c r="P138" s="160"/>
      <c r="Q138" s="160"/>
      <c r="R138" s="160"/>
      <c r="S138" s="160"/>
      <c r="T138" s="160"/>
      <c r="U138" s="160"/>
      <c r="V138" s="160"/>
      <c r="W138" s="160"/>
      <c r="X138" s="160"/>
      <c r="Y138" s="160"/>
      <c r="Z138" s="160"/>
    </row>
    <row r="139" spans="7:26" ht="15">
      <c r="G139" s="160"/>
      <c r="H139" s="160"/>
      <c r="I139" s="160"/>
      <c r="J139" s="160"/>
      <c r="K139" s="160"/>
      <c r="L139" s="160"/>
      <c r="M139" s="160"/>
      <c r="N139" s="160"/>
      <c r="O139" s="160"/>
      <c r="P139" s="160"/>
      <c r="Q139" s="160"/>
      <c r="R139" s="160"/>
      <c r="S139" s="160"/>
      <c r="T139" s="160"/>
      <c r="U139" s="160"/>
      <c r="V139" s="160"/>
      <c r="W139" s="160"/>
      <c r="X139" s="160"/>
      <c r="Y139" s="160"/>
      <c r="Z139" s="160"/>
    </row>
    <row r="140" spans="7:26" ht="15">
      <c r="G140" s="160"/>
      <c r="H140" s="160"/>
      <c r="I140" s="160"/>
      <c r="J140" s="160"/>
      <c r="K140" s="160"/>
      <c r="L140" s="160"/>
      <c r="M140" s="160"/>
      <c r="N140" s="160"/>
      <c r="O140" s="160"/>
      <c r="P140" s="160"/>
      <c r="Q140" s="160"/>
      <c r="R140" s="160"/>
      <c r="S140" s="160"/>
      <c r="T140" s="160"/>
      <c r="U140" s="160"/>
      <c r="V140" s="160"/>
      <c r="W140" s="160"/>
      <c r="X140" s="160"/>
      <c r="Y140" s="160"/>
      <c r="Z140" s="160"/>
    </row>
    <row r="141" spans="7:26" ht="15">
      <c r="G141" s="160"/>
      <c r="H141" s="160"/>
      <c r="I141" s="160"/>
      <c r="J141" s="160"/>
      <c r="K141" s="160"/>
      <c r="L141" s="160"/>
      <c r="M141" s="160"/>
      <c r="N141" s="160"/>
      <c r="O141" s="160"/>
      <c r="P141" s="160"/>
      <c r="Q141" s="160"/>
      <c r="R141" s="160"/>
      <c r="S141" s="160"/>
      <c r="T141" s="160"/>
      <c r="U141" s="160"/>
      <c r="V141" s="160"/>
      <c r="W141" s="160"/>
      <c r="X141" s="160"/>
      <c r="Y141" s="160"/>
      <c r="Z141" s="160"/>
    </row>
    <row r="142" spans="7:26" ht="15">
      <c r="G142" s="160"/>
      <c r="H142" s="160"/>
      <c r="I142" s="160"/>
      <c r="J142" s="160"/>
      <c r="K142" s="160"/>
      <c r="L142" s="160"/>
      <c r="M142" s="160"/>
      <c r="N142" s="160"/>
      <c r="O142" s="160"/>
      <c r="P142" s="160"/>
      <c r="Q142" s="160"/>
      <c r="R142" s="160"/>
      <c r="S142" s="160"/>
      <c r="T142" s="160"/>
      <c r="U142" s="160"/>
      <c r="V142" s="160"/>
      <c r="W142" s="160"/>
      <c r="X142" s="160"/>
      <c r="Y142" s="160"/>
      <c r="Z142" s="160"/>
    </row>
    <row r="143" spans="7:26" ht="15">
      <c r="G143" s="160"/>
      <c r="H143" s="160"/>
      <c r="I143" s="160"/>
      <c r="J143" s="160"/>
      <c r="K143" s="160"/>
      <c r="L143" s="160"/>
      <c r="M143" s="160"/>
      <c r="N143" s="160"/>
      <c r="O143" s="160"/>
      <c r="P143" s="160"/>
      <c r="Q143" s="160"/>
      <c r="R143" s="160"/>
      <c r="S143" s="160"/>
      <c r="T143" s="160"/>
      <c r="U143" s="160"/>
      <c r="V143" s="160"/>
      <c r="W143" s="160"/>
      <c r="X143" s="160"/>
      <c r="Y143" s="160"/>
      <c r="Z143" s="160"/>
    </row>
    <row r="144" spans="7:26" ht="15">
      <c r="G144" s="160"/>
      <c r="H144" s="160"/>
      <c r="I144" s="160"/>
      <c r="J144" s="160"/>
      <c r="K144" s="160"/>
      <c r="L144" s="160"/>
      <c r="M144" s="160"/>
      <c r="N144" s="160"/>
      <c r="O144" s="160"/>
      <c r="P144" s="160"/>
      <c r="Q144" s="160"/>
      <c r="R144" s="160"/>
      <c r="S144" s="160"/>
      <c r="T144" s="160"/>
      <c r="U144" s="160"/>
      <c r="V144" s="160"/>
      <c r="W144" s="160"/>
      <c r="X144" s="160"/>
      <c r="Y144" s="160"/>
      <c r="Z144" s="160"/>
    </row>
    <row r="145" spans="7:26" ht="15">
      <c r="G145" s="160"/>
      <c r="H145" s="160"/>
      <c r="I145" s="160"/>
      <c r="J145" s="160"/>
      <c r="K145" s="160"/>
      <c r="L145" s="160"/>
      <c r="M145" s="160"/>
      <c r="N145" s="160"/>
      <c r="O145" s="160"/>
      <c r="P145" s="160"/>
      <c r="Q145" s="160"/>
      <c r="R145" s="160"/>
      <c r="S145" s="160"/>
      <c r="T145" s="160"/>
      <c r="U145" s="160"/>
      <c r="V145" s="160"/>
      <c r="W145" s="160"/>
      <c r="X145" s="160"/>
      <c r="Y145" s="160"/>
      <c r="Z145" s="160"/>
    </row>
    <row r="146" spans="7:26" ht="15">
      <c r="G146" s="160"/>
      <c r="H146" s="160"/>
      <c r="I146" s="160"/>
      <c r="J146" s="160"/>
      <c r="K146" s="160"/>
      <c r="L146" s="160"/>
      <c r="M146" s="160"/>
      <c r="N146" s="160"/>
      <c r="O146" s="160"/>
      <c r="P146" s="160"/>
      <c r="Q146" s="160"/>
      <c r="R146" s="160"/>
      <c r="S146" s="160"/>
      <c r="T146" s="160"/>
      <c r="U146" s="160"/>
      <c r="V146" s="160"/>
      <c r="W146" s="160"/>
      <c r="X146" s="160"/>
      <c r="Y146" s="160"/>
      <c r="Z146" s="160"/>
    </row>
    <row r="147" spans="7:26" ht="15">
      <c r="G147" s="160"/>
      <c r="H147" s="160"/>
      <c r="I147" s="160"/>
      <c r="J147" s="160"/>
      <c r="K147" s="160"/>
      <c r="L147" s="160"/>
      <c r="M147" s="160"/>
      <c r="N147" s="160"/>
      <c r="O147" s="160"/>
      <c r="P147" s="160"/>
      <c r="Q147" s="160"/>
      <c r="R147" s="160"/>
      <c r="S147" s="160"/>
      <c r="T147" s="160"/>
      <c r="U147" s="160"/>
      <c r="V147" s="160"/>
      <c r="W147" s="160"/>
      <c r="X147" s="160"/>
      <c r="Y147" s="160"/>
      <c r="Z147" s="160"/>
    </row>
    <row r="148" spans="7:26" ht="15">
      <c r="G148" s="160"/>
      <c r="H148" s="160"/>
      <c r="I148" s="160"/>
      <c r="J148" s="160"/>
      <c r="K148" s="160"/>
      <c r="L148" s="160"/>
      <c r="M148" s="160"/>
      <c r="N148" s="160"/>
      <c r="O148" s="160"/>
      <c r="P148" s="160"/>
      <c r="Q148" s="160"/>
      <c r="R148" s="160"/>
      <c r="S148" s="160"/>
      <c r="T148" s="160"/>
      <c r="U148" s="160"/>
      <c r="V148" s="160"/>
      <c r="W148" s="160"/>
      <c r="X148" s="160"/>
      <c r="Y148" s="160"/>
      <c r="Z148" s="160"/>
    </row>
    <row r="149" spans="7:26" ht="15">
      <c r="G149" s="160"/>
      <c r="H149" s="160"/>
      <c r="I149" s="160"/>
      <c r="J149" s="160"/>
      <c r="K149" s="160"/>
      <c r="L149" s="160"/>
      <c r="M149" s="160"/>
      <c r="N149" s="160"/>
      <c r="O149" s="160"/>
      <c r="P149" s="160"/>
      <c r="Q149" s="160"/>
      <c r="R149" s="160"/>
      <c r="S149" s="160"/>
      <c r="T149" s="160"/>
      <c r="U149" s="160"/>
      <c r="V149" s="160"/>
      <c r="W149" s="160"/>
      <c r="X149" s="160"/>
      <c r="Y149" s="160"/>
      <c r="Z149" s="160"/>
    </row>
    <row r="150" spans="7:26" ht="15">
      <c r="G150" s="160"/>
      <c r="H150" s="160"/>
      <c r="I150" s="160"/>
      <c r="J150" s="160"/>
      <c r="K150" s="160"/>
      <c r="L150" s="160"/>
      <c r="M150" s="160"/>
      <c r="N150" s="160"/>
      <c r="O150" s="160"/>
      <c r="P150" s="160"/>
      <c r="Q150" s="160"/>
      <c r="R150" s="160"/>
      <c r="S150" s="160"/>
      <c r="T150" s="160"/>
      <c r="U150" s="160"/>
      <c r="V150" s="160"/>
      <c r="W150" s="160"/>
      <c r="X150" s="160"/>
      <c r="Y150" s="160"/>
      <c r="Z150" s="160"/>
    </row>
    <row r="151" spans="7:26" ht="15">
      <c r="G151" s="160"/>
      <c r="H151" s="160"/>
      <c r="I151" s="160"/>
      <c r="J151" s="160"/>
      <c r="K151" s="160"/>
      <c r="L151" s="160"/>
      <c r="M151" s="160"/>
      <c r="N151" s="160"/>
      <c r="O151" s="160"/>
      <c r="P151" s="160"/>
      <c r="Q151" s="160"/>
      <c r="R151" s="160"/>
      <c r="S151" s="160"/>
      <c r="T151" s="160"/>
      <c r="U151" s="160"/>
      <c r="V151" s="160"/>
      <c r="W151" s="160"/>
      <c r="X151" s="160"/>
      <c r="Y151" s="160"/>
      <c r="Z151" s="160"/>
    </row>
    <row r="152" spans="7:26" ht="15">
      <c r="G152" s="160"/>
      <c r="H152" s="160"/>
      <c r="I152" s="160"/>
      <c r="J152" s="160"/>
      <c r="K152" s="160"/>
      <c r="L152" s="160"/>
      <c r="M152" s="160"/>
      <c r="N152" s="160"/>
      <c r="O152" s="160"/>
      <c r="P152" s="160"/>
      <c r="Q152" s="160"/>
      <c r="R152" s="160"/>
      <c r="S152" s="160"/>
      <c r="T152" s="160"/>
      <c r="U152" s="160"/>
      <c r="V152" s="160"/>
      <c r="W152" s="160"/>
      <c r="X152" s="160"/>
      <c r="Y152" s="160"/>
      <c r="Z152" s="160"/>
    </row>
    <row r="153" spans="7:26" ht="15">
      <c r="G153" s="160"/>
      <c r="H153" s="160"/>
      <c r="I153" s="160"/>
      <c r="J153" s="160"/>
      <c r="K153" s="160"/>
      <c r="L153" s="160"/>
      <c r="M153" s="160"/>
      <c r="N153" s="160"/>
      <c r="O153" s="160"/>
      <c r="P153" s="160"/>
      <c r="Q153" s="160"/>
      <c r="R153" s="160"/>
      <c r="S153" s="160"/>
      <c r="T153" s="160"/>
      <c r="U153" s="160"/>
      <c r="V153" s="160"/>
      <c r="W153" s="160"/>
      <c r="X153" s="160"/>
      <c r="Y153" s="160"/>
      <c r="Z153" s="160"/>
    </row>
    <row r="154" spans="7:26" ht="15">
      <c r="G154" s="160"/>
      <c r="H154" s="160"/>
      <c r="I154" s="160"/>
      <c r="J154" s="160"/>
      <c r="K154" s="160"/>
      <c r="L154" s="160"/>
      <c r="M154" s="160"/>
      <c r="N154" s="160"/>
      <c r="O154" s="160"/>
      <c r="P154" s="160"/>
      <c r="Q154" s="160"/>
      <c r="R154" s="160"/>
      <c r="S154" s="160"/>
      <c r="T154" s="160"/>
      <c r="U154" s="160"/>
      <c r="V154" s="160"/>
      <c r="W154" s="160"/>
      <c r="X154" s="160"/>
      <c r="Y154" s="160"/>
      <c r="Z154" s="160"/>
    </row>
    <row r="155" spans="7:26" ht="15">
      <c r="G155" s="160"/>
      <c r="H155" s="160"/>
      <c r="I155" s="160"/>
      <c r="J155" s="160"/>
      <c r="K155" s="160"/>
      <c r="L155" s="160"/>
      <c r="M155" s="160"/>
      <c r="N155" s="160"/>
      <c r="O155" s="160"/>
      <c r="P155" s="160"/>
      <c r="Q155" s="160"/>
      <c r="R155" s="160"/>
      <c r="S155" s="160"/>
      <c r="T155" s="160"/>
      <c r="U155" s="160"/>
      <c r="V155" s="160"/>
      <c r="W155" s="160"/>
      <c r="X155" s="160"/>
      <c r="Y155" s="160"/>
      <c r="Z155" s="160"/>
    </row>
    <row r="156" ht="15">
      <c r="G156" s="160"/>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5"/>
  <sheetViews>
    <sheetView showGridLines="0" workbookViewId="0" topLeftCell="A1"/>
  </sheetViews>
  <sheetFormatPr defaultColWidth="9.140625" defaultRowHeight="15"/>
  <cols>
    <col min="1" max="2" width="4.7109375" style="0" customWidth="1"/>
    <col min="3" max="3" width="10.00390625" style="1" customWidth="1"/>
    <col min="4" max="7" width="9.140625" style="1" customWidth="1"/>
    <col min="8" max="8" width="44.8515625" style="1" customWidth="1"/>
    <col min="9" max="10" width="9.140625" style="1" customWidth="1"/>
    <col min="11" max="11" width="11.140625" style="1" customWidth="1"/>
    <col min="12" max="12" width="29.57421875" style="1" customWidth="1"/>
    <col min="13" max="15" width="9.140625" style="1" customWidth="1"/>
    <col min="16" max="16" width="42.00390625" style="1" customWidth="1"/>
    <col min="17" max="264" width="9.140625" style="1" customWidth="1"/>
    <col min="265" max="265" width="12.421875" style="1" bestFit="1" customWidth="1"/>
    <col min="266" max="266" width="13.140625" style="1" customWidth="1"/>
    <col min="267" max="520" width="9.140625" style="1" customWidth="1"/>
    <col min="521" max="521" width="12.421875" style="1" bestFit="1" customWidth="1"/>
    <col min="522" max="522" width="13.140625" style="1" customWidth="1"/>
    <col min="523" max="776" width="9.140625" style="1" customWidth="1"/>
    <col min="777" max="777" width="12.421875" style="1" bestFit="1" customWidth="1"/>
    <col min="778" max="778" width="13.140625" style="1" customWidth="1"/>
    <col min="779" max="1032" width="9.140625" style="1" customWidth="1"/>
    <col min="1033" max="1033" width="12.421875" style="1" bestFit="1" customWidth="1"/>
    <col min="1034" max="1034" width="13.140625" style="1" customWidth="1"/>
    <col min="1035" max="1288" width="9.140625" style="1" customWidth="1"/>
    <col min="1289" max="1289" width="12.421875" style="1" bestFit="1" customWidth="1"/>
    <col min="1290" max="1290" width="13.140625" style="1" customWidth="1"/>
    <col min="1291" max="1544" width="9.140625" style="1" customWidth="1"/>
    <col min="1545" max="1545" width="12.421875" style="1" bestFit="1" customWidth="1"/>
    <col min="1546" max="1546" width="13.140625" style="1" customWidth="1"/>
    <col min="1547" max="1800" width="9.140625" style="1" customWidth="1"/>
    <col min="1801" max="1801" width="12.421875" style="1" bestFit="1" customWidth="1"/>
    <col min="1802" max="1802" width="13.140625" style="1" customWidth="1"/>
    <col min="1803" max="2056" width="9.140625" style="1" customWidth="1"/>
    <col min="2057" max="2057" width="12.421875" style="1" bestFit="1" customWidth="1"/>
    <col min="2058" max="2058" width="13.140625" style="1" customWidth="1"/>
    <col min="2059" max="2312" width="9.140625" style="1" customWidth="1"/>
    <col min="2313" max="2313" width="12.421875" style="1" bestFit="1" customWidth="1"/>
    <col min="2314" max="2314" width="13.140625" style="1" customWidth="1"/>
    <col min="2315" max="2568" width="9.140625" style="1" customWidth="1"/>
    <col min="2569" max="2569" width="12.421875" style="1" bestFit="1" customWidth="1"/>
    <col min="2570" max="2570" width="13.140625" style="1" customWidth="1"/>
    <col min="2571" max="2824" width="9.140625" style="1" customWidth="1"/>
    <col min="2825" max="2825" width="12.421875" style="1" bestFit="1" customWidth="1"/>
    <col min="2826" max="2826" width="13.140625" style="1" customWidth="1"/>
    <col min="2827" max="3080" width="9.140625" style="1" customWidth="1"/>
    <col min="3081" max="3081" width="12.421875" style="1" bestFit="1" customWidth="1"/>
    <col min="3082" max="3082" width="13.140625" style="1" customWidth="1"/>
    <col min="3083" max="3336" width="9.140625" style="1" customWidth="1"/>
    <col min="3337" max="3337" width="12.421875" style="1" bestFit="1" customWidth="1"/>
    <col min="3338" max="3338" width="13.140625" style="1" customWidth="1"/>
    <col min="3339" max="3592" width="9.140625" style="1" customWidth="1"/>
    <col min="3593" max="3593" width="12.421875" style="1" bestFit="1" customWidth="1"/>
    <col min="3594" max="3594" width="13.140625" style="1" customWidth="1"/>
    <col min="3595" max="3848" width="9.140625" style="1" customWidth="1"/>
    <col min="3849" max="3849" width="12.421875" style="1" bestFit="1" customWidth="1"/>
    <col min="3850" max="3850" width="13.140625" style="1" customWidth="1"/>
    <col min="3851" max="4104" width="9.140625" style="1" customWidth="1"/>
    <col min="4105" max="4105" width="12.421875" style="1" bestFit="1" customWidth="1"/>
    <col min="4106" max="4106" width="13.140625" style="1" customWidth="1"/>
    <col min="4107" max="4360" width="9.140625" style="1" customWidth="1"/>
    <col min="4361" max="4361" width="12.421875" style="1" bestFit="1" customWidth="1"/>
    <col min="4362" max="4362" width="13.140625" style="1" customWidth="1"/>
    <col min="4363" max="4616" width="9.140625" style="1" customWidth="1"/>
    <col min="4617" max="4617" width="12.421875" style="1" bestFit="1" customWidth="1"/>
    <col min="4618" max="4618" width="13.140625" style="1" customWidth="1"/>
    <col min="4619" max="4872" width="9.140625" style="1" customWidth="1"/>
    <col min="4873" max="4873" width="12.421875" style="1" bestFit="1" customWidth="1"/>
    <col min="4874" max="4874" width="13.140625" style="1" customWidth="1"/>
    <col min="4875" max="5128" width="9.140625" style="1" customWidth="1"/>
    <col min="5129" max="5129" width="12.421875" style="1" bestFit="1" customWidth="1"/>
    <col min="5130" max="5130" width="13.140625" style="1" customWidth="1"/>
    <col min="5131" max="5384" width="9.140625" style="1" customWidth="1"/>
    <col min="5385" max="5385" width="12.421875" style="1" bestFit="1" customWidth="1"/>
    <col min="5386" max="5386" width="13.140625" style="1" customWidth="1"/>
    <col min="5387" max="5640" width="9.140625" style="1" customWidth="1"/>
    <col min="5641" max="5641" width="12.421875" style="1" bestFit="1" customWidth="1"/>
    <col min="5642" max="5642" width="13.140625" style="1" customWidth="1"/>
    <col min="5643" max="5896" width="9.140625" style="1" customWidth="1"/>
    <col min="5897" max="5897" width="12.421875" style="1" bestFit="1" customWidth="1"/>
    <col min="5898" max="5898" width="13.140625" style="1" customWidth="1"/>
    <col min="5899" max="6152" width="9.140625" style="1" customWidth="1"/>
    <col min="6153" max="6153" width="12.421875" style="1" bestFit="1" customWidth="1"/>
    <col min="6154" max="6154" width="13.140625" style="1" customWidth="1"/>
    <col min="6155" max="6408" width="9.140625" style="1" customWidth="1"/>
    <col min="6409" max="6409" width="12.421875" style="1" bestFit="1" customWidth="1"/>
    <col min="6410" max="6410" width="13.140625" style="1" customWidth="1"/>
    <col min="6411" max="6664" width="9.140625" style="1" customWidth="1"/>
    <col min="6665" max="6665" width="12.421875" style="1" bestFit="1" customWidth="1"/>
    <col min="6666" max="6666" width="13.140625" style="1" customWidth="1"/>
    <col min="6667" max="6920" width="9.140625" style="1" customWidth="1"/>
    <col min="6921" max="6921" width="12.421875" style="1" bestFit="1" customWidth="1"/>
    <col min="6922" max="6922" width="13.140625" style="1" customWidth="1"/>
    <col min="6923" max="7176" width="9.140625" style="1" customWidth="1"/>
    <col min="7177" max="7177" width="12.421875" style="1" bestFit="1" customWidth="1"/>
    <col min="7178" max="7178" width="13.140625" style="1" customWidth="1"/>
    <col min="7179" max="7432" width="9.140625" style="1" customWidth="1"/>
    <col min="7433" max="7433" width="12.421875" style="1" bestFit="1" customWidth="1"/>
    <col min="7434" max="7434" width="13.140625" style="1" customWidth="1"/>
    <col min="7435" max="7688" width="9.140625" style="1" customWidth="1"/>
    <col min="7689" max="7689" width="12.421875" style="1" bestFit="1" customWidth="1"/>
    <col min="7690" max="7690" width="13.140625" style="1" customWidth="1"/>
    <col min="7691" max="7944" width="9.140625" style="1" customWidth="1"/>
    <col min="7945" max="7945" width="12.421875" style="1" bestFit="1" customWidth="1"/>
    <col min="7946" max="7946" width="13.140625" style="1" customWidth="1"/>
    <col min="7947" max="8200" width="9.140625" style="1" customWidth="1"/>
    <col min="8201" max="8201" width="12.421875" style="1" bestFit="1" customWidth="1"/>
    <col min="8202" max="8202" width="13.140625" style="1" customWidth="1"/>
    <col min="8203" max="8456" width="9.140625" style="1" customWidth="1"/>
    <col min="8457" max="8457" width="12.421875" style="1" bestFit="1" customWidth="1"/>
    <col min="8458" max="8458" width="13.140625" style="1" customWidth="1"/>
    <col min="8459" max="8712" width="9.140625" style="1" customWidth="1"/>
    <col min="8713" max="8713" width="12.421875" style="1" bestFit="1" customWidth="1"/>
    <col min="8714" max="8714" width="13.140625" style="1" customWidth="1"/>
    <col min="8715" max="8968" width="9.140625" style="1" customWidth="1"/>
    <col min="8969" max="8969" width="12.421875" style="1" bestFit="1" customWidth="1"/>
    <col min="8970" max="8970" width="13.140625" style="1" customWidth="1"/>
    <col min="8971" max="9224" width="9.140625" style="1" customWidth="1"/>
    <col min="9225" max="9225" width="12.421875" style="1" bestFit="1" customWidth="1"/>
    <col min="9226" max="9226" width="13.140625" style="1" customWidth="1"/>
    <col min="9227" max="9480" width="9.140625" style="1" customWidth="1"/>
    <col min="9481" max="9481" width="12.421875" style="1" bestFit="1" customWidth="1"/>
    <col min="9482" max="9482" width="13.140625" style="1" customWidth="1"/>
    <col min="9483" max="9736" width="9.140625" style="1" customWidth="1"/>
    <col min="9737" max="9737" width="12.421875" style="1" bestFit="1" customWidth="1"/>
    <col min="9738" max="9738" width="13.140625" style="1" customWidth="1"/>
    <col min="9739" max="9992" width="9.140625" style="1" customWidth="1"/>
    <col min="9993" max="9993" width="12.421875" style="1" bestFit="1" customWidth="1"/>
    <col min="9994" max="9994" width="13.140625" style="1" customWidth="1"/>
    <col min="9995" max="10248" width="9.140625" style="1" customWidth="1"/>
    <col min="10249" max="10249" width="12.421875" style="1" bestFit="1" customWidth="1"/>
    <col min="10250" max="10250" width="13.140625" style="1" customWidth="1"/>
    <col min="10251" max="10504" width="9.140625" style="1" customWidth="1"/>
    <col min="10505" max="10505" width="12.421875" style="1" bestFit="1" customWidth="1"/>
    <col min="10506" max="10506" width="13.140625" style="1" customWidth="1"/>
    <col min="10507" max="10760" width="9.140625" style="1" customWidth="1"/>
    <col min="10761" max="10761" width="12.421875" style="1" bestFit="1" customWidth="1"/>
    <col min="10762" max="10762" width="13.140625" style="1" customWidth="1"/>
    <col min="10763" max="11016" width="9.140625" style="1" customWidth="1"/>
    <col min="11017" max="11017" width="12.421875" style="1" bestFit="1" customWidth="1"/>
    <col min="11018" max="11018" width="13.140625" style="1" customWidth="1"/>
    <col min="11019" max="11272" width="9.140625" style="1" customWidth="1"/>
    <col min="11273" max="11273" width="12.421875" style="1" bestFit="1" customWidth="1"/>
    <col min="11274" max="11274" width="13.140625" style="1" customWidth="1"/>
    <col min="11275" max="11528" width="9.140625" style="1" customWidth="1"/>
    <col min="11529" max="11529" width="12.421875" style="1" bestFit="1" customWidth="1"/>
    <col min="11530" max="11530" width="13.140625" style="1" customWidth="1"/>
    <col min="11531" max="11784" width="9.140625" style="1" customWidth="1"/>
    <col min="11785" max="11785" width="12.421875" style="1" bestFit="1" customWidth="1"/>
    <col min="11786" max="11786" width="13.140625" style="1" customWidth="1"/>
    <col min="11787" max="12040" width="9.140625" style="1" customWidth="1"/>
    <col min="12041" max="12041" width="12.421875" style="1" bestFit="1" customWidth="1"/>
    <col min="12042" max="12042" width="13.140625" style="1" customWidth="1"/>
    <col min="12043" max="12296" width="9.140625" style="1" customWidth="1"/>
    <col min="12297" max="12297" width="12.421875" style="1" bestFit="1" customWidth="1"/>
    <col min="12298" max="12298" width="13.140625" style="1" customWidth="1"/>
    <col min="12299" max="12552" width="9.140625" style="1" customWidth="1"/>
    <col min="12553" max="12553" width="12.421875" style="1" bestFit="1" customWidth="1"/>
    <col min="12554" max="12554" width="13.140625" style="1" customWidth="1"/>
    <col min="12555" max="12808" width="9.140625" style="1" customWidth="1"/>
    <col min="12809" max="12809" width="12.421875" style="1" bestFit="1" customWidth="1"/>
    <col min="12810" max="12810" width="13.140625" style="1" customWidth="1"/>
    <col min="12811" max="13064" width="9.140625" style="1" customWidth="1"/>
    <col min="13065" max="13065" width="12.421875" style="1" bestFit="1" customWidth="1"/>
    <col min="13066" max="13066" width="13.140625" style="1" customWidth="1"/>
    <col min="13067" max="13320" width="9.140625" style="1" customWidth="1"/>
    <col min="13321" max="13321" width="12.421875" style="1" bestFit="1" customWidth="1"/>
    <col min="13322" max="13322" width="13.140625" style="1" customWidth="1"/>
    <col min="13323" max="13576" width="9.140625" style="1" customWidth="1"/>
    <col min="13577" max="13577" width="12.421875" style="1" bestFit="1" customWidth="1"/>
    <col min="13578" max="13578" width="13.140625" style="1" customWidth="1"/>
    <col min="13579" max="13832" width="9.140625" style="1" customWidth="1"/>
    <col min="13833" max="13833" width="12.421875" style="1" bestFit="1" customWidth="1"/>
    <col min="13834" max="13834" width="13.140625" style="1" customWidth="1"/>
    <col min="13835" max="14088" width="9.140625" style="1" customWidth="1"/>
    <col min="14089" max="14089" width="12.421875" style="1" bestFit="1" customWidth="1"/>
    <col min="14090" max="14090" width="13.140625" style="1" customWidth="1"/>
    <col min="14091" max="14344" width="9.140625" style="1" customWidth="1"/>
    <col min="14345" max="14345" width="12.421875" style="1" bestFit="1" customWidth="1"/>
    <col min="14346" max="14346" width="13.140625" style="1" customWidth="1"/>
    <col min="14347" max="14600" width="9.140625" style="1" customWidth="1"/>
    <col min="14601" max="14601" width="12.421875" style="1" bestFit="1" customWidth="1"/>
    <col min="14602" max="14602" width="13.140625" style="1" customWidth="1"/>
    <col min="14603" max="14856" width="9.140625" style="1" customWidth="1"/>
    <col min="14857" max="14857" width="12.421875" style="1" bestFit="1" customWidth="1"/>
    <col min="14858" max="14858" width="13.140625" style="1" customWidth="1"/>
    <col min="14859" max="15112" width="9.140625" style="1" customWidth="1"/>
    <col min="15113" max="15113" width="12.421875" style="1" bestFit="1" customWidth="1"/>
    <col min="15114" max="15114" width="13.140625" style="1" customWidth="1"/>
    <col min="15115" max="15368" width="9.140625" style="1" customWidth="1"/>
    <col min="15369" max="15369" width="12.421875" style="1" bestFit="1" customWidth="1"/>
    <col min="15370" max="15370" width="13.140625" style="1" customWidth="1"/>
    <col min="15371" max="15624" width="9.140625" style="1" customWidth="1"/>
    <col min="15625" max="15625" width="12.421875" style="1" bestFit="1" customWidth="1"/>
    <col min="15626" max="15626" width="13.140625" style="1" customWidth="1"/>
    <col min="15627" max="15880" width="9.140625" style="1" customWidth="1"/>
    <col min="15881" max="15881" width="12.421875" style="1" bestFit="1" customWidth="1"/>
    <col min="15882" max="15882" width="13.140625" style="1" customWidth="1"/>
    <col min="15883" max="16136" width="9.140625" style="1" customWidth="1"/>
    <col min="16137" max="16137" width="12.421875" style="1" bestFit="1" customWidth="1"/>
    <col min="16138" max="16138" width="13.140625" style="1" customWidth="1"/>
    <col min="16139" max="16382" width="9.140625" style="1" customWidth="1"/>
    <col min="16383" max="16384" width="9.140625" style="1" customWidth="1"/>
  </cols>
  <sheetData>
    <row r="1" ht="15.75">
      <c r="A1" s="222" t="s">
        <v>258</v>
      </c>
    </row>
    <row r="2" ht="15.75" thickBot="1"/>
    <row r="3" spans="2:16" ht="15">
      <c r="B3" s="116" t="s">
        <v>51</v>
      </c>
      <c r="C3" s="170"/>
      <c r="D3" s="170"/>
      <c r="E3" s="19" t="s">
        <v>97</v>
      </c>
      <c r="F3" s="170"/>
      <c r="G3" s="170"/>
      <c r="H3" s="179" t="s">
        <v>335</v>
      </c>
      <c r="J3" s="116" t="s">
        <v>52</v>
      </c>
      <c r="K3" s="170"/>
      <c r="L3" s="170"/>
      <c r="M3" s="170"/>
      <c r="N3" s="170"/>
      <c r="O3" s="170"/>
      <c r="P3" s="171"/>
    </row>
    <row r="4" spans="2:16" ht="15">
      <c r="B4" s="172"/>
      <c r="C4" s="173"/>
      <c r="D4" s="173"/>
      <c r="E4" s="173"/>
      <c r="F4" s="173"/>
      <c r="G4" s="173"/>
      <c r="H4" s="174"/>
      <c r="J4" s="175"/>
      <c r="K4" s="173" t="s">
        <v>306</v>
      </c>
      <c r="L4" s="173"/>
      <c r="M4" s="173"/>
      <c r="N4" s="173"/>
      <c r="O4" s="173"/>
      <c r="P4" s="174"/>
    </row>
    <row r="5" spans="1:16" ht="12">
      <c r="A5" s="1"/>
      <c r="B5" s="175"/>
      <c r="C5" s="11" t="s">
        <v>117</v>
      </c>
      <c r="D5" s="173"/>
      <c r="E5" s="173"/>
      <c r="F5" s="173"/>
      <c r="G5" s="173"/>
      <c r="H5" s="174"/>
      <c r="J5" s="175"/>
      <c r="K5" s="173"/>
      <c r="L5" s="173"/>
      <c r="M5" s="173"/>
      <c r="N5" s="173"/>
      <c r="O5" s="173"/>
      <c r="P5" s="174"/>
    </row>
    <row r="6" spans="1:16" ht="12">
      <c r="A6" s="1"/>
      <c r="B6" s="175"/>
      <c r="C6" s="173"/>
      <c r="D6" s="173"/>
      <c r="E6" s="173"/>
      <c r="F6" s="173"/>
      <c r="G6" s="173"/>
      <c r="H6" s="174"/>
      <c r="J6" s="175"/>
      <c r="K6" s="173"/>
      <c r="L6" s="173"/>
      <c r="M6" s="173"/>
      <c r="N6" s="173"/>
      <c r="O6" s="173"/>
      <c r="P6" s="174"/>
    </row>
    <row r="7" spans="1:16" ht="12">
      <c r="A7" s="1"/>
      <c r="B7" s="175"/>
      <c r="C7" s="11" t="s">
        <v>9</v>
      </c>
      <c r="D7" s="166">
        <v>44452.576886574076</v>
      </c>
      <c r="E7" s="173"/>
      <c r="F7" s="173"/>
      <c r="G7" s="173"/>
      <c r="H7" s="174"/>
      <c r="J7" s="175"/>
      <c r="K7" s="173"/>
      <c r="L7" s="173"/>
      <c r="M7" s="173"/>
      <c r="N7" s="173"/>
      <c r="O7" s="173"/>
      <c r="P7" s="174"/>
    </row>
    <row r="8" spans="1:16" ht="12">
      <c r="A8" s="1"/>
      <c r="B8" s="175"/>
      <c r="C8" s="11" t="s">
        <v>10</v>
      </c>
      <c r="D8" s="166">
        <v>44453.405843796296</v>
      </c>
      <c r="E8" s="173"/>
      <c r="F8" s="173"/>
      <c r="G8" s="173"/>
      <c r="H8" s="174"/>
      <c r="J8" s="175"/>
      <c r="K8" s="173"/>
      <c r="L8" s="173"/>
      <c r="M8" s="173"/>
      <c r="N8" s="173"/>
      <c r="O8" s="173"/>
      <c r="P8" s="174"/>
    </row>
    <row r="9" spans="1:16" ht="12">
      <c r="A9" s="1"/>
      <c r="B9" s="175"/>
      <c r="C9" s="11" t="s">
        <v>11</v>
      </c>
      <c r="D9" s="11" t="s">
        <v>12</v>
      </c>
      <c r="E9" s="173"/>
      <c r="F9" s="173"/>
      <c r="G9" s="173"/>
      <c r="H9" s="174"/>
      <c r="J9" s="175"/>
      <c r="K9" s="173"/>
      <c r="L9" s="173"/>
      <c r="M9" s="173"/>
      <c r="N9" s="173"/>
      <c r="O9" s="173"/>
      <c r="P9" s="174"/>
    </row>
    <row r="10" spans="1:16" ht="12">
      <c r="A10" s="1"/>
      <c r="B10" s="175"/>
      <c r="C10" s="173"/>
      <c r="D10" s="173"/>
      <c r="E10" s="173"/>
      <c r="F10" s="173"/>
      <c r="G10" s="173"/>
      <c r="H10" s="174"/>
      <c r="J10" s="175"/>
      <c r="K10" s="173"/>
      <c r="L10" s="173"/>
      <c r="M10" s="173"/>
      <c r="N10" s="173"/>
      <c r="O10" s="173"/>
      <c r="P10" s="174"/>
    </row>
    <row r="11" spans="1:16" ht="12">
      <c r="A11" s="1"/>
      <c r="B11" s="175"/>
      <c r="C11" s="11" t="s">
        <v>15</v>
      </c>
      <c r="D11" s="11" t="s">
        <v>303</v>
      </c>
      <c r="E11" s="173"/>
      <c r="F11" s="173"/>
      <c r="G11" s="173"/>
      <c r="H11" s="174"/>
      <c r="J11" s="175"/>
      <c r="K11" s="11" t="str">
        <f>C11</f>
        <v>GEO</v>
      </c>
      <c r="L11" s="11" t="str">
        <f>D11</f>
        <v>EU27_2020 - European Union - 27 countries (from 2020)</v>
      </c>
      <c r="M11" s="173"/>
      <c r="N11" s="173"/>
      <c r="O11" s="173"/>
      <c r="P11" s="174"/>
    </row>
    <row r="12" spans="1:16" ht="12">
      <c r="A12" s="1"/>
      <c r="B12" s="175"/>
      <c r="C12" s="11" t="s">
        <v>13</v>
      </c>
      <c r="D12" s="11" t="s">
        <v>114</v>
      </c>
      <c r="E12" s="173"/>
      <c r="F12" s="173"/>
      <c r="G12" s="173"/>
      <c r="H12" s="174"/>
      <c r="J12" s="175"/>
      <c r="K12" s="11" t="str">
        <f aca="true" t="shared" si="0" ref="K12:K14">C12</f>
        <v>UNIT</v>
      </c>
      <c r="L12" s="11" t="str">
        <f aca="true" t="shared" si="1" ref="L12:L14">D12</f>
        <v>Tonnes per capita</v>
      </c>
      <c r="M12" s="173"/>
      <c r="N12" s="173"/>
      <c r="O12" s="173"/>
      <c r="P12" s="174"/>
    </row>
    <row r="13" spans="1:16" ht="12">
      <c r="A13" s="1"/>
      <c r="B13" s="175"/>
      <c r="C13" s="11" t="s">
        <v>118</v>
      </c>
      <c r="D13" s="219">
        <f>Cover!C1</f>
        <v>2019</v>
      </c>
      <c r="E13" s="173"/>
      <c r="F13" s="173"/>
      <c r="G13" s="173"/>
      <c r="H13" s="174"/>
      <c r="J13" s="175"/>
      <c r="K13" s="11" t="str">
        <f t="shared" si="0"/>
        <v>TIME</v>
      </c>
      <c r="L13" s="219">
        <f t="shared" si="1"/>
        <v>2019</v>
      </c>
      <c r="M13" s="173"/>
      <c r="N13" s="173"/>
      <c r="O13" s="173"/>
      <c r="P13" s="174"/>
    </row>
    <row r="14" spans="1:16" ht="12">
      <c r="A14" s="1"/>
      <c r="B14" s="175"/>
      <c r="C14" s="11" t="s">
        <v>78</v>
      </c>
      <c r="D14" s="11" t="s">
        <v>119</v>
      </c>
      <c r="E14" s="173"/>
      <c r="F14" s="173"/>
      <c r="G14" s="173"/>
      <c r="H14" s="174"/>
      <c r="J14" s="175"/>
      <c r="K14" s="11" t="str">
        <f t="shared" si="0"/>
        <v>MATERIAL</v>
      </c>
      <c r="L14" s="11" t="str">
        <f t="shared" si="1"/>
        <v>TOTAL - Total</v>
      </c>
      <c r="M14" s="173"/>
      <c r="N14" s="173"/>
      <c r="O14" s="173"/>
      <c r="P14" s="174"/>
    </row>
    <row r="15" spans="1:16" ht="12">
      <c r="A15" s="1"/>
      <c r="B15" s="175"/>
      <c r="C15" s="173"/>
      <c r="D15" s="173"/>
      <c r="E15" s="173"/>
      <c r="F15" s="173"/>
      <c r="G15" s="173"/>
      <c r="H15" s="174"/>
      <c r="J15" s="175"/>
      <c r="K15" s="173"/>
      <c r="L15" s="173"/>
      <c r="M15" s="173"/>
      <c r="N15" s="173"/>
      <c r="O15" s="173"/>
      <c r="P15" s="174"/>
    </row>
    <row r="16" spans="1:16" ht="12">
      <c r="A16" s="1"/>
      <c r="B16" s="175"/>
      <c r="C16" s="84" t="s">
        <v>120</v>
      </c>
      <c r="D16" s="84" t="s">
        <v>115</v>
      </c>
      <c r="E16" s="84" t="s">
        <v>93</v>
      </c>
      <c r="F16" s="84" t="s">
        <v>121</v>
      </c>
      <c r="G16" s="84" t="s">
        <v>122</v>
      </c>
      <c r="H16" s="174"/>
      <c r="J16" s="175"/>
      <c r="K16" s="196" t="s">
        <v>120</v>
      </c>
      <c r="L16" s="198" t="str">
        <f aca="true" t="shared" si="2" ref="L16:O17">D16</f>
        <v>INDIC_ENV</v>
      </c>
      <c r="M16" s="198" t="str">
        <f t="shared" si="2"/>
        <v>RMC</v>
      </c>
      <c r="N16" s="198" t="str">
        <f t="shared" si="2"/>
        <v>RMC_P3</v>
      </c>
      <c r="O16" s="198" t="str">
        <f t="shared" si="2"/>
        <v>RMC_P5</v>
      </c>
      <c r="P16" s="174"/>
    </row>
    <row r="17" spans="1:16" ht="12">
      <c r="A17" s="1"/>
      <c r="B17" s="175"/>
      <c r="C17" s="84" t="s">
        <v>123</v>
      </c>
      <c r="D17" s="84" t="s">
        <v>124</v>
      </c>
      <c r="E17" s="84" t="s">
        <v>297</v>
      </c>
      <c r="F17" s="84" t="s">
        <v>125</v>
      </c>
      <c r="G17" s="84" t="s">
        <v>299</v>
      </c>
      <c r="H17" s="174"/>
      <c r="J17" s="175"/>
      <c r="K17" s="197" t="str">
        <f>C17</f>
        <v>CPA08</v>
      </c>
      <c r="L17" s="199" t="str">
        <f t="shared" si="2"/>
        <v>CPA08(L)/INDIC_ENV(L)</v>
      </c>
      <c r="M17" s="199" t="str">
        <f t="shared" si="2"/>
        <v>Raw material consumption</v>
      </c>
      <c r="N17" s="199" t="str">
        <f t="shared" si="2"/>
        <v>Raw material consumption as result of final consumption expenditure</v>
      </c>
      <c r="O17" s="199" t="str">
        <f t="shared" si="2"/>
        <v>Raw material consumption as result of gross capital formation</v>
      </c>
      <c r="P17" s="174"/>
    </row>
    <row r="18" spans="1:16" ht="12">
      <c r="A18" s="1"/>
      <c r="B18" s="175"/>
      <c r="C18" s="84" t="s">
        <v>82</v>
      </c>
      <c r="D18" s="84" t="s">
        <v>127</v>
      </c>
      <c r="E18" s="167">
        <v>14.458</v>
      </c>
      <c r="F18" s="168">
        <v>8.326</v>
      </c>
      <c r="G18" s="168">
        <v>6.133</v>
      </c>
      <c r="H18" s="174"/>
      <c r="J18" s="175"/>
      <c r="K18" s="200" t="str">
        <f>C18</f>
        <v>TOTAL</v>
      </c>
      <c r="L18" s="200" t="str">
        <f aca="true" t="shared" si="3" ref="L18:O18">D18</f>
        <v>Total CPA products</v>
      </c>
      <c r="M18" s="202">
        <f t="shared" si="3"/>
        <v>14.458</v>
      </c>
      <c r="N18" s="202">
        <f t="shared" si="3"/>
        <v>8.326</v>
      </c>
      <c r="O18" s="202">
        <f t="shared" si="3"/>
        <v>6.133</v>
      </c>
      <c r="P18" s="174"/>
    </row>
    <row r="19" spans="1:16" ht="12">
      <c r="A19" s="1"/>
      <c r="B19" s="175"/>
      <c r="C19" s="84" t="s">
        <v>128</v>
      </c>
      <c r="D19" s="84" t="s">
        <v>129</v>
      </c>
      <c r="E19" s="168">
        <v>0.713</v>
      </c>
      <c r="F19" s="168">
        <v>0.549</v>
      </c>
      <c r="G19" s="168">
        <v>0.164</v>
      </c>
      <c r="H19" s="174"/>
      <c r="J19" s="175"/>
      <c r="K19" s="200" t="s">
        <v>130</v>
      </c>
      <c r="L19" s="201" t="s">
        <v>131</v>
      </c>
      <c r="M19" s="202">
        <v>4.498</v>
      </c>
      <c r="N19" s="202">
        <v>0.215</v>
      </c>
      <c r="O19" s="203">
        <v>4.283</v>
      </c>
      <c r="P19" s="174"/>
    </row>
    <row r="20" spans="1:16" ht="12">
      <c r="A20" s="1"/>
      <c r="B20" s="175"/>
      <c r="C20" s="84" t="s">
        <v>132</v>
      </c>
      <c r="D20" s="84" t="s">
        <v>133</v>
      </c>
      <c r="E20" s="168">
        <v>0.229</v>
      </c>
      <c r="F20" s="168">
        <v>0.129</v>
      </c>
      <c r="G20" s="167">
        <v>0.1</v>
      </c>
      <c r="H20" s="174"/>
      <c r="J20" s="175"/>
      <c r="K20" s="200" t="s">
        <v>134</v>
      </c>
      <c r="L20" s="201" t="s">
        <v>135</v>
      </c>
      <c r="M20" s="202">
        <v>1.523</v>
      </c>
      <c r="N20" s="202">
        <v>1.465</v>
      </c>
      <c r="O20" s="203">
        <v>0.057</v>
      </c>
      <c r="P20" s="174"/>
    </row>
    <row r="21" spans="1:16" ht="12">
      <c r="A21" s="1"/>
      <c r="B21" s="175"/>
      <c r="C21" s="84" t="s">
        <v>136</v>
      </c>
      <c r="D21" s="84" t="s">
        <v>137</v>
      </c>
      <c r="E21" s="168">
        <v>0.018</v>
      </c>
      <c r="F21" s="168">
        <v>0.019</v>
      </c>
      <c r="G21" s="168">
        <v>-0.001</v>
      </c>
      <c r="H21" s="174"/>
      <c r="J21" s="175"/>
      <c r="K21" s="200" t="s">
        <v>128</v>
      </c>
      <c r="L21" s="201" t="s">
        <v>129</v>
      </c>
      <c r="M21" s="202">
        <v>0.713</v>
      </c>
      <c r="N21" s="202">
        <v>0.549</v>
      </c>
      <c r="O21" s="203">
        <v>0.164</v>
      </c>
      <c r="P21" s="174"/>
    </row>
    <row r="22" spans="1:16" ht="12">
      <c r="A22" s="1"/>
      <c r="B22" s="175"/>
      <c r="C22" s="84" t="s">
        <v>138</v>
      </c>
      <c r="D22" s="84" t="s">
        <v>139</v>
      </c>
      <c r="E22" s="168">
        <v>0.332</v>
      </c>
      <c r="F22" s="168">
        <v>0.261</v>
      </c>
      <c r="G22" s="168">
        <v>0.07</v>
      </c>
      <c r="H22" s="174"/>
      <c r="J22" s="175"/>
      <c r="K22" s="200" t="s">
        <v>160</v>
      </c>
      <c r="L22" s="201" t="s">
        <v>161</v>
      </c>
      <c r="M22" s="202">
        <v>0.526</v>
      </c>
      <c r="N22" s="202">
        <v>0.51</v>
      </c>
      <c r="O22" s="203">
        <v>0.016</v>
      </c>
      <c r="P22" s="174"/>
    </row>
    <row r="23" spans="1:16" ht="12">
      <c r="A23" s="1"/>
      <c r="B23" s="175"/>
      <c r="C23" s="84" t="s">
        <v>134</v>
      </c>
      <c r="D23" s="84" t="s">
        <v>135</v>
      </c>
      <c r="E23" s="168">
        <v>1.523</v>
      </c>
      <c r="F23" s="168">
        <v>1.465</v>
      </c>
      <c r="G23" s="168">
        <v>0.057</v>
      </c>
      <c r="H23" s="174"/>
      <c r="J23" s="175"/>
      <c r="K23" s="200" t="s">
        <v>150</v>
      </c>
      <c r="L23" s="201" t="s">
        <v>151</v>
      </c>
      <c r="M23" s="202">
        <v>0.519</v>
      </c>
      <c r="N23" s="202">
        <v>0.506</v>
      </c>
      <c r="O23" s="203">
        <v>0.013</v>
      </c>
      <c r="P23" s="174"/>
    </row>
    <row r="24" spans="1:16" ht="12">
      <c r="A24" s="1"/>
      <c r="B24" s="175"/>
      <c r="C24" s="84" t="s">
        <v>144</v>
      </c>
      <c r="D24" s="84" t="s">
        <v>145</v>
      </c>
      <c r="E24" s="168">
        <v>0.145</v>
      </c>
      <c r="F24" s="168">
        <v>0.129</v>
      </c>
      <c r="G24" s="168">
        <v>0.016</v>
      </c>
      <c r="H24" s="174"/>
      <c r="J24" s="175"/>
      <c r="K24" s="200" t="s">
        <v>146</v>
      </c>
      <c r="L24" s="201" t="s">
        <v>147</v>
      </c>
      <c r="M24" s="202">
        <v>0.507</v>
      </c>
      <c r="N24" s="202">
        <v>0.505</v>
      </c>
      <c r="O24" s="203">
        <v>0.002</v>
      </c>
      <c r="P24" s="174"/>
    </row>
    <row r="25" spans="1:16" ht="12">
      <c r="A25" s="1"/>
      <c r="B25" s="175"/>
      <c r="C25" s="84" t="s">
        <v>148</v>
      </c>
      <c r="D25" s="84" t="s">
        <v>305</v>
      </c>
      <c r="E25" s="168">
        <v>0.048</v>
      </c>
      <c r="F25" s="168">
        <v>0.025</v>
      </c>
      <c r="G25" s="168">
        <v>0.023</v>
      </c>
      <c r="H25" s="174"/>
      <c r="J25" s="175"/>
      <c r="K25" s="200" t="s">
        <v>140</v>
      </c>
      <c r="L25" s="201" t="s">
        <v>141</v>
      </c>
      <c r="M25" s="202">
        <v>0.503</v>
      </c>
      <c r="N25" s="202">
        <v>0.504</v>
      </c>
      <c r="O25" s="203">
        <v>-0.001</v>
      </c>
      <c r="P25" s="174"/>
    </row>
    <row r="26" spans="1:16" ht="12">
      <c r="A26" s="1"/>
      <c r="B26" s="175"/>
      <c r="C26" s="84" t="s">
        <v>152</v>
      </c>
      <c r="D26" s="84" t="s">
        <v>153</v>
      </c>
      <c r="E26" s="168">
        <v>0.047</v>
      </c>
      <c r="F26" s="168">
        <v>0.055</v>
      </c>
      <c r="G26" s="168">
        <v>-0.008</v>
      </c>
      <c r="H26" s="174"/>
      <c r="J26" s="175"/>
      <c r="K26" s="200" t="s">
        <v>142</v>
      </c>
      <c r="L26" s="201" t="s">
        <v>143</v>
      </c>
      <c r="M26" s="202">
        <v>0.466</v>
      </c>
      <c r="N26" s="202">
        <v>0.466</v>
      </c>
      <c r="O26" s="203">
        <v>0</v>
      </c>
      <c r="P26" s="174"/>
    </row>
    <row r="27" spans="1:16" ht="12">
      <c r="A27" s="1"/>
      <c r="B27" s="175"/>
      <c r="C27" s="84" t="s">
        <v>156</v>
      </c>
      <c r="D27" s="84" t="s">
        <v>157</v>
      </c>
      <c r="E27" s="168">
        <v>0.004</v>
      </c>
      <c r="F27" s="168">
        <v>0.005</v>
      </c>
      <c r="G27" s="85">
        <v>-0.002</v>
      </c>
      <c r="H27" s="174"/>
      <c r="J27" s="175"/>
      <c r="K27" s="200" t="s">
        <v>158</v>
      </c>
      <c r="L27" s="201" t="s">
        <v>159</v>
      </c>
      <c r="M27" s="202">
        <v>0.392</v>
      </c>
      <c r="N27" s="202">
        <v>0.193</v>
      </c>
      <c r="O27" s="203">
        <v>0.199</v>
      </c>
      <c r="P27" s="174"/>
    </row>
    <row r="28" spans="1:16" ht="12">
      <c r="A28" s="1"/>
      <c r="B28" s="175"/>
      <c r="C28" s="84" t="s">
        <v>160</v>
      </c>
      <c r="D28" s="84" t="s">
        <v>161</v>
      </c>
      <c r="E28" s="168">
        <v>0.526</v>
      </c>
      <c r="F28" s="168">
        <v>0.51</v>
      </c>
      <c r="G28" s="168">
        <v>0.016</v>
      </c>
      <c r="H28" s="174"/>
      <c r="J28" s="175"/>
      <c r="K28" s="200" t="s">
        <v>138</v>
      </c>
      <c r="L28" s="201" t="s">
        <v>139</v>
      </c>
      <c r="M28" s="202">
        <v>0.332</v>
      </c>
      <c r="N28" s="202">
        <v>0.261</v>
      </c>
      <c r="O28" s="203">
        <v>0.07</v>
      </c>
      <c r="P28" s="174"/>
    </row>
    <row r="29" spans="1:16" ht="12">
      <c r="A29" s="1"/>
      <c r="B29" s="175"/>
      <c r="C29" s="84" t="s">
        <v>162</v>
      </c>
      <c r="D29" s="84" t="s">
        <v>163</v>
      </c>
      <c r="E29" s="168">
        <v>0.131</v>
      </c>
      <c r="F29" s="168">
        <v>0.12</v>
      </c>
      <c r="G29" s="168">
        <v>0.011</v>
      </c>
      <c r="H29" s="174"/>
      <c r="J29" s="175"/>
      <c r="K29" s="200" t="s">
        <v>178</v>
      </c>
      <c r="L29" s="201" t="s">
        <v>179</v>
      </c>
      <c r="M29" s="202">
        <v>0.324</v>
      </c>
      <c r="N29" s="202">
        <v>0.304</v>
      </c>
      <c r="O29" s="203">
        <v>0.021</v>
      </c>
      <c r="P29" s="174"/>
    </row>
    <row r="30" spans="1:16" ht="12">
      <c r="A30" s="1"/>
      <c r="B30" s="175"/>
      <c r="C30" s="84" t="s">
        <v>166</v>
      </c>
      <c r="D30" s="84" t="s">
        <v>167</v>
      </c>
      <c r="E30" s="168">
        <v>0.066</v>
      </c>
      <c r="F30" s="168">
        <v>0.085</v>
      </c>
      <c r="G30" s="168">
        <v>-0.019</v>
      </c>
      <c r="H30" s="174"/>
      <c r="J30" s="175"/>
      <c r="K30" s="200" t="s">
        <v>164</v>
      </c>
      <c r="L30" s="201" t="s">
        <v>165</v>
      </c>
      <c r="M30" s="202">
        <v>0.323</v>
      </c>
      <c r="N30" s="202">
        <v>0.252</v>
      </c>
      <c r="O30" s="203">
        <v>0.071</v>
      </c>
      <c r="P30" s="174"/>
    </row>
    <row r="31" spans="1:16" ht="12">
      <c r="A31" s="1"/>
      <c r="B31" s="175"/>
      <c r="C31" s="84" t="s">
        <v>170</v>
      </c>
      <c r="D31" s="84" t="s">
        <v>171</v>
      </c>
      <c r="E31" s="168">
        <v>0.035</v>
      </c>
      <c r="F31" s="168">
        <v>0.028</v>
      </c>
      <c r="G31" s="167">
        <v>0.007</v>
      </c>
      <c r="H31" s="174"/>
      <c r="J31" s="175"/>
      <c r="K31" s="200" t="s">
        <v>168</v>
      </c>
      <c r="L31" s="201" t="s">
        <v>169</v>
      </c>
      <c r="M31" s="202">
        <v>0.29</v>
      </c>
      <c r="N31" s="202">
        <v>0.29</v>
      </c>
      <c r="O31" s="203">
        <v>0</v>
      </c>
      <c r="P31" s="174"/>
    </row>
    <row r="32" spans="1:16" ht="12">
      <c r="A32" s="1"/>
      <c r="B32" s="175"/>
      <c r="C32" s="84" t="s">
        <v>172</v>
      </c>
      <c r="D32" s="84" t="s">
        <v>173</v>
      </c>
      <c r="E32" s="168">
        <v>0.193</v>
      </c>
      <c r="F32" s="168">
        <v>0.166</v>
      </c>
      <c r="G32" s="168">
        <v>0.027</v>
      </c>
      <c r="H32" s="174"/>
      <c r="J32" s="175"/>
      <c r="K32" s="200" t="s">
        <v>154</v>
      </c>
      <c r="L32" s="201" t="s">
        <v>155</v>
      </c>
      <c r="M32" s="202">
        <v>0.263</v>
      </c>
      <c r="N32" s="202">
        <v>0.254</v>
      </c>
      <c r="O32" s="203">
        <v>0.008</v>
      </c>
      <c r="P32" s="174"/>
    </row>
    <row r="33" spans="1:16" ht="12">
      <c r="A33" s="1"/>
      <c r="B33" s="175"/>
      <c r="C33" s="84" t="s">
        <v>176</v>
      </c>
      <c r="D33" s="84" t="s">
        <v>177</v>
      </c>
      <c r="E33" s="168">
        <v>0.011</v>
      </c>
      <c r="F33" s="168">
        <v>0.001</v>
      </c>
      <c r="G33" s="168">
        <v>0.009</v>
      </c>
      <c r="H33" s="174"/>
      <c r="J33" s="175"/>
      <c r="K33" s="200" t="s">
        <v>174</v>
      </c>
      <c r="L33" s="201" t="s">
        <v>175</v>
      </c>
      <c r="M33" s="202">
        <v>0.232</v>
      </c>
      <c r="N33" s="202">
        <v>0.007</v>
      </c>
      <c r="O33" s="203">
        <v>0.224</v>
      </c>
      <c r="P33" s="174"/>
    </row>
    <row r="34" spans="1:16" ht="12">
      <c r="A34" s="1"/>
      <c r="B34" s="175"/>
      <c r="C34" s="84" t="s">
        <v>180</v>
      </c>
      <c r="D34" s="84" t="s">
        <v>181</v>
      </c>
      <c r="E34" s="168">
        <v>0.139</v>
      </c>
      <c r="F34" s="168">
        <v>0.033</v>
      </c>
      <c r="G34" s="167">
        <v>0.106</v>
      </c>
      <c r="H34" s="174"/>
      <c r="J34" s="175"/>
      <c r="K34" s="200" t="s">
        <v>132</v>
      </c>
      <c r="L34" s="201" t="s">
        <v>133</v>
      </c>
      <c r="M34" s="202">
        <v>0.229</v>
      </c>
      <c r="N34" s="202">
        <v>0.129</v>
      </c>
      <c r="O34" s="203">
        <v>0.1</v>
      </c>
      <c r="P34" s="174"/>
    </row>
    <row r="35" spans="1:16" ht="12">
      <c r="A35" s="1"/>
      <c r="B35" s="175"/>
      <c r="C35" s="84" t="s">
        <v>184</v>
      </c>
      <c r="D35" s="84" t="s">
        <v>185</v>
      </c>
      <c r="E35" s="168">
        <v>0.131</v>
      </c>
      <c r="F35" s="168">
        <v>0.05</v>
      </c>
      <c r="G35" s="168">
        <v>0.081</v>
      </c>
      <c r="H35" s="174"/>
      <c r="J35" s="175"/>
      <c r="K35" s="200" t="s">
        <v>188</v>
      </c>
      <c r="L35" s="201" t="s">
        <v>189</v>
      </c>
      <c r="M35" s="202">
        <v>0.211</v>
      </c>
      <c r="N35" s="202">
        <v>0.024</v>
      </c>
      <c r="O35" s="203">
        <v>0.187</v>
      </c>
      <c r="P35" s="174"/>
    </row>
    <row r="36" spans="1:16" ht="12">
      <c r="A36" s="1"/>
      <c r="B36" s="175"/>
      <c r="C36" s="84" t="s">
        <v>186</v>
      </c>
      <c r="D36" s="84" t="s">
        <v>187</v>
      </c>
      <c r="E36" s="168">
        <v>0.118</v>
      </c>
      <c r="F36" s="168">
        <v>0.053</v>
      </c>
      <c r="G36" s="168">
        <v>0.065</v>
      </c>
      <c r="H36" s="174"/>
      <c r="J36" s="175"/>
      <c r="K36" s="200" t="s">
        <v>182</v>
      </c>
      <c r="L36" s="201" t="s">
        <v>183</v>
      </c>
      <c r="M36" s="202">
        <v>0.208</v>
      </c>
      <c r="N36" s="202">
        <v>0.133</v>
      </c>
      <c r="O36" s="203">
        <v>0.075</v>
      </c>
      <c r="P36" s="174"/>
    </row>
    <row r="37" spans="1:16" ht="12">
      <c r="A37" s="1"/>
      <c r="B37" s="175"/>
      <c r="C37" s="84" t="s">
        <v>174</v>
      </c>
      <c r="D37" s="84" t="s">
        <v>175</v>
      </c>
      <c r="E37" s="168">
        <v>0.232</v>
      </c>
      <c r="F37" s="167">
        <v>0.007</v>
      </c>
      <c r="G37" s="168">
        <v>0.224</v>
      </c>
      <c r="H37" s="174"/>
      <c r="J37" s="175"/>
      <c r="K37" s="200" t="s">
        <v>172</v>
      </c>
      <c r="L37" s="201" t="s">
        <v>173</v>
      </c>
      <c r="M37" s="202">
        <v>0.193</v>
      </c>
      <c r="N37" s="202">
        <v>0.166</v>
      </c>
      <c r="O37" s="203">
        <v>0.027</v>
      </c>
      <c r="P37" s="174"/>
    </row>
    <row r="38" spans="1:16" ht="12">
      <c r="A38" s="1"/>
      <c r="B38" s="175"/>
      <c r="C38" s="84" t="s">
        <v>158</v>
      </c>
      <c r="D38" s="84" t="s">
        <v>159</v>
      </c>
      <c r="E38" s="168">
        <v>0.392</v>
      </c>
      <c r="F38" s="168">
        <v>0.193</v>
      </c>
      <c r="G38" s="168">
        <v>0.199</v>
      </c>
      <c r="H38" s="174"/>
      <c r="J38" s="175"/>
      <c r="K38" s="200" t="s">
        <v>144</v>
      </c>
      <c r="L38" s="201" t="s">
        <v>145</v>
      </c>
      <c r="M38" s="202">
        <v>0.145</v>
      </c>
      <c r="N38" s="202">
        <v>0.129</v>
      </c>
      <c r="O38" s="203">
        <v>0.016</v>
      </c>
      <c r="P38" s="174"/>
    </row>
    <row r="39" spans="1:16" ht="12">
      <c r="A39" s="1"/>
      <c r="B39" s="175"/>
      <c r="C39" s="84" t="s">
        <v>190</v>
      </c>
      <c r="D39" s="84" t="s">
        <v>191</v>
      </c>
      <c r="E39" s="168">
        <v>0.081</v>
      </c>
      <c r="F39" s="167">
        <v>0.003</v>
      </c>
      <c r="G39" s="168">
        <v>0.078</v>
      </c>
      <c r="H39" s="174"/>
      <c r="J39" s="175"/>
      <c r="K39" s="200" t="s">
        <v>180</v>
      </c>
      <c r="L39" s="201" t="s">
        <v>181</v>
      </c>
      <c r="M39" s="202">
        <v>0.139</v>
      </c>
      <c r="N39" s="202">
        <v>0.033</v>
      </c>
      <c r="O39" s="203">
        <v>0.106</v>
      </c>
      <c r="P39" s="174"/>
    </row>
    <row r="40" spans="1:16" ht="12">
      <c r="A40" s="1"/>
      <c r="B40" s="175"/>
      <c r="C40" s="84" t="s">
        <v>182</v>
      </c>
      <c r="D40" s="84" t="s">
        <v>183</v>
      </c>
      <c r="E40" s="167">
        <v>0.208</v>
      </c>
      <c r="F40" s="168">
        <v>0.133</v>
      </c>
      <c r="G40" s="168">
        <v>0.075</v>
      </c>
      <c r="H40" s="174"/>
      <c r="J40" s="175"/>
      <c r="K40" s="200" t="s">
        <v>192</v>
      </c>
      <c r="L40" s="201" t="s">
        <v>193</v>
      </c>
      <c r="M40" s="202">
        <v>0.133</v>
      </c>
      <c r="N40" s="202">
        <v>0.133</v>
      </c>
      <c r="O40" s="203">
        <v>0</v>
      </c>
      <c r="P40" s="174"/>
    </row>
    <row r="41" spans="1:16" ht="12">
      <c r="A41" s="1"/>
      <c r="B41" s="175"/>
      <c r="C41" s="84" t="s">
        <v>194</v>
      </c>
      <c r="D41" s="84" t="s">
        <v>195</v>
      </c>
      <c r="E41" s="168">
        <v>0.085</v>
      </c>
      <c r="F41" s="168">
        <v>0.002</v>
      </c>
      <c r="G41" s="168">
        <v>0.082</v>
      </c>
      <c r="H41" s="174"/>
      <c r="J41" s="175"/>
      <c r="K41" s="200" t="s">
        <v>162</v>
      </c>
      <c r="L41" s="201" t="s">
        <v>163</v>
      </c>
      <c r="M41" s="202">
        <v>0.131</v>
      </c>
      <c r="N41" s="202">
        <v>0.12</v>
      </c>
      <c r="O41" s="203">
        <v>0.011</v>
      </c>
      <c r="P41" s="174"/>
    </row>
    <row r="42" spans="1:16" ht="12">
      <c r="A42" s="1"/>
      <c r="B42" s="175"/>
      <c r="C42" s="84" t="s">
        <v>140</v>
      </c>
      <c r="D42" s="84" t="s">
        <v>141</v>
      </c>
      <c r="E42" s="168">
        <v>0.503</v>
      </c>
      <c r="F42" s="168">
        <v>0.504</v>
      </c>
      <c r="G42" s="168">
        <v>-0.001</v>
      </c>
      <c r="H42" s="174"/>
      <c r="J42" s="175"/>
      <c r="K42" s="200" t="s">
        <v>184</v>
      </c>
      <c r="L42" s="201" t="s">
        <v>185</v>
      </c>
      <c r="M42" s="202">
        <v>0.131</v>
      </c>
      <c r="N42" s="202">
        <v>0.05</v>
      </c>
      <c r="O42" s="203">
        <v>0.081</v>
      </c>
      <c r="P42" s="174"/>
    </row>
    <row r="43" spans="1:16" ht="12">
      <c r="A43" s="1"/>
      <c r="B43" s="175"/>
      <c r="C43" s="84" t="s">
        <v>196</v>
      </c>
      <c r="D43" s="84" t="s">
        <v>197</v>
      </c>
      <c r="E43" s="168">
        <v>0.023</v>
      </c>
      <c r="F43" s="168">
        <v>0.023</v>
      </c>
      <c r="G43" s="85">
        <v>0</v>
      </c>
      <c r="H43" s="174"/>
      <c r="J43" s="175"/>
      <c r="K43" s="200" t="s">
        <v>186</v>
      </c>
      <c r="L43" s="201" t="s">
        <v>187</v>
      </c>
      <c r="M43" s="202">
        <v>0.118</v>
      </c>
      <c r="N43" s="202">
        <v>0.053</v>
      </c>
      <c r="O43" s="203">
        <v>0.065</v>
      </c>
      <c r="P43" s="174"/>
    </row>
    <row r="44" spans="1:16" ht="12">
      <c r="A44" s="1"/>
      <c r="B44" s="175"/>
      <c r="C44" s="84" t="s">
        <v>198</v>
      </c>
      <c r="D44" s="84" t="s">
        <v>199</v>
      </c>
      <c r="E44" s="168">
        <v>0.102</v>
      </c>
      <c r="F44" s="168">
        <v>0.102</v>
      </c>
      <c r="G44" s="168">
        <v>0</v>
      </c>
      <c r="H44" s="174"/>
      <c r="J44" s="175"/>
      <c r="K44" s="200" t="s">
        <v>200</v>
      </c>
      <c r="L44" s="201" t="s">
        <v>201</v>
      </c>
      <c r="M44" s="202">
        <v>0.113</v>
      </c>
      <c r="N44" s="202">
        <v>0.113</v>
      </c>
      <c r="O44" s="203">
        <v>0</v>
      </c>
      <c r="P44" s="174"/>
    </row>
    <row r="45" spans="1:16" ht="12">
      <c r="A45" s="1"/>
      <c r="B45" s="175"/>
      <c r="C45" s="84" t="s">
        <v>130</v>
      </c>
      <c r="D45" s="84" t="s">
        <v>131</v>
      </c>
      <c r="E45" s="168">
        <v>4.498</v>
      </c>
      <c r="F45" s="168">
        <v>0.215</v>
      </c>
      <c r="G45" s="168">
        <v>4.283</v>
      </c>
      <c r="H45" s="174"/>
      <c r="J45" s="175"/>
      <c r="K45" s="200" t="s">
        <v>198</v>
      </c>
      <c r="L45" s="201" t="s">
        <v>199</v>
      </c>
      <c r="M45" s="202">
        <v>0.102</v>
      </c>
      <c r="N45" s="202">
        <v>0.102</v>
      </c>
      <c r="O45" s="203">
        <v>0</v>
      </c>
      <c r="P45" s="174"/>
    </row>
    <row r="46" spans="1:16" ht="12">
      <c r="A46" s="1"/>
      <c r="B46" s="175"/>
      <c r="C46" s="84" t="s">
        <v>202</v>
      </c>
      <c r="D46" s="84" t="s">
        <v>203</v>
      </c>
      <c r="E46" s="167">
        <v>0.083</v>
      </c>
      <c r="F46" s="168">
        <v>0.071</v>
      </c>
      <c r="G46" s="168">
        <v>0.012</v>
      </c>
      <c r="H46" s="174"/>
      <c r="J46" s="175"/>
      <c r="K46" s="200" t="s">
        <v>194</v>
      </c>
      <c r="L46" s="201" t="s">
        <v>195</v>
      </c>
      <c r="M46" s="202">
        <v>0.085</v>
      </c>
      <c r="N46" s="202">
        <v>0.002</v>
      </c>
      <c r="O46" s="203">
        <v>0.082</v>
      </c>
      <c r="P46" s="174"/>
    </row>
    <row r="47" spans="1:16" ht="12">
      <c r="A47" s="1"/>
      <c r="B47" s="175"/>
      <c r="C47" s="84" t="s">
        <v>164</v>
      </c>
      <c r="D47" s="84" t="s">
        <v>165</v>
      </c>
      <c r="E47" s="168">
        <v>0.323</v>
      </c>
      <c r="F47" s="167">
        <v>0.252</v>
      </c>
      <c r="G47" s="168">
        <v>0.071</v>
      </c>
      <c r="H47" s="174"/>
      <c r="J47" s="175"/>
      <c r="K47" s="200" t="s">
        <v>202</v>
      </c>
      <c r="L47" s="201" t="s">
        <v>203</v>
      </c>
      <c r="M47" s="202">
        <v>0.083</v>
      </c>
      <c r="N47" s="202">
        <v>0.071</v>
      </c>
      <c r="O47" s="203">
        <v>0.012</v>
      </c>
      <c r="P47" s="174"/>
    </row>
    <row r="48" spans="1:16" ht="12">
      <c r="A48" s="1"/>
      <c r="B48" s="175"/>
      <c r="C48" s="84" t="s">
        <v>178</v>
      </c>
      <c r="D48" s="84" t="s">
        <v>179</v>
      </c>
      <c r="E48" s="168">
        <v>0.324</v>
      </c>
      <c r="F48" s="168">
        <v>0.304</v>
      </c>
      <c r="G48" s="168">
        <v>0.021</v>
      </c>
      <c r="H48" s="174"/>
      <c r="J48" s="175"/>
      <c r="K48" s="200" t="s">
        <v>190</v>
      </c>
      <c r="L48" s="201" t="s">
        <v>191</v>
      </c>
      <c r="M48" s="202">
        <v>0.081</v>
      </c>
      <c r="N48" s="202">
        <v>0.003</v>
      </c>
      <c r="O48" s="203">
        <v>0.078</v>
      </c>
      <c r="P48" s="174"/>
    </row>
    <row r="49" spans="1:16" ht="12">
      <c r="A49" s="1"/>
      <c r="B49" s="175"/>
      <c r="C49" s="84" t="s">
        <v>154</v>
      </c>
      <c r="D49" s="84" t="s">
        <v>155</v>
      </c>
      <c r="E49" s="168">
        <v>0.263</v>
      </c>
      <c r="F49" s="169">
        <v>0.254</v>
      </c>
      <c r="G49" s="168">
        <v>0.008</v>
      </c>
      <c r="H49" s="174"/>
      <c r="J49" s="175"/>
      <c r="K49" s="200" t="s">
        <v>210</v>
      </c>
      <c r="L49" s="201" t="s">
        <v>211</v>
      </c>
      <c r="M49" s="202">
        <v>0.069</v>
      </c>
      <c r="N49" s="202">
        <v>0.001</v>
      </c>
      <c r="O49" s="203">
        <v>0.068</v>
      </c>
      <c r="P49" s="174"/>
    </row>
    <row r="50" spans="1:16" ht="12">
      <c r="A50" s="1"/>
      <c r="B50" s="175"/>
      <c r="C50" s="84" t="s">
        <v>204</v>
      </c>
      <c r="D50" s="84" t="s">
        <v>205</v>
      </c>
      <c r="E50" s="168">
        <v>0.006</v>
      </c>
      <c r="F50" s="168">
        <v>0.009</v>
      </c>
      <c r="G50" s="85">
        <v>-0.003</v>
      </c>
      <c r="H50" s="174"/>
      <c r="J50" s="175"/>
      <c r="K50" s="200" t="s">
        <v>166</v>
      </c>
      <c r="L50" s="201" t="s">
        <v>167</v>
      </c>
      <c r="M50" s="202">
        <v>0.066</v>
      </c>
      <c r="N50" s="202">
        <v>0.085</v>
      </c>
      <c r="O50" s="203">
        <v>-0.019</v>
      </c>
      <c r="P50" s="174"/>
    </row>
    <row r="51" spans="1:16" ht="12">
      <c r="A51" s="1"/>
      <c r="B51" s="175"/>
      <c r="C51" s="84" t="s">
        <v>208</v>
      </c>
      <c r="D51" s="84" t="s">
        <v>209</v>
      </c>
      <c r="E51" s="168">
        <v>0.032</v>
      </c>
      <c r="F51" s="168">
        <v>0.031</v>
      </c>
      <c r="G51" s="85">
        <v>0</v>
      </c>
      <c r="H51" s="174"/>
      <c r="J51" s="175"/>
      <c r="K51" s="200" t="s">
        <v>216</v>
      </c>
      <c r="L51" s="201" t="s">
        <v>217</v>
      </c>
      <c r="M51" s="202">
        <v>0.056</v>
      </c>
      <c r="N51" s="202">
        <v>0.053</v>
      </c>
      <c r="O51" s="203">
        <v>0.003</v>
      </c>
      <c r="P51" s="174"/>
    </row>
    <row r="52" spans="1:16" ht="12">
      <c r="A52" s="1"/>
      <c r="B52" s="175"/>
      <c r="C52" s="84" t="s">
        <v>212</v>
      </c>
      <c r="D52" s="84" t="s">
        <v>213</v>
      </c>
      <c r="E52" s="168">
        <v>0.041</v>
      </c>
      <c r="F52" s="168">
        <v>0.041</v>
      </c>
      <c r="G52" s="85">
        <v>0</v>
      </c>
      <c r="H52" s="174"/>
      <c r="J52" s="175"/>
      <c r="K52" s="200" t="s">
        <v>224</v>
      </c>
      <c r="L52" s="201" t="s">
        <v>225</v>
      </c>
      <c r="M52" s="202">
        <v>0.053</v>
      </c>
      <c r="N52" s="202">
        <v>0.053</v>
      </c>
      <c r="O52" s="203">
        <v>0</v>
      </c>
      <c r="P52" s="174"/>
    </row>
    <row r="53" spans="1:16" ht="12">
      <c r="A53" s="1"/>
      <c r="B53" s="175"/>
      <c r="C53" s="84" t="s">
        <v>214</v>
      </c>
      <c r="D53" s="84" t="s">
        <v>215</v>
      </c>
      <c r="E53" s="168">
        <v>0.003</v>
      </c>
      <c r="F53" s="168">
        <v>0.003</v>
      </c>
      <c r="G53" s="85">
        <v>0</v>
      </c>
      <c r="H53" s="174"/>
      <c r="J53" s="175"/>
      <c r="K53" s="200" t="s">
        <v>206</v>
      </c>
      <c r="L53" s="201" t="s">
        <v>207</v>
      </c>
      <c r="M53" s="202">
        <v>0.052</v>
      </c>
      <c r="N53" s="202">
        <v>0.052</v>
      </c>
      <c r="O53" s="203">
        <v>0</v>
      </c>
      <c r="P53" s="174"/>
    </row>
    <row r="54" spans="1:16" ht="12">
      <c r="A54" s="1"/>
      <c r="B54" s="175"/>
      <c r="C54" s="84" t="s">
        <v>142</v>
      </c>
      <c r="D54" s="84" t="s">
        <v>143</v>
      </c>
      <c r="E54" s="168">
        <v>0.466</v>
      </c>
      <c r="F54" s="168">
        <v>0.466</v>
      </c>
      <c r="G54" s="85">
        <v>0</v>
      </c>
      <c r="H54" s="174"/>
      <c r="J54" s="175"/>
      <c r="K54" s="200" t="s">
        <v>236</v>
      </c>
      <c r="L54" s="201" t="s">
        <v>237</v>
      </c>
      <c r="M54" s="202">
        <v>0.051</v>
      </c>
      <c r="N54" s="202">
        <v>0.006</v>
      </c>
      <c r="O54" s="203">
        <v>0.045</v>
      </c>
      <c r="P54" s="174"/>
    </row>
    <row r="55" spans="1:16" ht="12">
      <c r="A55" s="1"/>
      <c r="B55" s="175"/>
      <c r="C55" s="84" t="s">
        <v>218</v>
      </c>
      <c r="D55" s="84" t="s">
        <v>219</v>
      </c>
      <c r="E55" s="168">
        <v>0.034</v>
      </c>
      <c r="F55" s="168">
        <v>0.021</v>
      </c>
      <c r="G55" s="168">
        <v>0.013</v>
      </c>
      <c r="H55" s="174"/>
      <c r="J55" s="175"/>
      <c r="K55" s="200" t="s">
        <v>148</v>
      </c>
      <c r="L55" s="201" t="s">
        <v>305</v>
      </c>
      <c r="M55" s="202">
        <v>0.048</v>
      </c>
      <c r="N55" s="202">
        <v>0.025</v>
      </c>
      <c r="O55" s="203">
        <v>0.023</v>
      </c>
      <c r="P55" s="174"/>
    </row>
    <row r="56" spans="1:16" ht="12">
      <c r="A56" s="1"/>
      <c r="B56" s="175"/>
      <c r="C56" s="84" t="s">
        <v>222</v>
      </c>
      <c r="D56" s="84" t="s">
        <v>223</v>
      </c>
      <c r="E56" s="168">
        <v>0.027</v>
      </c>
      <c r="F56" s="168">
        <v>0.02</v>
      </c>
      <c r="G56" s="168">
        <v>0.007</v>
      </c>
      <c r="H56" s="174"/>
      <c r="J56" s="175"/>
      <c r="K56" s="200" t="s">
        <v>152</v>
      </c>
      <c r="L56" s="201" t="s">
        <v>153</v>
      </c>
      <c r="M56" s="202">
        <v>0.047</v>
      </c>
      <c r="N56" s="202">
        <v>0.055</v>
      </c>
      <c r="O56" s="203">
        <v>-0.008</v>
      </c>
      <c r="P56" s="174"/>
    </row>
    <row r="57" spans="1:16" ht="12">
      <c r="A57" s="1"/>
      <c r="B57" s="175"/>
      <c r="C57" s="84" t="s">
        <v>206</v>
      </c>
      <c r="D57" s="84" t="s">
        <v>207</v>
      </c>
      <c r="E57" s="167">
        <v>0.052</v>
      </c>
      <c r="F57" s="167">
        <v>0.052</v>
      </c>
      <c r="G57" s="85">
        <v>0</v>
      </c>
      <c r="H57" s="174"/>
      <c r="J57" s="175"/>
      <c r="K57" s="200" t="s">
        <v>248</v>
      </c>
      <c r="L57" s="201" t="s">
        <v>249</v>
      </c>
      <c r="M57" s="202">
        <v>0.046</v>
      </c>
      <c r="N57" s="202">
        <v>0.046</v>
      </c>
      <c r="O57" s="203">
        <v>0</v>
      </c>
      <c r="P57" s="174"/>
    </row>
    <row r="58" spans="1:16" ht="12">
      <c r="A58" s="1"/>
      <c r="B58" s="175"/>
      <c r="C58" s="84" t="s">
        <v>210</v>
      </c>
      <c r="D58" s="84" t="s">
        <v>211</v>
      </c>
      <c r="E58" s="167">
        <v>0.069</v>
      </c>
      <c r="F58" s="168">
        <v>0.001</v>
      </c>
      <c r="G58" s="168">
        <v>0.068</v>
      </c>
      <c r="H58" s="174"/>
      <c r="J58" s="175"/>
      <c r="K58" s="200" t="s">
        <v>226</v>
      </c>
      <c r="L58" s="201" t="s">
        <v>227</v>
      </c>
      <c r="M58" s="202">
        <v>0.046</v>
      </c>
      <c r="N58" s="202">
        <v>0.046</v>
      </c>
      <c r="O58" s="203">
        <v>0</v>
      </c>
      <c r="P58" s="174"/>
    </row>
    <row r="59" spans="1:16" ht="12">
      <c r="A59" s="1"/>
      <c r="B59" s="175"/>
      <c r="C59" s="84" t="s">
        <v>228</v>
      </c>
      <c r="D59" s="84" t="s">
        <v>229</v>
      </c>
      <c r="E59" s="168">
        <v>0.022</v>
      </c>
      <c r="F59" s="168">
        <v>0.022</v>
      </c>
      <c r="G59" s="85">
        <v>0</v>
      </c>
      <c r="H59" s="174"/>
      <c r="J59" s="175"/>
      <c r="K59" s="200" t="s">
        <v>212</v>
      </c>
      <c r="L59" s="201" t="s">
        <v>213</v>
      </c>
      <c r="M59" s="202">
        <v>0.041</v>
      </c>
      <c r="N59" s="202">
        <v>0.041</v>
      </c>
      <c r="O59" s="203">
        <v>0</v>
      </c>
      <c r="P59" s="174"/>
    </row>
    <row r="60" spans="1:16" ht="12">
      <c r="A60" s="1"/>
      <c r="B60" s="175"/>
      <c r="C60" s="84" t="s">
        <v>220</v>
      </c>
      <c r="D60" s="84" t="s">
        <v>221</v>
      </c>
      <c r="E60" s="168">
        <v>0.037</v>
      </c>
      <c r="F60" s="168">
        <v>0.037</v>
      </c>
      <c r="G60" s="85">
        <v>0</v>
      </c>
      <c r="H60" s="174"/>
      <c r="J60" s="175"/>
      <c r="K60" s="200" t="s">
        <v>220</v>
      </c>
      <c r="L60" s="201" t="s">
        <v>221</v>
      </c>
      <c r="M60" s="202">
        <v>0.037</v>
      </c>
      <c r="N60" s="202">
        <v>0.037</v>
      </c>
      <c r="O60" s="203">
        <v>0</v>
      </c>
      <c r="P60" s="174"/>
    </row>
    <row r="61" spans="1:16" ht="12">
      <c r="A61" s="1"/>
      <c r="B61" s="175"/>
      <c r="C61" s="84" t="s">
        <v>230</v>
      </c>
      <c r="D61" s="84" t="s">
        <v>231</v>
      </c>
      <c r="E61" s="168">
        <v>0.005</v>
      </c>
      <c r="F61" s="168">
        <v>0.005</v>
      </c>
      <c r="G61" s="85">
        <v>0</v>
      </c>
      <c r="H61" s="174"/>
      <c r="J61" s="175"/>
      <c r="K61" s="200" t="s">
        <v>170</v>
      </c>
      <c r="L61" s="201" t="s">
        <v>171</v>
      </c>
      <c r="M61" s="202">
        <v>0.035</v>
      </c>
      <c r="N61" s="202">
        <v>0.028</v>
      </c>
      <c r="O61" s="203">
        <v>0.007</v>
      </c>
      <c r="P61" s="174"/>
    </row>
    <row r="62" spans="1:16" ht="12">
      <c r="A62" s="1"/>
      <c r="B62" s="175"/>
      <c r="C62" s="84" t="s">
        <v>150</v>
      </c>
      <c r="D62" s="84" t="s">
        <v>151</v>
      </c>
      <c r="E62" s="168">
        <v>0.519</v>
      </c>
      <c r="F62" s="168">
        <v>0.506</v>
      </c>
      <c r="G62" s="168">
        <v>0.013</v>
      </c>
      <c r="H62" s="174"/>
      <c r="J62" s="175"/>
      <c r="K62" s="200" t="s">
        <v>218</v>
      </c>
      <c r="L62" s="201" t="s">
        <v>219</v>
      </c>
      <c r="M62" s="202">
        <v>0.034</v>
      </c>
      <c r="N62" s="202">
        <v>0.021</v>
      </c>
      <c r="O62" s="203">
        <v>0.013</v>
      </c>
      <c r="P62" s="174"/>
    </row>
    <row r="63" spans="1:16" ht="12">
      <c r="A63" s="1"/>
      <c r="B63" s="175"/>
      <c r="C63" s="84" t="s">
        <v>234</v>
      </c>
      <c r="D63" s="84" t="s">
        <v>235</v>
      </c>
      <c r="E63" s="168">
        <v>0.02</v>
      </c>
      <c r="F63" s="168">
        <v>0.008</v>
      </c>
      <c r="G63" s="168">
        <v>0.012</v>
      </c>
      <c r="H63" s="174"/>
      <c r="J63" s="175"/>
      <c r="K63" s="200" t="s">
        <v>232</v>
      </c>
      <c r="L63" s="201" t="s">
        <v>233</v>
      </c>
      <c r="M63" s="202">
        <v>0.034</v>
      </c>
      <c r="N63" s="202">
        <v>0.034</v>
      </c>
      <c r="O63" s="203">
        <v>0</v>
      </c>
      <c r="P63" s="174"/>
    </row>
    <row r="64" spans="1:16" ht="12">
      <c r="A64" s="1"/>
      <c r="B64" s="175"/>
      <c r="C64" s="84" t="s">
        <v>236</v>
      </c>
      <c r="D64" s="84" t="s">
        <v>237</v>
      </c>
      <c r="E64" s="168">
        <v>0.051</v>
      </c>
      <c r="F64" s="168">
        <v>0.006</v>
      </c>
      <c r="G64" s="167">
        <v>0.045</v>
      </c>
      <c r="H64" s="174"/>
      <c r="J64" s="175"/>
      <c r="K64" s="200" t="s">
        <v>208</v>
      </c>
      <c r="L64" s="201" t="s">
        <v>209</v>
      </c>
      <c r="M64" s="202">
        <v>0.032</v>
      </c>
      <c r="N64" s="202">
        <v>0.031</v>
      </c>
      <c r="O64" s="203">
        <v>0</v>
      </c>
      <c r="P64" s="174"/>
    </row>
    <row r="65" spans="1:16" ht="12">
      <c r="A65" s="1"/>
      <c r="B65" s="175"/>
      <c r="C65" s="84" t="s">
        <v>188</v>
      </c>
      <c r="D65" s="84" t="s">
        <v>189</v>
      </c>
      <c r="E65" s="167">
        <v>0.211</v>
      </c>
      <c r="F65" s="168">
        <v>0.024</v>
      </c>
      <c r="G65" s="168">
        <v>0.187</v>
      </c>
      <c r="H65" s="174"/>
      <c r="J65" s="175"/>
      <c r="K65" s="200" t="s">
        <v>222</v>
      </c>
      <c r="L65" s="201" t="s">
        <v>223</v>
      </c>
      <c r="M65" s="202">
        <v>0.027</v>
      </c>
      <c r="N65" s="202">
        <v>0.02</v>
      </c>
      <c r="O65" s="203">
        <v>0.007</v>
      </c>
      <c r="P65" s="174"/>
    </row>
    <row r="66" spans="1:16" ht="12">
      <c r="A66" s="1"/>
      <c r="B66" s="175"/>
      <c r="C66" s="84" t="s">
        <v>238</v>
      </c>
      <c r="D66" s="84" t="s">
        <v>239</v>
      </c>
      <c r="E66" s="168">
        <v>0.001</v>
      </c>
      <c r="F66" s="85">
        <v>0</v>
      </c>
      <c r="G66" s="168">
        <v>0</v>
      </c>
      <c r="H66" s="174"/>
      <c r="J66" s="175"/>
      <c r="K66" s="200" t="s">
        <v>244</v>
      </c>
      <c r="L66" s="201" t="s">
        <v>245</v>
      </c>
      <c r="M66" s="202">
        <v>0.024</v>
      </c>
      <c r="N66" s="202">
        <v>0.019</v>
      </c>
      <c r="O66" s="203">
        <v>0.005</v>
      </c>
      <c r="P66" s="174"/>
    </row>
    <row r="67" spans="1:16" ht="12">
      <c r="A67" s="1"/>
      <c r="B67" s="175"/>
      <c r="C67" s="84" t="s">
        <v>240</v>
      </c>
      <c r="D67" s="84" t="s">
        <v>241</v>
      </c>
      <c r="E67" s="168">
        <v>0.009</v>
      </c>
      <c r="F67" s="168">
        <v>0.008</v>
      </c>
      <c r="G67" s="168">
        <v>0.001</v>
      </c>
      <c r="H67" s="174"/>
      <c r="J67" s="175"/>
      <c r="K67" s="200" t="s">
        <v>196</v>
      </c>
      <c r="L67" s="201" t="s">
        <v>197</v>
      </c>
      <c r="M67" s="202">
        <v>0.023</v>
      </c>
      <c r="N67" s="202">
        <v>0.023</v>
      </c>
      <c r="O67" s="203">
        <v>0</v>
      </c>
      <c r="P67" s="174"/>
    </row>
    <row r="68" spans="1:16" ht="12">
      <c r="A68" s="1"/>
      <c r="B68" s="175"/>
      <c r="C68" s="84" t="s">
        <v>242</v>
      </c>
      <c r="D68" s="84" t="s">
        <v>243</v>
      </c>
      <c r="E68" s="168">
        <v>0.016</v>
      </c>
      <c r="F68" s="168">
        <v>0.015</v>
      </c>
      <c r="G68" s="168">
        <v>0.001</v>
      </c>
      <c r="H68" s="174"/>
      <c r="J68" s="175"/>
      <c r="K68" s="200" t="s">
        <v>228</v>
      </c>
      <c r="L68" s="201" t="s">
        <v>229</v>
      </c>
      <c r="M68" s="202">
        <v>0.022</v>
      </c>
      <c r="N68" s="202">
        <v>0.022</v>
      </c>
      <c r="O68" s="203">
        <v>0</v>
      </c>
      <c r="P68" s="174"/>
    </row>
    <row r="69" spans="1:16" ht="12">
      <c r="A69" s="1"/>
      <c r="B69" s="175"/>
      <c r="C69" s="84" t="s">
        <v>246</v>
      </c>
      <c r="D69" s="84" t="s">
        <v>247</v>
      </c>
      <c r="E69" s="168">
        <v>0.001</v>
      </c>
      <c r="F69" s="168">
        <v>0.001</v>
      </c>
      <c r="G69" s="85">
        <v>0</v>
      </c>
      <c r="H69" s="174"/>
      <c r="J69" s="175"/>
      <c r="K69" s="200" t="s">
        <v>234</v>
      </c>
      <c r="L69" s="201" t="s">
        <v>235</v>
      </c>
      <c r="M69" s="202">
        <v>0.02</v>
      </c>
      <c r="N69" s="202">
        <v>0.008</v>
      </c>
      <c r="O69" s="203">
        <v>0.012</v>
      </c>
      <c r="P69" s="174"/>
    </row>
    <row r="70" spans="1:16" ht="12">
      <c r="A70" s="1"/>
      <c r="B70" s="175"/>
      <c r="C70" s="84" t="s">
        <v>248</v>
      </c>
      <c r="D70" s="84" t="s">
        <v>249</v>
      </c>
      <c r="E70" s="167">
        <v>0.046</v>
      </c>
      <c r="F70" s="167">
        <v>0.046</v>
      </c>
      <c r="G70" s="85">
        <v>0</v>
      </c>
      <c r="H70" s="174"/>
      <c r="J70" s="175"/>
      <c r="K70" s="200" t="s">
        <v>136</v>
      </c>
      <c r="L70" s="201" t="s">
        <v>137</v>
      </c>
      <c r="M70" s="202">
        <v>0.018</v>
      </c>
      <c r="N70" s="202">
        <v>0.019</v>
      </c>
      <c r="O70" s="203">
        <v>-0.001</v>
      </c>
      <c r="P70" s="174"/>
    </row>
    <row r="71" spans="1:16" ht="12">
      <c r="A71" s="1"/>
      <c r="B71" s="175"/>
      <c r="C71" s="84" t="s">
        <v>244</v>
      </c>
      <c r="D71" s="84" t="s">
        <v>245</v>
      </c>
      <c r="E71" s="168">
        <v>0.024</v>
      </c>
      <c r="F71" s="168">
        <v>0.019</v>
      </c>
      <c r="G71" s="168">
        <v>0.005</v>
      </c>
      <c r="H71" s="174"/>
      <c r="J71" s="175"/>
      <c r="K71" s="200" t="s">
        <v>242</v>
      </c>
      <c r="L71" s="201" t="s">
        <v>243</v>
      </c>
      <c r="M71" s="202">
        <v>0.016</v>
      </c>
      <c r="N71" s="202">
        <v>0.015</v>
      </c>
      <c r="O71" s="203">
        <v>0.001</v>
      </c>
      <c r="P71" s="174"/>
    </row>
    <row r="72" spans="1:16" ht="12">
      <c r="A72" s="1"/>
      <c r="B72" s="175"/>
      <c r="C72" s="84" t="s">
        <v>146</v>
      </c>
      <c r="D72" s="84" t="s">
        <v>147</v>
      </c>
      <c r="E72" s="168">
        <v>0.507</v>
      </c>
      <c r="F72" s="167">
        <v>0.505</v>
      </c>
      <c r="G72" s="168">
        <v>0.002</v>
      </c>
      <c r="H72" s="174"/>
      <c r="J72" s="175"/>
      <c r="K72" s="200" t="s">
        <v>176</v>
      </c>
      <c r="L72" s="201" t="s">
        <v>177</v>
      </c>
      <c r="M72" s="202">
        <v>0.011</v>
      </c>
      <c r="N72" s="202">
        <v>0.001</v>
      </c>
      <c r="O72" s="203">
        <v>0.009</v>
      </c>
      <c r="P72" s="174"/>
    </row>
    <row r="73" spans="1:16" ht="12">
      <c r="A73" s="1"/>
      <c r="B73" s="175"/>
      <c r="C73" s="84" t="s">
        <v>192</v>
      </c>
      <c r="D73" s="84" t="s">
        <v>193</v>
      </c>
      <c r="E73" s="168">
        <v>0.133</v>
      </c>
      <c r="F73" s="168">
        <v>0.133</v>
      </c>
      <c r="G73" s="85">
        <v>0</v>
      </c>
      <c r="H73" s="174"/>
      <c r="J73" s="175"/>
      <c r="K73" s="200" t="s">
        <v>240</v>
      </c>
      <c r="L73" s="201" t="s">
        <v>241</v>
      </c>
      <c r="M73" s="202">
        <v>0.009</v>
      </c>
      <c r="N73" s="202">
        <v>0.008</v>
      </c>
      <c r="O73" s="203">
        <v>0.001</v>
      </c>
      <c r="P73" s="174"/>
    </row>
    <row r="74" spans="1:16" ht="12">
      <c r="A74" s="1"/>
      <c r="B74" s="175"/>
      <c r="C74" s="84" t="s">
        <v>168</v>
      </c>
      <c r="D74" s="84" t="s">
        <v>169</v>
      </c>
      <c r="E74" s="168">
        <v>0.29</v>
      </c>
      <c r="F74" s="168">
        <v>0.29</v>
      </c>
      <c r="G74" s="85">
        <v>0</v>
      </c>
      <c r="H74" s="174"/>
      <c r="J74" s="175"/>
      <c r="K74" s="200" t="s">
        <v>250</v>
      </c>
      <c r="L74" s="201" t="s">
        <v>251</v>
      </c>
      <c r="M74" s="202">
        <v>0.008</v>
      </c>
      <c r="N74" s="202">
        <v>0.007</v>
      </c>
      <c r="O74" s="203">
        <v>0.001</v>
      </c>
      <c r="P74" s="174"/>
    </row>
    <row r="75" spans="1:16" ht="12">
      <c r="A75" s="1"/>
      <c r="B75" s="175"/>
      <c r="C75" s="84" t="s">
        <v>200</v>
      </c>
      <c r="D75" s="84" t="s">
        <v>201</v>
      </c>
      <c r="E75" s="168">
        <v>0.113</v>
      </c>
      <c r="F75" s="168">
        <v>0.113</v>
      </c>
      <c r="G75" s="85">
        <v>0</v>
      </c>
      <c r="H75" s="174"/>
      <c r="J75" s="175"/>
      <c r="K75" s="200" t="s">
        <v>204</v>
      </c>
      <c r="L75" s="201" t="s">
        <v>205</v>
      </c>
      <c r="M75" s="202">
        <v>0.006</v>
      </c>
      <c r="N75" s="202">
        <v>0.009</v>
      </c>
      <c r="O75" s="203">
        <v>-0.003</v>
      </c>
      <c r="P75" s="174"/>
    </row>
    <row r="76" spans="1:16" ht="12">
      <c r="A76" s="1"/>
      <c r="B76" s="175"/>
      <c r="C76" s="84" t="s">
        <v>216</v>
      </c>
      <c r="D76" s="84" t="s">
        <v>217</v>
      </c>
      <c r="E76" s="168">
        <v>0.056</v>
      </c>
      <c r="F76" s="168">
        <v>0.053</v>
      </c>
      <c r="G76" s="168">
        <v>0.003</v>
      </c>
      <c r="H76" s="174"/>
      <c r="J76" s="175"/>
      <c r="K76" s="200" t="s">
        <v>230</v>
      </c>
      <c r="L76" s="201" t="s">
        <v>231</v>
      </c>
      <c r="M76" s="202">
        <v>0.005</v>
      </c>
      <c r="N76" s="202">
        <v>0.005</v>
      </c>
      <c r="O76" s="203">
        <v>0</v>
      </c>
      <c r="P76" s="174"/>
    </row>
    <row r="77" spans="1:16" ht="12">
      <c r="A77" s="1"/>
      <c r="B77" s="175"/>
      <c r="C77" s="84" t="s">
        <v>226</v>
      </c>
      <c r="D77" s="84" t="s">
        <v>227</v>
      </c>
      <c r="E77" s="168">
        <v>0.046</v>
      </c>
      <c r="F77" s="168">
        <v>0.046</v>
      </c>
      <c r="G77" s="85">
        <v>0</v>
      </c>
      <c r="H77" s="174"/>
      <c r="J77" s="175"/>
      <c r="K77" s="200" t="s">
        <v>156</v>
      </c>
      <c r="L77" s="201" t="s">
        <v>157</v>
      </c>
      <c r="M77" s="202">
        <v>0.004</v>
      </c>
      <c r="N77" s="202">
        <v>0.005</v>
      </c>
      <c r="O77" s="203">
        <v>-0.002</v>
      </c>
      <c r="P77" s="174"/>
    </row>
    <row r="78" spans="1:16" ht="12">
      <c r="A78" s="1"/>
      <c r="B78" s="175"/>
      <c r="C78" s="84" t="s">
        <v>232</v>
      </c>
      <c r="D78" s="84" t="s">
        <v>233</v>
      </c>
      <c r="E78" s="168">
        <v>0.034</v>
      </c>
      <c r="F78" s="168">
        <v>0.034</v>
      </c>
      <c r="G78" s="85">
        <v>0</v>
      </c>
      <c r="H78" s="174"/>
      <c r="J78" s="175"/>
      <c r="K78" s="200" t="s">
        <v>214</v>
      </c>
      <c r="L78" s="201" t="s">
        <v>215</v>
      </c>
      <c r="M78" s="202">
        <v>0.003</v>
      </c>
      <c r="N78" s="202">
        <v>0.003</v>
      </c>
      <c r="O78" s="203">
        <v>0</v>
      </c>
      <c r="P78" s="174"/>
    </row>
    <row r="79" spans="1:16" ht="12">
      <c r="A79" s="1"/>
      <c r="B79" s="175"/>
      <c r="C79" s="84" t="s">
        <v>250</v>
      </c>
      <c r="D79" s="84" t="s">
        <v>251</v>
      </c>
      <c r="E79" s="168">
        <v>0.008</v>
      </c>
      <c r="F79" s="168">
        <v>0.007</v>
      </c>
      <c r="G79" s="168">
        <v>0.001</v>
      </c>
      <c r="H79" s="174"/>
      <c r="J79" s="175"/>
      <c r="K79" s="200" t="s">
        <v>238</v>
      </c>
      <c r="L79" s="201" t="s">
        <v>239</v>
      </c>
      <c r="M79" s="202">
        <v>0.001</v>
      </c>
      <c r="N79" s="202">
        <v>0</v>
      </c>
      <c r="O79" s="203">
        <v>0</v>
      </c>
      <c r="P79" s="174"/>
    </row>
    <row r="80" spans="1:16" ht="12">
      <c r="A80" s="1"/>
      <c r="B80" s="175"/>
      <c r="C80" s="84" t="s">
        <v>224</v>
      </c>
      <c r="D80" s="84" t="s">
        <v>225</v>
      </c>
      <c r="E80" s="168">
        <v>0.053</v>
      </c>
      <c r="F80" s="168">
        <v>0.053</v>
      </c>
      <c r="G80" s="85">
        <v>0</v>
      </c>
      <c r="H80" s="174"/>
      <c r="J80" s="175"/>
      <c r="K80" s="200" t="s">
        <v>246</v>
      </c>
      <c r="L80" s="201" t="s">
        <v>247</v>
      </c>
      <c r="M80" s="202">
        <v>0.001</v>
      </c>
      <c r="N80" s="202">
        <v>0.001</v>
      </c>
      <c r="O80" s="203">
        <v>0</v>
      </c>
      <c r="P80" s="174"/>
    </row>
    <row r="81" spans="1:16" ht="12">
      <c r="A81" s="1"/>
      <c r="B81" s="175"/>
      <c r="C81" s="84" t="s">
        <v>252</v>
      </c>
      <c r="D81" s="84" t="s">
        <v>253</v>
      </c>
      <c r="E81" s="168">
        <v>0.001</v>
      </c>
      <c r="F81" s="168">
        <v>0.001</v>
      </c>
      <c r="G81" s="85">
        <v>0</v>
      </c>
      <c r="H81" s="174"/>
      <c r="J81" s="175"/>
      <c r="K81" s="200" t="s">
        <v>252</v>
      </c>
      <c r="L81" s="201" t="s">
        <v>253</v>
      </c>
      <c r="M81" s="202">
        <v>0.001</v>
      </c>
      <c r="N81" s="202">
        <v>0.001</v>
      </c>
      <c r="O81" s="203">
        <v>0</v>
      </c>
      <c r="P81" s="174"/>
    </row>
    <row r="82" spans="1:16" ht="12">
      <c r="A82" s="1"/>
      <c r="B82" s="175"/>
      <c r="C82" s="173"/>
      <c r="D82" s="173"/>
      <c r="E82" s="173"/>
      <c r="F82" s="173"/>
      <c r="G82" s="173"/>
      <c r="H82" s="174"/>
      <c r="J82" s="175"/>
      <c r="K82" s="173"/>
      <c r="L82" s="173"/>
      <c r="M82" s="173"/>
      <c r="N82" s="173"/>
      <c r="O82" s="173"/>
      <c r="P82" s="174"/>
    </row>
    <row r="83" spans="1:16" ht="12">
      <c r="A83" s="1"/>
      <c r="B83" s="175"/>
      <c r="C83" s="11" t="s">
        <v>38</v>
      </c>
      <c r="D83" s="173"/>
      <c r="E83" s="173"/>
      <c r="F83" s="173"/>
      <c r="G83" s="173"/>
      <c r="H83" s="174"/>
      <c r="J83" s="175"/>
      <c r="K83" s="11" t="s">
        <v>38</v>
      </c>
      <c r="L83" s="173"/>
      <c r="M83" s="173"/>
      <c r="N83" s="173"/>
      <c r="O83" s="173"/>
      <c r="P83" s="174"/>
    </row>
    <row r="84" spans="1:16" ht="12">
      <c r="A84" s="1"/>
      <c r="B84" s="175"/>
      <c r="C84" s="11" t="s">
        <v>36</v>
      </c>
      <c r="D84" s="11" t="s">
        <v>39</v>
      </c>
      <c r="E84" s="173"/>
      <c r="F84" s="173"/>
      <c r="G84" s="173"/>
      <c r="H84" s="174"/>
      <c r="J84" s="175"/>
      <c r="K84" s="11" t="s">
        <v>36</v>
      </c>
      <c r="L84" s="11" t="s">
        <v>39</v>
      </c>
      <c r="M84" s="173"/>
      <c r="N84" s="173"/>
      <c r="O84" s="173"/>
      <c r="P84" s="174"/>
    </row>
    <row r="85" spans="1:16" ht="12">
      <c r="A85" s="1"/>
      <c r="B85" s="175"/>
      <c r="C85" s="173"/>
      <c r="D85" s="173"/>
      <c r="E85" s="173"/>
      <c r="F85" s="173"/>
      <c r="G85" s="173"/>
      <c r="H85" s="174"/>
      <c r="J85" s="175"/>
      <c r="K85" s="173"/>
      <c r="L85" s="173"/>
      <c r="M85" s="173"/>
      <c r="N85" s="173"/>
      <c r="O85" s="173"/>
      <c r="P85" s="174"/>
    </row>
    <row r="86" spans="1:16" ht="12">
      <c r="A86" s="1"/>
      <c r="B86" s="175"/>
      <c r="C86" s="11" t="s">
        <v>15</v>
      </c>
      <c r="D86" s="11" t="s">
        <v>303</v>
      </c>
      <c r="E86" s="173"/>
      <c r="F86" s="173"/>
      <c r="G86" s="173"/>
      <c r="H86" s="174"/>
      <c r="J86" s="175"/>
      <c r="K86" s="11" t="str">
        <f>C86</f>
        <v>GEO</v>
      </c>
      <c r="L86" s="11" t="str">
        <f>D86</f>
        <v>EU27_2020 - European Union - 27 countries (from 2020)</v>
      </c>
      <c r="M86" s="173"/>
      <c r="N86" s="173"/>
      <c r="O86" s="173"/>
      <c r="P86" s="174"/>
    </row>
    <row r="87" spans="1:16" ht="12">
      <c r="A87" s="1"/>
      <c r="B87" s="175"/>
      <c r="C87" s="11" t="s">
        <v>13</v>
      </c>
      <c r="D87" s="11" t="s">
        <v>114</v>
      </c>
      <c r="E87" s="173"/>
      <c r="F87" s="173"/>
      <c r="G87" s="173"/>
      <c r="H87" s="174"/>
      <c r="J87" s="175"/>
      <c r="K87" s="11" t="str">
        <f aca="true" t="shared" si="4" ref="K87:K89">C87</f>
        <v>UNIT</v>
      </c>
      <c r="L87" s="11" t="str">
        <f aca="true" t="shared" si="5" ref="L87:L89">D87</f>
        <v>Tonnes per capita</v>
      </c>
      <c r="M87" s="173"/>
      <c r="N87" s="173"/>
      <c r="O87" s="173"/>
      <c r="P87" s="174"/>
    </row>
    <row r="88" spans="1:16" ht="12">
      <c r="A88" s="1"/>
      <c r="B88" s="175"/>
      <c r="C88" s="11" t="s">
        <v>118</v>
      </c>
      <c r="D88" s="219">
        <f>Cover!C1</f>
        <v>2019</v>
      </c>
      <c r="E88" s="173"/>
      <c r="F88" s="173"/>
      <c r="G88" s="173"/>
      <c r="H88" s="174"/>
      <c r="J88" s="175"/>
      <c r="K88" s="11" t="str">
        <f t="shared" si="4"/>
        <v>TIME</v>
      </c>
      <c r="L88" s="219">
        <f t="shared" si="5"/>
        <v>2019</v>
      </c>
      <c r="M88" s="173"/>
      <c r="N88" s="173"/>
      <c r="O88" s="173"/>
      <c r="P88" s="174"/>
    </row>
    <row r="89" spans="1:16" ht="12">
      <c r="A89" s="1"/>
      <c r="B89" s="175"/>
      <c r="C89" s="11" t="s">
        <v>78</v>
      </c>
      <c r="D89" s="11" t="s">
        <v>254</v>
      </c>
      <c r="E89" s="173"/>
      <c r="F89" s="173"/>
      <c r="G89" s="173"/>
      <c r="H89" s="174"/>
      <c r="J89" s="175"/>
      <c r="K89" s="11" t="str">
        <f t="shared" si="4"/>
        <v>MATERIAL</v>
      </c>
      <c r="L89" s="11" t="str">
        <f t="shared" si="5"/>
        <v>MF1 - Biomass</v>
      </c>
      <c r="M89" s="173"/>
      <c r="N89" s="173"/>
      <c r="O89" s="173"/>
      <c r="P89" s="174"/>
    </row>
    <row r="90" spans="1:16" ht="12">
      <c r="A90" s="1"/>
      <c r="B90" s="175"/>
      <c r="C90" s="173"/>
      <c r="D90" s="173"/>
      <c r="E90" s="173"/>
      <c r="F90" s="173"/>
      <c r="G90" s="173"/>
      <c r="H90" s="174"/>
      <c r="J90" s="175"/>
      <c r="K90" s="173"/>
      <c r="L90" s="173"/>
      <c r="M90" s="173"/>
      <c r="N90" s="173"/>
      <c r="O90" s="173"/>
      <c r="P90" s="174"/>
    </row>
    <row r="91" spans="1:16" ht="12">
      <c r="A91" s="1"/>
      <c r="B91" s="175"/>
      <c r="C91" s="84" t="s">
        <v>120</v>
      </c>
      <c r="D91" s="84" t="s">
        <v>115</v>
      </c>
      <c r="E91" s="84" t="s">
        <v>93</v>
      </c>
      <c r="F91" s="84" t="s">
        <v>121</v>
      </c>
      <c r="G91" s="84" t="s">
        <v>122</v>
      </c>
      <c r="H91" s="174"/>
      <c r="J91" s="175"/>
      <c r="K91" s="196" t="s">
        <v>120</v>
      </c>
      <c r="L91" s="198" t="str">
        <f aca="true" t="shared" si="6" ref="L91:O91">D91</f>
        <v>INDIC_ENV</v>
      </c>
      <c r="M91" s="198" t="str">
        <f t="shared" si="6"/>
        <v>RMC</v>
      </c>
      <c r="N91" s="198" t="str">
        <f t="shared" si="6"/>
        <v>RMC_P3</v>
      </c>
      <c r="O91" s="198" t="str">
        <f t="shared" si="6"/>
        <v>RMC_P5</v>
      </c>
      <c r="P91" s="174"/>
    </row>
    <row r="92" spans="1:16" ht="12">
      <c r="A92" s="1"/>
      <c r="B92" s="175"/>
      <c r="C92" s="84" t="s">
        <v>123</v>
      </c>
      <c r="D92" s="84" t="s">
        <v>124</v>
      </c>
      <c r="E92" s="84" t="s">
        <v>113</v>
      </c>
      <c r="F92" s="84" t="s">
        <v>125</v>
      </c>
      <c r="G92" s="84" t="s">
        <v>126</v>
      </c>
      <c r="H92" s="174"/>
      <c r="J92" s="175"/>
      <c r="K92" s="197" t="str">
        <f aca="true" t="shared" si="7" ref="K92:O93">C92</f>
        <v>CPA08</v>
      </c>
      <c r="L92" s="199" t="str">
        <f t="shared" si="7"/>
        <v>CPA08(L)/INDIC_ENV(L)</v>
      </c>
      <c r="M92" s="199" t="str">
        <f t="shared" si="7"/>
        <v xml:space="preserve">Raw material consumption </v>
      </c>
      <c r="N92" s="199" t="str">
        <f t="shared" si="7"/>
        <v>Raw material consumption as result of final consumption expenditure</v>
      </c>
      <c r="O92" s="199" t="str">
        <f t="shared" si="7"/>
        <v xml:space="preserve">Raw material consumption as result of gross capital formation </v>
      </c>
      <c r="P92" s="174"/>
    </row>
    <row r="93" spans="1:16" ht="12">
      <c r="A93" s="1"/>
      <c r="B93" s="175"/>
      <c r="C93" s="84" t="s">
        <v>82</v>
      </c>
      <c r="D93" s="84" t="s">
        <v>127</v>
      </c>
      <c r="E93" s="168">
        <v>3.186</v>
      </c>
      <c r="F93" s="168">
        <v>2.578</v>
      </c>
      <c r="G93" s="168">
        <v>0.608</v>
      </c>
      <c r="H93" s="174"/>
      <c r="J93" s="175"/>
      <c r="K93" s="200" t="str">
        <f t="shared" si="7"/>
        <v>TOTAL</v>
      </c>
      <c r="L93" s="200" t="str">
        <f t="shared" si="7"/>
        <v>Total CPA products</v>
      </c>
      <c r="M93" s="202">
        <f t="shared" si="7"/>
        <v>3.186</v>
      </c>
      <c r="N93" s="202">
        <f t="shared" si="7"/>
        <v>2.578</v>
      </c>
      <c r="O93" s="202">
        <f t="shared" si="7"/>
        <v>0.608</v>
      </c>
      <c r="P93" s="174"/>
    </row>
    <row r="94" spans="1:16" ht="12">
      <c r="A94" s="1"/>
      <c r="B94" s="175"/>
      <c r="C94" s="84" t="s">
        <v>128</v>
      </c>
      <c r="D94" s="84" t="s">
        <v>129</v>
      </c>
      <c r="E94" s="168">
        <v>0.636</v>
      </c>
      <c r="F94" s="167">
        <v>0.489</v>
      </c>
      <c r="G94" s="168">
        <v>0.147</v>
      </c>
      <c r="H94" s="174"/>
      <c r="J94" s="175"/>
      <c r="K94" s="201" t="s">
        <v>134</v>
      </c>
      <c r="L94" s="201" t="s">
        <v>135</v>
      </c>
      <c r="M94" s="203">
        <v>1.035</v>
      </c>
      <c r="N94" s="203">
        <v>0.994</v>
      </c>
      <c r="O94" s="203">
        <v>0.04</v>
      </c>
      <c r="P94" s="174"/>
    </row>
    <row r="95" spans="1:16" ht="12">
      <c r="A95" s="1"/>
      <c r="B95" s="175"/>
      <c r="C95" s="84" t="s">
        <v>132</v>
      </c>
      <c r="D95" s="84" t="s">
        <v>133</v>
      </c>
      <c r="E95" s="168">
        <v>0.223</v>
      </c>
      <c r="F95" s="168">
        <v>0.125</v>
      </c>
      <c r="G95" s="168">
        <v>0.097</v>
      </c>
      <c r="H95" s="174"/>
      <c r="J95" s="175"/>
      <c r="K95" s="201" t="s">
        <v>128</v>
      </c>
      <c r="L95" s="201" t="s">
        <v>129</v>
      </c>
      <c r="M95" s="203">
        <v>0.636</v>
      </c>
      <c r="N95" s="203">
        <v>0.489</v>
      </c>
      <c r="O95" s="203">
        <v>0.147</v>
      </c>
      <c r="P95" s="174"/>
    </row>
    <row r="96" spans="1:16" ht="12">
      <c r="A96" s="1"/>
      <c r="B96" s="175"/>
      <c r="C96" s="84" t="s">
        <v>136</v>
      </c>
      <c r="D96" s="84" t="s">
        <v>137</v>
      </c>
      <c r="E96" s="168">
        <v>0.01</v>
      </c>
      <c r="F96" s="167">
        <v>0.011</v>
      </c>
      <c r="G96" s="168">
        <v>0</v>
      </c>
      <c r="H96" s="174"/>
      <c r="J96" s="175"/>
      <c r="K96" s="201" t="s">
        <v>142</v>
      </c>
      <c r="L96" s="201" t="s">
        <v>143</v>
      </c>
      <c r="M96" s="203">
        <v>0.237</v>
      </c>
      <c r="N96" s="203">
        <v>0.237</v>
      </c>
      <c r="O96" s="203">
        <v>0</v>
      </c>
      <c r="P96" s="174"/>
    </row>
    <row r="97" spans="1:16" ht="12">
      <c r="A97" s="1"/>
      <c r="B97" s="175"/>
      <c r="C97" s="84" t="s">
        <v>138</v>
      </c>
      <c r="D97" s="84" t="s">
        <v>139</v>
      </c>
      <c r="E97" s="168">
        <v>0.001</v>
      </c>
      <c r="F97" s="168">
        <v>0.001</v>
      </c>
      <c r="G97" s="85">
        <v>0</v>
      </c>
      <c r="H97" s="174"/>
      <c r="J97" s="175"/>
      <c r="K97" s="201" t="s">
        <v>132</v>
      </c>
      <c r="L97" s="201" t="s">
        <v>133</v>
      </c>
      <c r="M97" s="203">
        <v>0.223</v>
      </c>
      <c r="N97" s="203">
        <v>0.125</v>
      </c>
      <c r="O97" s="203">
        <v>0.097</v>
      </c>
      <c r="P97" s="174"/>
    </row>
    <row r="98" spans="1:16" ht="12">
      <c r="A98" s="1"/>
      <c r="B98" s="175"/>
      <c r="C98" s="84" t="s">
        <v>134</v>
      </c>
      <c r="D98" s="84" t="s">
        <v>135</v>
      </c>
      <c r="E98" s="168">
        <v>1.035</v>
      </c>
      <c r="F98" s="168">
        <v>0.994</v>
      </c>
      <c r="G98" s="168">
        <v>0.04</v>
      </c>
      <c r="H98" s="174"/>
      <c r="J98" s="175"/>
      <c r="K98" s="201" t="s">
        <v>130</v>
      </c>
      <c r="L98" s="201" t="s">
        <v>131</v>
      </c>
      <c r="M98" s="203">
        <v>0.14</v>
      </c>
      <c r="N98" s="203">
        <v>0.007</v>
      </c>
      <c r="O98" s="203">
        <v>0.134</v>
      </c>
      <c r="P98" s="174"/>
    </row>
    <row r="99" spans="1:16" ht="12">
      <c r="A99" s="1"/>
      <c r="B99" s="175"/>
      <c r="C99" s="84" t="s">
        <v>144</v>
      </c>
      <c r="D99" s="84" t="s">
        <v>145</v>
      </c>
      <c r="E99" s="168">
        <v>0.04</v>
      </c>
      <c r="F99" s="168">
        <v>0.035</v>
      </c>
      <c r="G99" s="85">
        <v>0.004</v>
      </c>
      <c r="H99" s="174"/>
      <c r="J99" s="175"/>
      <c r="K99" s="201" t="s">
        <v>164</v>
      </c>
      <c r="L99" s="201" t="s">
        <v>165</v>
      </c>
      <c r="M99" s="203">
        <v>0.106</v>
      </c>
      <c r="N99" s="203">
        <v>0.082</v>
      </c>
      <c r="O99" s="203">
        <v>0.023</v>
      </c>
      <c r="P99" s="174"/>
    </row>
    <row r="100" spans="1:16" ht="12">
      <c r="A100" s="1"/>
      <c r="B100" s="175"/>
      <c r="C100" s="84" t="s">
        <v>148</v>
      </c>
      <c r="D100" s="84" t="s">
        <v>149</v>
      </c>
      <c r="E100" s="167">
        <v>0.036</v>
      </c>
      <c r="F100" s="168">
        <v>0.019</v>
      </c>
      <c r="G100" s="168">
        <v>0.017</v>
      </c>
      <c r="H100" s="174"/>
      <c r="J100" s="175"/>
      <c r="K100" s="201" t="s">
        <v>178</v>
      </c>
      <c r="L100" s="201" t="s">
        <v>179</v>
      </c>
      <c r="M100" s="203">
        <v>0.098</v>
      </c>
      <c r="N100" s="203">
        <v>0.092</v>
      </c>
      <c r="O100" s="203">
        <v>0.006</v>
      </c>
      <c r="P100" s="174"/>
    </row>
    <row r="101" spans="1:16" ht="12">
      <c r="A101" s="1"/>
      <c r="B101" s="175"/>
      <c r="C101" s="84" t="s">
        <v>152</v>
      </c>
      <c r="D101" s="84" t="s">
        <v>153</v>
      </c>
      <c r="E101" s="168">
        <v>0.016</v>
      </c>
      <c r="F101" s="168">
        <v>0.02</v>
      </c>
      <c r="G101" s="168">
        <v>-0.004</v>
      </c>
      <c r="H101" s="174"/>
      <c r="J101" s="175"/>
      <c r="K101" s="201" t="s">
        <v>168</v>
      </c>
      <c r="L101" s="201" t="s">
        <v>169</v>
      </c>
      <c r="M101" s="203">
        <v>0.067</v>
      </c>
      <c r="N101" s="203">
        <v>0.067</v>
      </c>
      <c r="O101" s="203">
        <v>0</v>
      </c>
      <c r="P101" s="174"/>
    </row>
    <row r="102" spans="1:16" ht="12">
      <c r="A102" s="1"/>
      <c r="B102" s="175"/>
      <c r="C102" s="84" t="s">
        <v>156</v>
      </c>
      <c r="D102" s="84" t="s">
        <v>157</v>
      </c>
      <c r="E102" s="168">
        <v>0.001</v>
      </c>
      <c r="F102" s="168">
        <v>0.001</v>
      </c>
      <c r="G102" s="85">
        <v>0</v>
      </c>
      <c r="H102" s="174"/>
      <c r="J102" s="175"/>
      <c r="K102" s="201" t="s">
        <v>182</v>
      </c>
      <c r="L102" s="201" t="s">
        <v>183</v>
      </c>
      <c r="M102" s="203">
        <v>0.052</v>
      </c>
      <c r="N102" s="203">
        <v>0.035</v>
      </c>
      <c r="O102" s="203">
        <v>0.017</v>
      </c>
      <c r="P102" s="174"/>
    </row>
    <row r="103" spans="1:16" ht="12">
      <c r="A103" s="1"/>
      <c r="B103" s="175"/>
      <c r="C103" s="84" t="s">
        <v>160</v>
      </c>
      <c r="D103" s="84" t="s">
        <v>161</v>
      </c>
      <c r="E103" s="168">
        <v>0.007</v>
      </c>
      <c r="F103" s="168">
        <v>0.007</v>
      </c>
      <c r="G103" s="85">
        <v>0</v>
      </c>
      <c r="H103" s="174"/>
      <c r="J103" s="175"/>
      <c r="K103" s="201" t="s">
        <v>150</v>
      </c>
      <c r="L103" s="201" t="s">
        <v>151</v>
      </c>
      <c r="M103" s="203">
        <v>0.052</v>
      </c>
      <c r="N103" s="203">
        <v>0.051</v>
      </c>
      <c r="O103" s="203">
        <v>0.001</v>
      </c>
      <c r="P103" s="174"/>
    </row>
    <row r="104" spans="1:16" ht="12">
      <c r="A104" s="1"/>
      <c r="B104" s="175"/>
      <c r="C104" s="84" t="s">
        <v>162</v>
      </c>
      <c r="D104" s="84" t="s">
        <v>163</v>
      </c>
      <c r="E104" s="168">
        <v>0.007</v>
      </c>
      <c r="F104" s="168">
        <v>0.006</v>
      </c>
      <c r="G104" s="168">
        <v>0</v>
      </c>
      <c r="H104" s="174"/>
      <c r="J104" s="175"/>
      <c r="K104" s="201" t="s">
        <v>188</v>
      </c>
      <c r="L104" s="201" t="s">
        <v>189</v>
      </c>
      <c r="M104" s="203">
        <v>0.045</v>
      </c>
      <c r="N104" s="203">
        <v>0.005</v>
      </c>
      <c r="O104" s="203">
        <v>0.04</v>
      </c>
      <c r="P104" s="174"/>
    </row>
    <row r="105" spans="1:16" ht="12">
      <c r="A105" s="1"/>
      <c r="B105" s="175"/>
      <c r="C105" s="84" t="s">
        <v>166</v>
      </c>
      <c r="D105" s="84" t="s">
        <v>167</v>
      </c>
      <c r="E105" s="167">
        <v>0.015</v>
      </c>
      <c r="F105" s="168">
        <v>0.019</v>
      </c>
      <c r="G105" s="168">
        <v>-0.004</v>
      </c>
      <c r="H105" s="174"/>
      <c r="J105" s="175"/>
      <c r="K105" s="201" t="s">
        <v>146</v>
      </c>
      <c r="L105" s="201" t="s">
        <v>147</v>
      </c>
      <c r="M105" s="203">
        <v>0.043</v>
      </c>
      <c r="N105" s="203">
        <v>0.043</v>
      </c>
      <c r="O105" s="203">
        <v>0</v>
      </c>
      <c r="P105" s="174"/>
    </row>
    <row r="106" spans="1:16" ht="12">
      <c r="A106" s="1"/>
      <c r="B106" s="175"/>
      <c r="C106" s="84" t="s">
        <v>170</v>
      </c>
      <c r="D106" s="84" t="s">
        <v>171</v>
      </c>
      <c r="E106" s="168">
        <v>0.004</v>
      </c>
      <c r="F106" s="168">
        <v>0.003</v>
      </c>
      <c r="G106" s="168">
        <v>0.001</v>
      </c>
      <c r="H106" s="174"/>
      <c r="J106" s="175"/>
      <c r="K106" s="201" t="s">
        <v>144</v>
      </c>
      <c r="L106" s="201" t="s">
        <v>145</v>
      </c>
      <c r="M106" s="203">
        <v>0.04</v>
      </c>
      <c r="N106" s="203">
        <v>0.035</v>
      </c>
      <c r="O106" s="203">
        <v>0.004</v>
      </c>
      <c r="P106" s="174"/>
    </row>
    <row r="107" spans="1:16" ht="12">
      <c r="A107" s="1"/>
      <c r="B107" s="175"/>
      <c r="C107" s="84" t="s">
        <v>172</v>
      </c>
      <c r="D107" s="84" t="s">
        <v>173</v>
      </c>
      <c r="E107" s="168">
        <v>0.002</v>
      </c>
      <c r="F107" s="168">
        <v>0.001</v>
      </c>
      <c r="G107" s="85">
        <v>0</v>
      </c>
      <c r="H107" s="174"/>
      <c r="J107" s="175"/>
      <c r="K107" s="201" t="s">
        <v>148</v>
      </c>
      <c r="L107" s="201" t="s">
        <v>149</v>
      </c>
      <c r="M107" s="203">
        <v>0.036</v>
      </c>
      <c r="N107" s="203">
        <v>0.019</v>
      </c>
      <c r="O107" s="203">
        <v>0.017</v>
      </c>
      <c r="P107" s="174"/>
    </row>
    <row r="108" spans="1:16" ht="12">
      <c r="A108" s="1"/>
      <c r="B108" s="175"/>
      <c r="C108" s="84" t="s">
        <v>176</v>
      </c>
      <c r="D108" s="84" t="s">
        <v>177</v>
      </c>
      <c r="E108" s="85">
        <v>0</v>
      </c>
      <c r="F108" s="85">
        <v>0</v>
      </c>
      <c r="G108" s="85">
        <v>0</v>
      </c>
      <c r="H108" s="174"/>
      <c r="J108" s="175"/>
      <c r="K108" s="201" t="s">
        <v>200</v>
      </c>
      <c r="L108" s="201" t="s">
        <v>201</v>
      </c>
      <c r="M108" s="203">
        <v>0.035</v>
      </c>
      <c r="N108" s="203">
        <v>0.035</v>
      </c>
      <c r="O108" s="203">
        <v>0</v>
      </c>
      <c r="P108" s="174"/>
    </row>
    <row r="109" spans="1:16" ht="12">
      <c r="A109" s="1"/>
      <c r="B109" s="175"/>
      <c r="C109" s="84" t="s">
        <v>180</v>
      </c>
      <c r="D109" s="84" t="s">
        <v>181</v>
      </c>
      <c r="E109" s="168">
        <v>0.006</v>
      </c>
      <c r="F109" s="168">
        <v>0.001</v>
      </c>
      <c r="G109" s="168">
        <v>0.005</v>
      </c>
      <c r="H109" s="174"/>
      <c r="J109" s="175"/>
      <c r="K109" s="201" t="s">
        <v>158</v>
      </c>
      <c r="L109" s="201" t="s">
        <v>159</v>
      </c>
      <c r="M109" s="203">
        <v>0.029</v>
      </c>
      <c r="N109" s="203">
        <v>0.014</v>
      </c>
      <c r="O109" s="203">
        <v>0.015</v>
      </c>
      <c r="P109" s="174"/>
    </row>
    <row r="110" spans="1:16" ht="12">
      <c r="A110" s="1"/>
      <c r="B110" s="175"/>
      <c r="C110" s="84" t="s">
        <v>184</v>
      </c>
      <c r="D110" s="84" t="s">
        <v>185</v>
      </c>
      <c r="E110" s="168">
        <v>0.012</v>
      </c>
      <c r="F110" s="168">
        <v>0.005</v>
      </c>
      <c r="G110" s="168">
        <v>0.008</v>
      </c>
      <c r="H110" s="174"/>
      <c r="J110" s="175"/>
      <c r="K110" s="201" t="s">
        <v>192</v>
      </c>
      <c r="L110" s="201" t="s">
        <v>193</v>
      </c>
      <c r="M110" s="203">
        <v>0.023</v>
      </c>
      <c r="N110" s="203">
        <v>0.023</v>
      </c>
      <c r="O110" s="203">
        <v>0</v>
      </c>
      <c r="P110" s="174"/>
    </row>
    <row r="111" spans="1:16" ht="12">
      <c r="A111" s="1"/>
      <c r="B111" s="175"/>
      <c r="C111" s="84" t="s">
        <v>186</v>
      </c>
      <c r="D111" s="84" t="s">
        <v>187</v>
      </c>
      <c r="E111" s="168">
        <v>0.006</v>
      </c>
      <c r="F111" s="168">
        <v>0.003</v>
      </c>
      <c r="G111" s="168">
        <v>0.003</v>
      </c>
      <c r="H111" s="174"/>
      <c r="J111" s="175"/>
      <c r="K111" s="201" t="s">
        <v>140</v>
      </c>
      <c r="L111" s="201" t="s">
        <v>141</v>
      </c>
      <c r="M111" s="203">
        <v>0.02</v>
      </c>
      <c r="N111" s="203">
        <v>0.02</v>
      </c>
      <c r="O111" s="203">
        <v>0</v>
      </c>
      <c r="P111" s="174"/>
    </row>
    <row r="112" spans="1:16" ht="12">
      <c r="A112" s="1"/>
      <c r="B112" s="175"/>
      <c r="C112" s="84" t="s">
        <v>174</v>
      </c>
      <c r="D112" s="84" t="s">
        <v>175</v>
      </c>
      <c r="E112" s="168">
        <v>0.016</v>
      </c>
      <c r="F112" s="85">
        <v>0</v>
      </c>
      <c r="G112" s="168">
        <v>0.015</v>
      </c>
      <c r="H112" s="174"/>
      <c r="J112" s="175"/>
      <c r="K112" s="201" t="s">
        <v>226</v>
      </c>
      <c r="L112" s="201" t="s">
        <v>227</v>
      </c>
      <c r="M112" s="203">
        <v>0.017</v>
      </c>
      <c r="N112" s="203">
        <v>0.017</v>
      </c>
      <c r="O112" s="203">
        <v>0</v>
      </c>
      <c r="P112" s="174"/>
    </row>
    <row r="113" spans="1:16" ht="12">
      <c r="A113" s="1"/>
      <c r="B113" s="175"/>
      <c r="C113" s="84" t="s">
        <v>158</v>
      </c>
      <c r="D113" s="84" t="s">
        <v>159</v>
      </c>
      <c r="E113" s="168">
        <v>0.029</v>
      </c>
      <c r="F113" s="168">
        <v>0.014</v>
      </c>
      <c r="G113" s="168">
        <v>0.015</v>
      </c>
      <c r="H113" s="174"/>
      <c r="J113" s="175"/>
      <c r="K113" s="201" t="s">
        <v>152</v>
      </c>
      <c r="L113" s="201" t="s">
        <v>153</v>
      </c>
      <c r="M113" s="203">
        <v>0.016</v>
      </c>
      <c r="N113" s="203">
        <v>0.02</v>
      </c>
      <c r="O113" s="203">
        <v>-0.004</v>
      </c>
      <c r="P113" s="174"/>
    </row>
    <row r="114" spans="1:16" ht="12">
      <c r="A114" s="1"/>
      <c r="B114" s="175"/>
      <c r="C114" s="84" t="s">
        <v>190</v>
      </c>
      <c r="D114" s="84" t="s">
        <v>191</v>
      </c>
      <c r="E114" s="168">
        <v>0.007</v>
      </c>
      <c r="F114" s="168">
        <v>0</v>
      </c>
      <c r="G114" s="168">
        <v>0.007</v>
      </c>
      <c r="H114" s="174"/>
      <c r="J114" s="175"/>
      <c r="K114" s="201" t="s">
        <v>174</v>
      </c>
      <c r="L114" s="201" t="s">
        <v>175</v>
      </c>
      <c r="M114" s="203">
        <v>0.016</v>
      </c>
      <c r="N114" s="203">
        <v>0</v>
      </c>
      <c r="O114" s="203">
        <v>0.015</v>
      </c>
      <c r="P114" s="174"/>
    </row>
    <row r="115" spans="1:16" ht="12">
      <c r="A115" s="1"/>
      <c r="B115" s="175"/>
      <c r="C115" s="84" t="s">
        <v>182</v>
      </c>
      <c r="D115" s="84" t="s">
        <v>183</v>
      </c>
      <c r="E115" s="168">
        <v>0.052</v>
      </c>
      <c r="F115" s="168">
        <v>0.035</v>
      </c>
      <c r="G115" s="168">
        <v>0.017</v>
      </c>
      <c r="H115" s="174"/>
      <c r="J115" s="175"/>
      <c r="K115" s="201" t="s">
        <v>166</v>
      </c>
      <c r="L115" s="201" t="s">
        <v>167</v>
      </c>
      <c r="M115" s="203">
        <v>0.015</v>
      </c>
      <c r="N115" s="203">
        <v>0.019</v>
      </c>
      <c r="O115" s="203">
        <v>-0.004</v>
      </c>
      <c r="P115" s="174"/>
    </row>
    <row r="116" spans="1:16" ht="12">
      <c r="A116" s="1"/>
      <c r="B116" s="175"/>
      <c r="C116" s="84" t="s">
        <v>194</v>
      </c>
      <c r="D116" s="84" t="s">
        <v>195</v>
      </c>
      <c r="E116" s="168">
        <v>0.007</v>
      </c>
      <c r="F116" s="85">
        <v>0</v>
      </c>
      <c r="G116" s="168">
        <v>0.007</v>
      </c>
      <c r="H116" s="174"/>
      <c r="J116" s="175"/>
      <c r="K116" s="201" t="s">
        <v>210</v>
      </c>
      <c r="L116" s="201" t="s">
        <v>211</v>
      </c>
      <c r="M116" s="203">
        <v>0.013</v>
      </c>
      <c r="N116" s="203">
        <v>0</v>
      </c>
      <c r="O116" s="203">
        <v>0.013</v>
      </c>
      <c r="P116" s="174"/>
    </row>
    <row r="117" spans="1:16" ht="12">
      <c r="A117" s="1"/>
      <c r="B117" s="175"/>
      <c r="C117" s="84" t="s">
        <v>140</v>
      </c>
      <c r="D117" s="84" t="s">
        <v>141</v>
      </c>
      <c r="E117" s="168">
        <v>0.02</v>
      </c>
      <c r="F117" s="168">
        <v>0.02</v>
      </c>
      <c r="G117" s="85">
        <v>0</v>
      </c>
      <c r="H117" s="174"/>
      <c r="J117" s="175"/>
      <c r="K117" s="201" t="s">
        <v>216</v>
      </c>
      <c r="L117" s="201" t="s">
        <v>217</v>
      </c>
      <c r="M117" s="203">
        <v>0.013</v>
      </c>
      <c r="N117" s="203">
        <v>0.012</v>
      </c>
      <c r="O117" s="203">
        <v>0.001</v>
      </c>
      <c r="P117" s="174"/>
    </row>
    <row r="118" spans="1:16" ht="12">
      <c r="A118" s="1"/>
      <c r="B118" s="175"/>
      <c r="C118" s="84" t="s">
        <v>196</v>
      </c>
      <c r="D118" s="84" t="s">
        <v>197</v>
      </c>
      <c r="E118" s="168">
        <v>0.002</v>
      </c>
      <c r="F118" s="168">
        <v>0.002</v>
      </c>
      <c r="G118" s="85">
        <v>0</v>
      </c>
      <c r="H118" s="174"/>
      <c r="J118" s="175"/>
      <c r="K118" s="201" t="s">
        <v>184</v>
      </c>
      <c r="L118" s="201" t="s">
        <v>185</v>
      </c>
      <c r="M118" s="203">
        <v>0.012</v>
      </c>
      <c r="N118" s="203">
        <v>0.005</v>
      </c>
      <c r="O118" s="203">
        <v>0.008</v>
      </c>
      <c r="P118" s="174"/>
    </row>
    <row r="119" spans="1:16" ht="12">
      <c r="A119" s="1"/>
      <c r="B119" s="175"/>
      <c r="C119" s="84" t="s">
        <v>198</v>
      </c>
      <c r="D119" s="84" t="s">
        <v>199</v>
      </c>
      <c r="E119" s="168">
        <v>0.004</v>
      </c>
      <c r="F119" s="168">
        <v>0.004</v>
      </c>
      <c r="G119" s="85">
        <v>0</v>
      </c>
      <c r="H119" s="174"/>
      <c r="J119" s="175"/>
      <c r="K119" s="201" t="s">
        <v>154</v>
      </c>
      <c r="L119" s="201" t="s">
        <v>155</v>
      </c>
      <c r="M119" s="203">
        <v>0.012</v>
      </c>
      <c r="N119" s="203">
        <v>0.011</v>
      </c>
      <c r="O119" s="203">
        <v>0</v>
      </c>
      <c r="P119" s="174"/>
    </row>
    <row r="120" spans="1:16" ht="12">
      <c r="A120" s="1"/>
      <c r="B120" s="175"/>
      <c r="C120" s="84" t="s">
        <v>130</v>
      </c>
      <c r="D120" s="84" t="s">
        <v>131</v>
      </c>
      <c r="E120" s="168">
        <v>0.14</v>
      </c>
      <c r="F120" s="168">
        <v>0.007</v>
      </c>
      <c r="G120" s="168">
        <v>0.134</v>
      </c>
      <c r="H120" s="174"/>
      <c r="J120" s="175"/>
      <c r="K120" s="201" t="s">
        <v>248</v>
      </c>
      <c r="L120" s="201" t="s">
        <v>249</v>
      </c>
      <c r="M120" s="203">
        <v>0.011</v>
      </c>
      <c r="N120" s="203">
        <v>0.011</v>
      </c>
      <c r="O120" s="203">
        <v>0</v>
      </c>
      <c r="P120" s="174"/>
    </row>
    <row r="121" spans="1:16" ht="12">
      <c r="A121" s="1"/>
      <c r="B121" s="175"/>
      <c r="C121" s="84" t="s">
        <v>202</v>
      </c>
      <c r="D121" s="84" t="s">
        <v>203</v>
      </c>
      <c r="E121" s="168">
        <v>0.009</v>
      </c>
      <c r="F121" s="167">
        <v>0.008</v>
      </c>
      <c r="G121" s="168">
        <v>0.001</v>
      </c>
      <c r="H121" s="174"/>
      <c r="J121" s="175"/>
      <c r="K121" s="201" t="s">
        <v>136</v>
      </c>
      <c r="L121" s="201" t="s">
        <v>137</v>
      </c>
      <c r="M121" s="203">
        <v>0.01</v>
      </c>
      <c r="N121" s="203">
        <v>0.011</v>
      </c>
      <c r="O121" s="203">
        <v>0</v>
      </c>
      <c r="P121" s="174"/>
    </row>
    <row r="122" spans="1:16" ht="12">
      <c r="A122" s="1"/>
      <c r="B122" s="175"/>
      <c r="C122" s="84" t="s">
        <v>164</v>
      </c>
      <c r="D122" s="84" t="s">
        <v>165</v>
      </c>
      <c r="E122" s="168">
        <v>0.106</v>
      </c>
      <c r="F122" s="168">
        <v>0.082</v>
      </c>
      <c r="G122" s="168">
        <v>0.023</v>
      </c>
      <c r="H122" s="174"/>
      <c r="J122" s="175"/>
      <c r="K122" s="201" t="s">
        <v>202</v>
      </c>
      <c r="L122" s="201" t="s">
        <v>203</v>
      </c>
      <c r="M122" s="203">
        <v>0.009</v>
      </c>
      <c r="N122" s="203">
        <v>0.008</v>
      </c>
      <c r="O122" s="203">
        <v>0.001</v>
      </c>
      <c r="P122" s="174"/>
    </row>
    <row r="123" spans="1:16" ht="12">
      <c r="A123" s="1"/>
      <c r="B123" s="175"/>
      <c r="C123" s="84" t="s">
        <v>178</v>
      </c>
      <c r="D123" s="84" t="s">
        <v>179</v>
      </c>
      <c r="E123" s="168">
        <v>0.098</v>
      </c>
      <c r="F123" s="168">
        <v>0.092</v>
      </c>
      <c r="G123" s="168">
        <v>0.006</v>
      </c>
      <c r="H123" s="174"/>
      <c r="J123" s="175"/>
      <c r="K123" s="201" t="s">
        <v>224</v>
      </c>
      <c r="L123" s="201" t="s">
        <v>225</v>
      </c>
      <c r="M123" s="203">
        <v>0.009</v>
      </c>
      <c r="N123" s="203">
        <v>0.009</v>
      </c>
      <c r="O123" s="203">
        <v>0</v>
      </c>
      <c r="P123" s="174"/>
    </row>
    <row r="124" spans="1:16" ht="12">
      <c r="A124" s="1"/>
      <c r="B124" s="175"/>
      <c r="C124" s="84" t="s">
        <v>154</v>
      </c>
      <c r="D124" s="84" t="s">
        <v>155</v>
      </c>
      <c r="E124" s="168">
        <v>0.012</v>
      </c>
      <c r="F124" s="168">
        <v>0.011</v>
      </c>
      <c r="G124" s="85">
        <v>0</v>
      </c>
      <c r="H124" s="174"/>
      <c r="J124" s="175"/>
      <c r="K124" s="201" t="s">
        <v>218</v>
      </c>
      <c r="L124" s="201" t="s">
        <v>219</v>
      </c>
      <c r="M124" s="203">
        <v>0.008</v>
      </c>
      <c r="N124" s="203">
        <v>0.005</v>
      </c>
      <c r="O124" s="203">
        <v>0.003</v>
      </c>
      <c r="P124" s="174"/>
    </row>
    <row r="125" spans="1:16" ht="12">
      <c r="A125" s="1"/>
      <c r="B125" s="175"/>
      <c r="C125" s="84" t="s">
        <v>204</v>
      </c>
      <c r="D125" s="84" t="s">
        <v>205</v>
      </c>
      <c r="E125" s="168">
        <v>0.001</v>
      </c>
      <c r="F125" s="168">
        <v>0.001</v>
      </c>
      <c r="G125" s="85">
        <v>0</v>
      </c>
      <c r="H125" s="174"/>
      <c r="J125" s="175"/>
      <c r="K125" s="201" t="s">
        <v>236</v>
      </c>
      <c r="L125" s="201" t="s">
        <v>237</v>
      </c>
      <c r="M125" s="203">
        <v>0.008</v>
      </c>
      <c r="N125" s="203">
        <v>0.001</v>
      </c>
      <c r="O125" s="203">
        <v>0.007</v>
      </c>
      <c r="P125" s="174"/>
    </row>
    <row r="126" spans="1:16" ht="12">
      <c r="A126" s="1"/>
      <c r="B126" s="175"/>
      <c r="C126" s="84" t="s">
        <v>208</v>
      </c>
      <c r="D126" s="84" t="s">
        <v>209</v>
      </c>
      <c r="E126" s="168">
        <v>0.003</v>
      </c>
      <c r="F126" s="168">
        <v>0.003</v>
      </c>
      <c r="G126" s="85">
        <v>0</v>
      </c>
      <c r="H126" s="174"/>
      <c r="J126" s="175"/>
      <c r="K126" s="201" t="s">
        <v>160</v>
      </c>
      <c r="L126" s="201" t="s">
        <v>161</v>
      </c>
      <c r="M126" s="203">
        <v>0.007</v>
      </c>
      <c r="N126" s="203">
        <v>0.007</v>
      </c>
      <c r="O126" s="203">
        <v>0</v>
      </c>
      <c r="P126" s="174"/>
    </row>
    <row r="127" spans="1:16" ht="12">
      <c r="A127" s="1"/>
      <c r="B127" s="175"/>
      <c r="C127" s="84" t="s">
        <v>212</v>
      </c>
      <c r="D127" s="84" t="s">
        <v>213</v>
      </c>
      <c r="E127" s="168">
        <v>0.004</v>
      </c>
      <c r="F127" s="168">
        <v>0.004</v>
      </c>
      <c r="G127" s="85">
        <v>0</v>
      </c>
      <c r="H127" s="174"/>
      <c r="J127" s="175"/>
      <c r="K127" s="201" t="s">
        <v>162</v>
      </c>
      <c r="L127" s="201" t="s">
        <v>163</v>
      </c>
      <c r="M127" s="203">
        <v>0.007</v>
      </c>
      <c r="N127" s="203">
        <v>0.006</v>
      </c>
      <c r="O127" s="203">
        <v>0</v>
      </c>
      <c r="P127" s="174"/>
    </row>
    <row r="128" spans="1:16" ht="12">
      <c r="A128" s="1"/>
      <c r="B128" s="175"/>
      <c r="C128" s="84" t="s">
        <v>214</v>
      </c>
      <c r="D128" s="84" t="s">
        <v>215</v>
      </c>
      <c r="E128" s="85">
        <v>0</v>
      </c>
      <c r="F128" s="85">
        <v>0</v>
      </c>
      <c r="G128" s="85">
        <v>0</v>
      </c>
      <c r="H128" s="174"/>
      <c r="J128" s="175"/>
      <c r="K128" s="201" t="s">
        <v>190</v>
      </c>
      <c r="L128" s="201" t="s">
        <v>191</v>
      </c>
      <c r="M128" s="203">
        <v>0.007</v>
      </c>
      <c r="N128" s="203">
        <v>0</v>
      </c>
      <c r="O128" s="203">
        <v>0.007</v>
      </c>
      <c r="P128" s="174"/>
    </row>
    <row r="129" spans="1:16" ht="12">
      <c r="A129" s="1"/>
      <c r="B129" s="175"/>
      <c r="C129" s="84" t="s">
        <v>142</v>
      </c>
      <c r="D129" s="84" t="s">
        <v>143</v>
      </c>
      <c r="E129" s="168">
        <v>0.237</v>
      </c>
      <c r="F129" s="168">
        <v>0.237</v>
      </c>
      <c r="G129" s="85">
        <v>0</v>
      </c>
      <c r="H129" s="174"/>
      <c r="J129" s="175"/>
      <c r="K129" s="201" t="s">
        <v>194</v>
      </c>
      <c r="L129" s="201" t="s">
        <v>195</v>
      </c>
      <c r="M129" s="203">
        <v>0.007</v>
      </c>
      <c r="N129" s="203">
        <v>0</v>
      </c>
      <c r="O129" s="203">
        <v>0.007</v>
      </c>
      <c r="P129" s="174"/>
    </row>
    <row r="130" spans="1:16" ht="12">
      <c r="A130" s="1"/>
      <c r="B130" s="175"/>
      <c r="C130" s="84" t="s">
        <v>218</v>
      </c>
      <c r="D130" s="84" t="s">
        <v>219</v>
      </c>
      <c r="E130" s="168">
        <v>0.008</v>
      </c>
      <c r="F130" s="168">
        <v>0.005</v>
      </c>
      <c r="G130" s="168">
        <v>0.003</v>
      </c>
      <c r="H130" s="174"/>
      <c r="J130" s="175"/>
      <c r="K130" s="201" t="s">
        <v>232</v>
      </c>
      <c r="L130" s="201" t="s">
        <v>233</v>
      </c>
      <c r="M130" s="203">
        <v>0.007</v>
      </c>
      <c r="N130" s="203">
        <v>0.007</v>
      </c>
      <c r="O130" s="203">
        <v>0</v>
      </c>
      <c r="P130" s="174"/>
    </row>
    <row r="131" spans="1:16" ht="12">
      <c r="A131" s="1"/>
      <c r="B131" s="175"/>
      <c r="C131" s="84" t="s">
        <v>222</v>
      </c>
      <c r="D131" s="84" t="s">
        <v>223</v>
      </c>
      <c r="E131" s="168">
        <v>0.005</v>
      </c>
      <c r="F131" s="168">
        <v>0.004</v>
      </c>
      <c r="G131" s="168">
        <v>0.001</v>
      </c>
      <c r="H131" s="174"/>
      <c r="J131" s="175"/>
      <c r="K131" s="201" t="s">
        <v>180</v>
      </c>
      <c r="L131" s="201" t="s">
        <v>181</v>
      </c>
      <c r="M131" s="203">
        <v>0.006</v>
      </c>
      <c r="N131" s="203">
        <v>0.001</v>
      </c>
      <c r="O131" s="203">
        <v>0.005</v>
      </c>
      <c r="P131" s="174"/>
    </row>
    <row r="132" spans="1:16" ht="12">
      <c r="A132" s="1"/>
      <c r="B132" s="175"/>
      <c r="C132" s="84" t="s">
        <v>206</v>
      </c>
      <c r="D132" s="84" t="s">
        <v>207</v>
      </c>
      <c r="E132" s="168">
        <v>0.006</v>
      </c>
      <c r="F132" s="168">
        <v>0.006</v>
      </c>
      <c r="G132" s="85">
        <v>0</v>
      </c>
      <c r="H132" s="174"/>
      <c r="J132" s="175"/>
      <c r="K132" s="201" t="s">
        <v>186</v>
      </c>
      <c r="L132" s="201" t="s">
        <v>187</v>
      </c>
      <c r="M132" s="203">
        <v>0.006</v>
      </c>
      <c r="N132" s="203">
        <v>0.003</v>
      </c>
      <c r="O132" s="203">
        <v>0.003</v>
      </c>
      <c r="P132" s="174"/>
    </row>
    <row r="133" spans="1:16" ht="12">
      <c r="A133" s="1"/>
      <c r="B133" s="175"/>
      <c r="C133" s="84" t="s">
        <v>210</v>
      </c>
      <c r="D133" s="84" t="s">
        <v>211</v>
      </c>
      <c r="E133" s="168">
        <v>0.013</v>
      </c>
      <c r="F133" s="85">
        <v>0</v>
      </c>
      <c r="G133" s="168">
        <v>0.013</v>
      </c>
      <c r="H133" s="174"/>
      <c r="J133" s="175"/>
      <c r="K133" s="201" t="s">
        <v>206</v>
      </c>
      <c r="L133" s="201" t="s">
        <v>207</v>
      </c>
      <c r="M133" s="203">
        <v>0.006</v>
      </c>
      <c r="N133" s="203">
        <v>0.006</v>
      </c>
      <c r="O133" s="203">
        <v>0</v>
      </c>
      <c r="P133" s="174"/>
    </row>
    <row r="134" spans="1:16" ht="12">
      <c r="A134" s="1"/>
      <c r="B134" s="175"/>
      <c r="C134" s="84" t="s">
        <v>228</v>
      </c>
      <c r="D134" s="84" t="s">
        <v>229</v>
      </c>
      <c r="E134" s="168">
        <v>0.003</v>
      </c>
      <c r="F134" s="168">
        <v>0.003</v>
      </c>
      <c r="G134" s="85">
        <v>0</v>
      </c>
      <c r="H134" s="174"/>
      <c r="J134" s="175"/>
      <c r="K134" s="201" t="s">
        <v>220</v>
      </c>
      <c r="L134" s="201" t="s">
        <v>221</v>
      </c>
      <c r="M134" s="203">
        <v>0.006</v>
      </c>
      <c r="N134" s="203">
        <v>0.006</v>
      </c>
      <c r="O134" s="203">
        <v>0</v>
      </c>
      <c r="P134" s="174"/>
    </row>
    <row r="135" spans="1:16" ht="12">
      <c r="A135" s="1"/>
      <c r="B135" s="175"/>
      <c r="C135" s="84" t="s">
        <v>220</v>
      </c>
      <c r="D135" s="84" t="s">
        <v>221</v>
      </c>
      <c r="E135" s="168">
        <v>0.006</v>
      </c>
      <c r="F135" s="168">
        <v>0.006</v>
      </c>
      <c r="G135" s="85">
        <v>0</v>
      </c>
      <c r="H135" s="174"/>
      <c r="J135" s="175"/>
      <c r="K135" s="201" t="s">
        <v>222</v>
      </c>
      <c r="L135" s="201" t="s">
        <v>223</v>
      </c>
      <c r="M135" s="203">
        <v>0.005</v>
      </c>
      <c r="N135" s="203">
        <v>0.004</v>
      </c>
      <c r="O135" s="203">
        <v>0.001</v>
      </c>
      <c r="P135" s="174"/>
    </row>
    <row r="136" spans="1:16" ht="12">
      <c r="A136" s="1"/>
      <c r="B136" s="175"/>
      <c r="C136" s="84" t="s">
        <v>230</v>
      </c>
      <c r="D136" s="84" t="s">
        <v>231</v>
      </c>
      <c r="E136" s="85">
        <v>0.001</v>
      </c>
      <c r="F136" s="85">
        <v>0.001</v>
      </c>
      <c r="G136" s="85">
        <v>0</v>
      </c>
      <c r="H136" s="174"/>
      <c r="J136" s="175"/>
      <c r="K136" s="201" t="s">
        <v>170</v>
      </c>
      <c r="L136" s="201" t="s">
        <v>171</v>
      </c>
      <c r="M136" s="203">
        <v>0.004</v>
      </c>
      <c r="N136" s="203">
        <v>0.003</v>
      </c>
      <c r="O136" s="203">
        <v>0.001</v>
      </c>
      <c r="P136" s="174"/>
    </row>
    <row r="137" spans="1:16" ht="12">
      <c r="A137" s="1"/>
      <c r="B137" s="175"/>
      <c r="C137" s="84" t="s">
        <v>150</v>
      </c>
      <c r="D137" s="84" t="s">
        <v>151</v>
      </c>
      <c r="E137" s="168">
        <v>0.052</v>
      </c>
      <c r="F137" s="168">
        <v>0.051</v>
      </c>
      <c r="G137" s="168">
        <v>0.001</v>
      </c>
      <c r="H137" s="174"/>
      <c r="J137" s="175"/>
      <c r="K137" s="201" t="s">
        <v>198</v>
      </c>
      <c r="L137" s="201" t="s">
        <v>199</v>
      </c>
      <c r="M137" s="203">
        <v>0.004</v>
      </c>
      <c r="N137" s="203">
        <v>0.004</v>
      </c>
      <c r="O137" s="203">
        <v>0</v>
      </c>
      <c r="P137" s="174"/>
    </row>
    <row r="138" spans="1:16" ht="12">
      <c r="A138" s="1"/>
      <c r="B138" s="175"/>
      <c r="C138" s="84" t="s">
        <v>234</v>
      </c>
      <c r="D138" s="84" t="s">
        <v>235</v>
      </c>
      <c r="E138" s="168">
        <v>0.002</v>
      </c>
      <c r="F138" s="168">
        <v>0.001</v>
      </c>
      <c r="G138" s="168">
        <v>0.001</v>
      </c>
      <c r="H138" s="174"/>
      <c r="J138" s="175"/>
      <c r="K138" s="201" t="s">
        <v>212</v>
      </c>
      <c r="L138" s="201" t="s">
        <v>213</v>
      </c>
      <c r="M138" s="203">
        <v>0.004</v>
      </c>
      <c r="N138" s="203">
        <v>0.004</v>
      </c>
      <c r="O138" s="203">
        <v>0</v>
      </c>
      <c r="P138" s="174"/>
    </row>
    <row r="139" spans="1:16" ht="12">
      <c r="A139" s="1"/>
      <c r="B139" s="175"/>
      <c r="C139" s="84" t="s">
        <v>236</v>
      </c>
      <c r="D139" s="84" t="s">
        <v>237</v>
      </c>
      <c r="E139" s="168">
        <v>0.008</v>
      </c>
      <c r="F139" s="85">
        <v>0.001</v>
      </c>
      <c r="G139" s="168">
        <v>0.007</v>
      </c>
      <c r="H139" s="174"/>
      <c r="J139" s="175"/>
      <c r="K139" s="201" t="s">
        <v>242</v>
      </c>
      <c r="L139" s="201" t="s">
        <v>243</v>
      </c>
      <c r="M139" s="203">
        <v>0.004</v>
      </c>
      <c r="N139" s="203">
        <v>0.003</v>
      </c>
      <c r="O139" s="203">
        <v>0</v>
      </c>
      <c r="P139" s="174"/>
    </row>
    <row r="140" spans="1:16" ht="12">
      <c r="A140" s="1"/>
      <c r="B140" s="175"/>
      <c r="C140" s="84" t="s">
        <v>188</v>
      </c>
      <c r="D140" s="84" t="s">
        <v>189</v>
      </c>
      <c r="E140" s="168">
        <v>0.045</v>
      </c>
      <c r="F140" s="168">
        <v>0.005</v>
      </c>
      <c r="G140" s="168">
        <v>0.04</v>
      </c>
      <c r="H140" s="174"/>
      <c r="J140" s="175"/>
      <c r="K140" s="201" t="s">
        <v>208</v>
      </c>
      <c r="L140" s="201" t="s">
        <v>209</v>
      </c>
      <c r="M140" s="203">
        <v>0.003</v>
      </c>
      <c r="N140" s="203">
        <v>0.003</v>
      </c>
      <c r="O140" s="203">
        <v>0</v>
      </c>
      <c r="P140" s="174"/>
    </row>
    <row r="141" spans="1:16" ht="12">
      <c r="A141" s="1"/>
      <c r="B141" s="175"/>
      <c r="C141" s="84" t="s">
        <v>238</v>
      </c>
      <c r="D141" s="84" t="s">
        <v>239</v>
      </c>
      <c r="E141" s="85">
        <v>0</v>
      </c>
      <c r="F141" s="85">
        <v>0</v>
      </c>
      <c r="G141" s="85">
        <v>0</v>
      </c>
      <c r="H141" s="174"/>
      <c r="J141" s="175"/>
      <c r="K141" s="201" t="s">
        <v>228</v>
      </c>
      <c r="L141" s="201" t="s">
        <v>229</v>
      </c>
      <c r="M141" s="203">
        <v>0.003</v>
      </c>
      <c r="N141" s="203">
        <v>0.003</v>
      </c>
      <c r="O141" s="203">
        <v>0</v>
      </c>
      <c r="P141" s="174"/>
    </row>
    <row r="142" spans="1:16" ht="12">
      <c r="A142" s="1"/>
      <c r="B142" s="175"/>
      <c r="C142" s="84" t="s">
        <v>240</v>
      </c>
      <c r="D142" s="84" t="s">
        <v>241</v>
      </c>
      <c r="E142" s="168">
        <v>0.002</v>
      </c>
      <c r="F142" s="168">
        <v>0.001</v>
      </c>
      <c r="G142" s="85">
        <v>0</v>
      </c>
      <c r="H142" s="174"/>
      <c r="J142" s="175"/>
      <c r="K142" s="201" t="s">
        <v>244</v>
      </c>
      <c r="L142" s="201" t="s">
        <v>245</v>
      </c>
      <c r="M142" s="203">
        <v>0.003</v>
      </c>
      <c r="N142" s="203">
        <v>0.003</v>
      </c>
      <c r="O142" s="203">
        <v>0.001</v>
      </c>
      <c r="P142" s="174"/>
    </row>
    <row r="143" spans="1:16" ht="12">
      <c r="A143" s="1"/>
      <c r="B143" s="175"/>
      <c r="C143" s="84" t="s">
        <v>242</v>
      </c>
      <c r="D143" s="84" t="s">
        <v>243</v>
      </c>
      <c r="E143" s="168">
        <v>0.004</v>
      </c>
      <c r="F143" s="168">
        <v>0.003</v>
      </c>
      <c r="G143" s="85">
        <v>0</v>
      </c>
      <c r="H143" s="174"/>
      <c r="J143" s="175"/>
      <c r="K143" s="201" t="s">
        <v>172</v>
      </c>
      <c r="L143" s="201" t="s">
        <v>173</v>
      </c>
      <c r="M143" s="203">
        <v>0.002</v>
      </c>
      <c r="N143" s="203">
        <v>0.001</v>
      </c>
      <c r="O143" s="203">
        <v>0</v>
      </c>
      <c r="P143" s="174"/>
    </row>
    <row r="144" spans="1:16" ht="12">
      <c r="A144" s="1"/>
      <c r="B144" s="175"/>
      <c r="C144" s="84" t="s">
        <v>246</v>
      </c>
      <c r="D144" s="84" t="s">
        <v>247</v>
      </c>
      <c r="E144" s="85">
        <v>0</v>
      </c>
      <c r="F144" s="85">
        <v>0</v>
      </c>
      <c r="G144" s="85">
        <v>0</v>
      </c>
      <c r="H144" s="174"/>
      <c r="J144" s="175"/>
      <c r="K144" s="201" t="s">
        <v>196</v>
      </c>
      <c r="L144" s="201" t="s">
        <v>197</v>
      </c>
      <c r="M144" s="203">
        <v>0.002</v>
      </c>
      <c r="N144" s="203">
        <v>0.002</v>
      </c>
      <c r="O144" s="203">
        <v>0</v>
      </c>
      <c r="P144" s="174"/>
    </row>
    <row r="145" spans="1:16" ht="12">
      <c r="A145" s="1"/>
      <c r="B145" s="175"/>
      <c r="C145" s="84" t="s">
        <v>248</v>
      </c>
      <c r="D145" s="84" t="s">
        <v>249</v>
      </c>
      <c r="E145" s="168">
        <v>0.011</v>
      </c>
      <c r="F145" s="168">
        <v>0.011</v>
      </c>
      <c r="G145" s="85">
        <v>0</v>
      </c>
      <c r="H145" s="174"/>
      <c r="J145" s="175"/>
      <c r="K145" s="201" t="s">
        <v>234</v>
      </c>
      <c r="L145" s="201" t="s">
        <v>235</v>
      </c>
      <c r="M145" s="203">
        <v>0.002</v>
      </c>
      <c r="N145" s="203">
        <v>0.001</v>
      </c>
      <c r="O145" s="203">
        <v>0.001</v>
      </c>
      <c r="P145" s="174"/>
    </row>
    <row r="146" spans="1:16" ht="12">
      <c r="A146" s="1"/>
      <c r="B146" s="175"/>
      <c r="C146" s="84" t="s">
        <v>244</v>
      </c>
      <c r="D146" s="84" t="s">
        <v>245</v>
      </c>
      <c r="E146" s="168">
        <v>0.003</v>
      </c>
      <c r="F146" s="168">
        <v>0.003</v>
      </c>
      <c r="G146" s="85">
        <v>0.001</v>
      </c>
      <c r="H146" s="174"/>
      <c r="J146" s="175"/>
      <c r="K146" s="201" t="s">
        <v>240</v>
      </c>
      <c r="L146" s="201" t="s">
        <v>241</v>
      </c>
      <c r="M146" s="203">
        <v>0.002</v>
      </c>
      <c r="N146" s="203">
        <v>0.001</v>
      </c>
      <c r="O146" s="203">
        <v>0</v>
      </c>
      <c r="P146" s="174"/>
    </row>
    <row r="147" spans="1:16" ht="12">
      <c r="A147" s="1"/>
      <c r="B147" s="175"/>
      <c r="C147" s="84" t="s">
        <v>146</v>
      </c>
      <c r="D147" s="84" t="s">
        <v>147</v>
      </c>
      <c r="E147" s="168">
        <v>0.043</v>
      </c>
      <c r="F147" s="168">
        <v>0.043</v>
      </c>
      <c r="G147" s="85">
        <v>0</v>
      </c>
      <c r="H147" s="174"/>
      <c r="J147" s="175"/>
      <c r="K147" s="201" t="s">
        <v>138</v>
      </c>
      <c r="L147" s="201" t="s">
        <v>139</v>
      </c>
      <c r="M147" s="203">
        <v>0.001</v>
      </c>
      <c r="N147" s="203">
        <v>0.001</v>
      </c>
      <c r="O147" s="203">
        <v>0</v>
      </c>
      <c r="P147" s="174"/>
    </row>
    <row r="148" spans="1:16" ht="12">
      <c r="A148" s="1"/>
      <c r="B148" s="175"/>
      <c r="C148" s="84" t="s">
        <v>192</v>
      </c>
      <c r="D148" s="84" t="s">
        <v>193</v>
      </c>
      <c r="E148" s="168">
        <v>0.023</v>
      </c>
      <c r="F148" s="168">
        <v>0.023</v>
      </c>
      <c r="G148" s="85">
        <v>0</v>
      </c>
      <c r="H148" s="174"/>
      <c r="J148" s="175"/>
      <c r="K148" s="201" t="s">
        <v>156</v>
      </c>
      <c r="L148" s="201" t="s">
        <v>157</v>
      </c>
      <c r="M148" s="203">
        <v>0.001</v>
      </c>
      <c r="N148" s="203">
        <v>0.001</v>
      </c>
      <c r="O148" s="203">
        <v>0</v>
      </c>
      <c r="P148" s="174"/>
    </row>
    <row r="149" spans="1:16" ht="12">
      <c r="A149" s="1"/>
      <c r="B149" s="175"/>
      <c r="C149" s="84" t="s">
        <v>168</v>
      </c>
      <c r="D149" s="84" t="s">
        <v>169</v>
      </c>
      <c r="E149" s="167">
        <v>0.067</v>
      </c>
      <c r="F149" s="167">
        <v>0.067</v>
      </c>
      <c r="G149" s="85">
        <v>0</v>
      </c>
      <c r="H149" s="174"/>
      <c r="J149" s="175"/>
      <c r="K149" s="201" t="s">
        <v>204</v>
      </c>
      <c r="L149" s="201" t="s">
        <v>205</v>
      </c>
      <c r="M149" s="203">
        <v>0.001</v>
      </c>
      <c r="N149" s="203">
        <v>0.001</v>
      </c>
      <c r="O149" s="203">
        <v>0</v>
      </c>
      <c r="P149" s="174"/>
    </row>
    <row r="150" spans="1:16" ht="12">
      <c r="A150" s="1"/>
      <c r="B150" s="175"/>
      <c r="C150" s="84" t="s">
        <v>200</v>
      </c>
      <c r="D150" s="84" t="s">
        <v>201</v>
      </c>
      <c r="E150" s="168">
        <v>0.035</v>
      </c>
      <c r="F150" s="168">
        <v>0.035</v>
      </c>
      <c r="G150" s="85">
        <v>0</v>
      </c>
      <c r="H150" s="174"/>
      <c r="J150" s="175"/>
      <c r="K150" s="201" t="s">
        <v>230</v>
      </c>
      <c r="L150" s="201" t="s">
        <v>231</v>
      </c>
      <c r="M150" s="203">
        <v>0.001</v>
      </c>
      <c r="N150" s="203">
        <v>0.001</v>
      </c>
      <c r="O150" s="203">
        <v>0</v>
      </c>
      <c r="P150" s="174"/>
    </row>
    <row r="151" spans="1:16" ht="12">
      <c r="A151" s="1"/>
      <c r="B151" s="175"/>
      <c r="C151" s="84" t="s">
        <v>216</v>
      </c>
      <c r="D151" s="84" t="s">
        <v>217</v>
      </c>
      <c r="E151" s="168">
        <v>0.013</v>
      </c>
      <c r="F151" s="167">
        <v>0.012</v>
      </c>
      <c r="G151" s="168">
        <v>0.001</v>
      </c>
      <c r="H151" s="174"/>
      <c r="J151" s="175"/>
      <c r="K151" s="201" t="s">
        <v>250</v>
      </c>
      <c r="L151" s="201" t="s">
        <v>251</v>
      </c>
      <c r="M151" s="203">
        <v>0.001</v>
      </c>
      <c r="N151" s="203">
        <v>0.001</v>
      </c>
      <c r="O151" s="203">
        <v>0</v>
      </c>
      <c r="P151" s="174"/>
    </row>
    <row r="152" spans="1:16" ht="12">
      <c r="A152" s="1"/>
      <c r="B152" s="175"/>
      <c r="C152" s="84" t="s">
        <v>226</v>
      </c>
      <c r="D152" s="84" t="s">
        <v>227</v>
      </c>
      <c r="E152" s="168">
        <v>0.017</v>
      </c>
      <c r="F152" s="168">
        <v>0.017</v>
      </c>
      <c r="G152" s="85">
        <v>0</v>
      </c>
      <c r="H152" s="174"/>
      <c r="J152" s="175"/>
      <c r="K152" s="201" t="s">
        <v>176</v>
      </c>
      <c r="L152" s="201" t="s">
        <v>177</v>
      </c>
      <c r="M152" s="203">
        <v>0</v>
      </c>
      <c r="N152" s="203">
        <v>0</v>
      </c>
      <c r="O152" s="203">
        <v>0</v>
      </c>
      <c r="P152" s="174"/>
    </row>
    <row r="153" spans="1:16" ht="12">
      <c r="A153" s="1"/>
      <c r="B153" s="175"/>
      <c r="C153" s="84" t="s">
        <v>232</v>
      </c>
      <c r="D153" s="84" t="s">
        <v>233</v>
      </c>
      <c r="E153" s="168">
        <v>0.007</v>
      </c>
      <c r="F153" s="168">
        <v>0.007</v>
      </c>
      <c r="G153" s="85">
        <v>0</v>
      </c>
      <c r="H153" s="174"/>
      <c r="J153" s="175"/>
      <c r="K153" s="201" t="s">
        <v>214</v>
      </c>
      <c r="L153" s="201" t="s">
        <v>215</v>
      </c>
      <c r="M153" s="203">
        <v>0</v>
      </c>
      <c r="N153" s="203">
        <v>0</v>
      </c>
      <c r="O153" s="203">
        <v>0</v>
      </c>
      <c r="P153" s="174"/>
    </row>
    <row r="154" spans="1:16" ht="12">
      <c r="A154" s="1"/>
      <c r="B154" s="175"/>
      <c r="C154" s="84" t="s">
        <v>250</v>
      </c>
      <c r="D154" s="84" t="s">
        <v>251</v>
      </c>
      <c r="E154" s="168">
        <v>0.001</v>
      </c>
      <c r="F154" s="168">
        <v>0.001</v>
      </c>
      <c r="G154" s="85">
        <v>0</v>
      </c>
      <c r="H154" s="174"/>
      <c r="J154" s="175"/>
      <c r="K154" s="201" t="s">
        <v>238</v>
      </c>
      <c r="L154" s="201" t="s">
        <v>239</v>
      </c>
      <c r="M154" s="203">
        <v>0</v>
      </c>
      <c r="N154" s="203">
        <v>0</v>
      </c>
      <c r="O154" s="203">
        <v>0</v>
      </c>
      <c r="P154" s="174"/>
    </row>
    <row r="155" spans="1:16" ht="12">
      <c r="A155" s="1"/>
      <c r="B155" s="175"/>
      <c r="C155" s="84" t="s">
        <v>224</v>
      </c>
      <c r="D155" s="84" t="s">
        <v>225</v>
      </c>
      <c r="E155" s="168">
        <v>0.009</v>
      </c>
      <c r="F155" s="168">
        <v>0.009</v>
      </c>
      <c r="G155" s="85">
        <v>0</v>
      </c>
      <c r="H155" s="174"/>
      <c r="J155" s="175"/>
      <c r="K155" s="201" t="s">
        <v>246</v>
      </c>
      <c r="L155" s="201" t="s">
        <v>247</v>
      </c>
      <c r="M155" s="203">
        <v>0</v>
      </c>
      <c r="N155" s="203">
        <v>0</v>
      </c>
      <c r="O155" s="203">
        <v>0</v>
      </c>
      <c r="P155" s="174"/>
    </row>
    <row r="156" spans="1:16" ht="12">
      <c r="A156" s="1"/>
      <c r="B156" s="175"/>
      <c r="C156" s="84" t="s">
        <v>252</v>
      </c>
      <c r="D156" s="84" t="s">
        <v>253</v>
      </c>
      <c r="E156" s="85">
        <v>0</v>
      </c>
      <c r="F156" s="85">
        <v>0</v>
      </c>
      <c r="G156" s="85">
        <v>0</v>
      </c>
      <c r="H156" s="174"/>
      <c r="J156" s="175"/>
      <c r="K156" s="201" t="s">
        <v>252</v>
      </c>
      <c r="L156" s="201" t="s">
        <v>253</v>
      </c>
      <c r="M156" s="203">
        <v>0</v>
      </c>
      <c r="N156" s="203">
        <v>0</v>
      </c>
      <c r="O156" s="203">
        <v>0</v>
      </c>
      <c r="P156" s="174"/>
    </row>
    <row r="157" spans="1:16" ht="12">
      <c r="A157" s="1"/>
      <c r="B157" s="175"/>
      <c r="C157" s="173"/>
      <c r="D157" s="173"/>
      <c r="E157" s="173"/>
      <c r="F157" s="173"/>
      <c r="G157" s="173"/>
      <c r="H157" s="174"/>
      <c r="J157" s="175"/>
      <c r="K157" s="173"/>
      <c r="L157" s="173"/>
      <c r="M157" s="173"/>
      <c r="N157" s="173"/>
      <c r="O157" s="173"/>
      <c r="P157" s="174"/>
    </row>
    <row r="158" spans="1:16" ht="12">
      <c r="A158" s="1"/>
      <c r="B158" s="175"/>
      <c r="C158" s="11" t="s">
        <v>38</v>
      </c>
      <c r="D158" s="173"/>
      <c r="E158" s="173"/>
      <c r="F158" s="173"/>
      <c r="G158" s="173"/>
      <c r="H158" s="174"/>
      <c r="J158" s="175"/>
      <c r="K158" s="11" t="s">
        <v>38</v>
      </c>
      <c r="L158" s="173"/>
      <c r="M158" s="173"/>
      <c r="N158" s="173"/>
      <c r="O158" s="173"/>
      <c r="P158" s="174"/>
    </row>
    <row r="159" spans="1:16" ht="12">
      <c r="A159" s="1"/>
      <c r="B159" s="175"/>
      <c r="C159" s="11" t="s">
        <v>36</v>
      </c>
      <c r="D159" s="11" t="s">
        <v>39</v>
      </c>
      <c r="E159" s="173"/>
      <c r="F159" s="173"/>
      <c r="G159" s="173"/>
      <c r="H159" s="174"/>
      <c r="J159" s="175"/>
      <c r="K159" s="11" t="s">
        <v>36</v>
      </c>
      <c r="L159" s="11" t="s">
        <v>39</v>
      </c>
      <c r="M159" s="173"/>
      <c r="N159" s="173"/>
      <c r="O159" s="173"/>
      <c r="P159" s="174"/>
    </row>
    <row r="160" spans="1:16" ht="12">
      <c r="A160" s="1"/>
      <c r="B160" s="175"/>
      <c r="C160" s="173"/>
      <c r="D160" s="173"/>
      <c r="E160" s="173"/>
      <c r="F160" s="173"/>
      <c r="G160" s="173"/>
      <c r="H160" s="174"/>
      <c r="J160" s="175"/>
      <c r="K160" s="173"/>
      <c r="L160" s="173"/>
      <c r="M160" s="173"/>
      <c r="N160" s="173"/>
      <c r="O160" s="173"/>
      <c r="P160" s="174"/>
    </row>
    <row r="161" spans="1:16" ht="12">
      <c r="A161" s="1"/>
      <c r="B161" s="175"/>
      <c r="C161" s="11" t="s">
        <v>15</v>
      </c>
      <c r="D161" s="11" t="s">
        <v>303</v>
      </c>
      <c r="E161" s="173"/>
      <c r="F161" s="173"/>
      <c r="G161" s="173"/>
      <c r="H161" s="174"/>
      <c r="J161" s="175"/>
      <c r="K161" s="11" t="str">
        <f>C161</f>
        <v>GEO</v>
      </c>
      <c r="L161" s="11" t="str">
        <f>D161</f>
        <v>EU27_2020 - European Union - 27 countries (from 2020)</v>
      </c>
      <c r="M161" s="173"/>
      <c r="N161" s="173"/>
      <c r="O161" s="173"/>
      <c r="P161" s="174"/>
    </row>
    <row r="162" spans="1:16" ht="12">
      <c r="A162" s="1"/>
      <c r="B162" s="175"/>
      <c r="C162" s="11" t="s">
        <v>13</v>
      </c>
      <c r="D162" s="11" t="s">
        <v>114</v>
      </c>
      <c r="E162" s="173"/>
      <c r="F162" s="173"/>
      <c r="G162" s="173"/>
      <c r="H162" s="174"/>
      <c r="J162" s="175"/>
      <c r="K162" s="11" t="str">
        <f aca="true" t="shared" si="8" ref="K162:K164">C162</f>
        <v>UNIT</v>
      </c>
      <c r="L162" s="11" t="str">
        <f aca="true" t="shared" si="9" ref="L162:L164">D162</f>
        <v>Tonnes per capita</v>
      </c>
      <c r="M162" s="173"/>
      <c r="N162" s="173"/>
      <c r="O162" s="173"/>
      <c r="P162" s="174"/>
    </row>
    <row r="163" spans="1:16" ht="12">
      <c r="A163" s="1"/>
      <c r="B163" s="175"/>
      <c r="C163" s="11" t="s">
        <v>118</v>
      </c>
      <c r="D163" s="219">
        <f>Cover!C1</f>
        <v>2019</v>
      </c>
      <c r="E163" s="173"/>
      <c r="F163" s="173"/>
      <c r="G163" s="173"/>
      <c r="H163" s="174"/>
      <c r="J163" s="175"/>
      <c r="K163" s="11" t="str">
        <f t="shared" si="8"/>
        <v>TIME</v>
      </c>
      <c r="L163" s="219">
        <f t="shared" si="9"/>
        <v>2019</v>
      </c>
      <c r="M163" s="173"/>
      <c r="N163" s="173"/>
      <c r="O163" s="173"/>
      <c r="P163" s="174"/>
    </row>
    <row r="164" spans="1:16" ht="12">
      <c r="A164" s="1"/>
      <c r="B164" s="175"/>
      <c r="C164" s="11" t="s">
        <v>78</v>
      </c>
      <c r="D164" s="11" t="s">
        <v>255</v>
      </c>
      <c r="E164" s="173"/>
      <c r="F164" s="173"/>
      <c r="G164" s="173"/>
      <c r="H164" s="174"/>
      <c r="J164" s="175"/>
      <c r="K164" s="11" t="str">
        <f t="shared" si="8"/>
        <v>MATERIAL</v>
      </c>
      <c r="L164" s="11" t="str">
        <f t="shared" si="9"/>
        <v>MF2 - Metal ores (gross ores)</v>
      </c>
      <c r="M164" s="173"/>
      <c r="N164" s="173"/>
      <c r="O164" s="173"/>
      <c r="P164" s="174"/>
    </row>
    <row r="165" spans="1:16" ht="12">
      <c r="A165" s="1"/>
      <c r="B165" s="175"/>
      <c r="C165" s="173"/>
      <c r="D165" s="173"/>
      <c r="E165" s="173"/>
      <c r="F165" s="173"/>
      <c r="G165" s="173"/>
      <c r="H165" s="174"/>
      <c r="J165" s="175"/>
      <c r="K165" s="173"/>
      <c r="L165" s="173"/>
      <c r="M165" s="173"/>
      <c r="N165" s="173"/>
      <c r="O165" s="173"/>
      <c r="P165" s="174"/>
    </row>
    <row r="166" spans="1:16" ht="12">
      <c r="A166" s="1"/>
      <c r="B166" s="175"/>
      <c r="C166" s="84" t="s">
        <v>120</v>
      </c>
      <c r="D166" s="84" t="s">
        <v>115</v>
      </c>
      <c r="E166" s="84" t="s">
        <v>93</v>
      </c>
      <c r="F166" s="84" t="s">
        <v>121</v>
      </c>
      <c r="G166" s="84" t="s">
        <v>122</v>
      </c>
      <c r="H166" s="174"/>
      <c r="J166" s="175"/>
      <c r="K166" s="196" t="s">
        <v>120</v>
      </c>
      <c r="L166" s="198" t="str">
        <f aca="true" t="shared" si="10" ref="L166:O166">D166</f>
        <v>INDIC_ENV</v>
      </c>
      <c r="M166" s="198" t="str">
        <f t="shared" si="10"/>
        <v>RMC</v>
      </c>
      <c r="N166" s="198" t="str">
        <f t="shared" si="10"/>
        <v>RMC_P3</v>
      </c>
      <c r="O166" s="198" t="str">
        <f t="shared" si="10"/>
        <v>RMC_P5</v>
      </c>
      <c r="P166" s="174"/>
    </row>
    <row r="167" spans="1:16" ht="12">
      <c r="A167" s="1"/>
      <c r="B167" s="175"/>
      <c r="C167" s="84" t="s">
        <v>123</v>
      </c>
      <c r="D167" s="84" t="s">
        <v>124</v>
      </c>
      <c r="E167" s="84" t="s">
        <v>113</v>
      </c>
      <c r="F167" s="84" t="s">
        <v>125</v>
      </c>
      <c r="G167" s="84" t="s">
        <v>126</v>
      </c>
      <c r="H167" s="174"/>
      <c r="J167" s="175"/>
      <c r="K167" s="197" t="str">
        <f aca="true" t="shared" si="11" ref="K167:O168">C167</f>
        <v>CPA08</v>
      </c>
      <c r="L167" s="199" t="str">
        <f t="shared" si="11"/>
        <v>CPA08(L)/INDIC_ENV(L)</v>
      </c>
      <c r="M167" s="199" t="str">
        <f t="shared" si="11"/>
        <v xml:space="preserve">Raw material consumption </v>
      </c>
      <c r="N167" s="199" t="str">
        <f t="shared" si="11"/>
        <v>Raw material consumption as result of final consumption expenditure</v>
      </c>
      <c r="O167" s="199" t="str">
        <f t="shared" si="11"/>
        <v xml:space="preserve">Raw material consumption as result of gross capital formation </v>
      </c>
      <c r="P167" s="174"/>
    </row>
    <row r="168" spans="1:16" ht="12">
      <c r="A168" s="1"/>
      <c r="B168" s="175"/>
      <c r="C168" s="84" t="s">
        <v>82</v>
      </c>
      <c r="D168" s="84" t="s">
        <v>127</v>
      </c>
      <c r="E168" s="168">
        <v>1.351</v>
      </c>
      <c r="F168" s="167">
        <v>0.718</v>
      </c>
      <c r="G168" s="168">
        <v>0.633</v>
      </c>
      <c r="H168" s="174"/>
      <c r="J168" s="175"/>
      <c r="K168" s="200" t="str">
        <f t="shared" si="11"/>
        <v>TOTAL</v>
      </c>
      <c r="L168" s="200" t="str">
        <f t="shared" si="11"/>
        <v>Total CPA products</v>
      </c>
      <c r="M168" s="202">
        <f t="shared" si="11"/>
        <v>1.351</v>
      </c>
      <c r="N168" s="202">
        <f t="shared" si="11"/>
        <v>0.718</v>
      </c>
      <c r="O168" s="202">
        <f t="shared" si="11"/>
        <v>0.633</v>
      </c>
      <c r="P168" s="174"/>
    </row>
    <row r="169" spans="1:16" ht="12">
      <c r="A169" s="1"/>
      <c r="B169" s="175"/>
      <c r="C169" s="84" t="s">
        <v>128</v>
      </c>
      <c r="D169" s="84" t="s">
        <v>129</v>
      </c>
      <c r="E169" s="168">
        <v>0.005</v>
      </c>
      <c r="F169" s="168">
        <v>0.004</v>
      </c>
      <c r="G169" s="168">
        <v>0.001</v>
      </c>
      <c r="H169" s="174"/>
      <c r="J169" s="175"/>
      <c r="K169" s="201" t="s">
        <v>130</v>
      </c>
      <c r="L169" s="201" t="s">
        <v>131</v>
      </c>
      <c r="M169" s="203">
        <v>0.219</v>
      </c>
      <c r="N169" s="203">
        <v>0.01</v>
      </c>
      <c r="O169" s="203">
        <v>0.209</v>
      </c>
      <c r="P169" s="174"/>
    </row>
    <row r="170" spans="1:16" ht="12">
      <c r="A170" s="1"/>
      <c r="B170" s="175"/>
      <c r="C170" s="84" t="s">
        <v>132</v>
      </c>
      <c r="D170" s="84" t="s">
        <v>133</v>
      </c>
      <c r="E170" s="168">
        <v>0.001</v>
      </c>
      <c r="F170" s="85">
        <v>0</v>
      </c>
      <c r="G170" s="85">
        <v>0</v>
      </c>
      <c r="H170" s="174"/>
      <c r="J170" s="175"/>
      <c r="K170" s="201" t="s">
        <v>158</v>
      </c>
      <c r="L170" s="201" t="s">
        <v>159</v>
      </c>
      <c r="M170" s="203">
        <v>0.119</v>
      </c>
      <c r="N170" s="203">
        <v>0.059</v>
      </c>
      <c r="O170" s="203">
        <v>0.06</v>
      </c>
      <c r="P170" s="174"/>
    </row>
    <row r="171" spans="1:16" ht="12">
      <c r="A171" s="1"/>
      <c r="B171" s="175"/>
      <c r="C171" s="84" t="s">
        <v>136</v>
      </c>
      <c r="D171" s="84" t="s">
        <v>137</v>
      </c>
      <c r="E171" s="168">
        <v>0.001</v>
      </c>
      <c r="F171" s="168">
        <v>0.001</v>
      </c>
      <c r="G171" s="85">
        <v>0</v>
      </c>
      <c r="H171" s="174"/>
      <c r="J171" s="175"/>
      <c r="K171" s="201" t="s">
        <v>182</v>
      </c>
      <c r="L171" s="201" t="s">
        <v>183</v>
      </c>
      <c r="M171" s="203">
        <v>0.076</v>
      </c>
      <c r="N171" s="203">
        <v>0.049</v>
      </c>
      <c r="O171" s="203">
        <v>0.028</v>
      </c>
      <c r="P171" s="174"/>
    </row>
    <row r="172" spans="1:16" ht="12">
      <c r="A172" s="1"/>
      <c r="B172" s="175"/>
      <c r="C172" s="84" t="s">
        <v>138</v>
      </c>
      <c r="D172" s="84" t="s">
        <v>139</v>
      </c>
      <c r="E172" s="168">
        <v>0.003</v>
      </c>
      <c r="F172" s="168">
        <v>0.002</v>
      </c>
      <c r="G172" s="168">
        <v>0.002</v>
      </c>
      <c r="H172" s="174"/>
      <c r="J172" s="175"/>
      <c r="K172" s="201" t="s">
        <v>174</v>
      </c>
      <c r="L172" s="201" t="s">
        <v>175</v>
      </c>
      <c r="M172" s="203">
        <v>0.073</v>
      </c>
      <c r="N172" s="203">
        <v>0.002</v>
      </c>
      <c r="O172" s="203">
        <v>0.071</v>
      </c>
      <c r="P172" s="174"/>
    </row>
    <row r="173" spans="1:16" ht="12">
      <c r="A173" s="1"/>
      <c r="B173" s="175"/>
      <c r="C173" s="84" t="s">
        <v>134</v>
      </c>
      <c r="D173" s="84" t="s">
        <v>135</v>
      </c>
      <c r="E173" s="168">
        <v>0.049</v>
      </c>
      <c r="F173" s="168">
        <v>0.048</v>
      </c>
      <c r="G173" s="168">
        <v>0.002</v>
      </c>
      <c r="H173" s="174"/>
      <c r="J173" s="175"/>
      <c r="K173" s="201" t="s">
        <v>150</v>
      </c>
      <c r="L173" s="201" t="s">
        <v>151</v>
      </c>
      <c r="M173" s="203">
        <v>0.067</v>
      </c>
      <c r="N173" s="203">
        <v>0.065</v>
      </c>
      <c r="O173" s="203">
        <v>0.002</v>
      </c>
      <c r="P173" s="174"/>
    </row>
    <row r="174" spans="1:16" ht="12">
      <c r="A174" s="1"/>
      <c r="B174" s="175"/>
      <c r="C174" s="84" t="s">
        <v>144</v>
      </c>
      <c r="D174" s="84" t="s">
        <v>145</v>
      </c>
      <c r="E174" s="167">
        <v>0.021</v>
      </c>
      <c r="F174" s="167">
        <v>0.019</v>
      </c>
      <c r="G174" s="85">
        <v>0.002</v>
      </c>
      <c r="H174" s="174"/>
      <c r="J174" s="175"/>
      <c r="K174" s="201" t="s">
        <v>180</v>
      </c>
      <c r="L174" s="201" t="s">
        <v>181</v>
      </c>
      <c r="M174" s="203">
        <v>0.064</v>
      </c>
      <c r="N174" s="203">
        <v>0.014</v>
      </c>
      <c r="O174" s="203">
        <v>0.05</v>
      </c>
      <c r="P174" s="174"/>
    </row>
    <row r="175" spans="1:16" ht="12">
      <c r="A175" s="1"/>
      <c r="B175" s="175"/>
      <c r="C175" s="84" t="s">
        <v>148</v>
      </c>
      <c r="D175" s="84" t="s">
        <v>149</v>
      </c>
      <c r="E175" s="168">
        <v>0.002</v>
      </c>
      <c r="F175" s="168">
        <v>0.001</v>
      </c>
      <c r="G175" s="168">
        <v>0.001</v>
      </c>
      <c r="H175" s="174"/>
      <c r="J175" s="175"/>
      <c r="K175" s="201" t="s">
        <v>186</v>
      </c>
      <c r="L175" s="201" t="s">
        <v>187</v>
      </c>
      <c r="M175" s="203">
        <v>0.055</v>
      </c>
      <c r="N175" s="203">
        <v>0.025</v>
      </c>
      <c r="O175" s="203">
        <v>0.03</v>
      </c>
      <c r="P175" s="174"/>
    </row>
    <row r="176" spans="1:16" ht="12">
      <c r="A176" s="1"/>
      <c r="B176" s="175"/>
      <c r="C176" s="84" t="s">
        <v>152</v>
      </c>
      <c r="D176" s="84" t="s">
        <v>153</v>
      </c>
      <c r="E176" s="168">
        <v>0.003</v>
      </c>
      <c r="F176" s="168">
        <v>0.003</v>
      </c>
      <c r="G176" s="85">
        <v>0</v>
      </c>
      <c r="H176" s="174"/>
      <c r="J176" s="175"/>
      <c r="K176" s="201" t="s">
        <v>188</v>
      </c>
      <c r="L176" s="201" t="s">
        <v>189</v>
      </c>
      <c r="M176" s="203">
        <v>0.051</v>
      </c>
      <c r="N176" s="203">
        <v>0.006</v>
      </c>
      <c r="O176" s="203">
        <v>0.045</v>
      </c>
      <c r="P176" s="174"/>
    </row>
    <row r="177" spans="1:16" ht="12">
      <c r="A177" s="1"/>
      <c r="B177" s="175"/>
      <c r="C177" s="84" t="s">
        <v>156</v>
      </c>
      <c r="D177" s="84" t="s">
        <v>157</v>
      </c>
      <c r="E177" s="168">
        <v>0</v>
      </c>
      <c r="F177" s="168">
        <v>0.001</v>
      </c>
      <c r="G177" s="85">
        <v>0</v>
      </c>
      <c r="H177" s="174"/>
      <c r="J177" s="175"/>
      <c r="K177" s="201" t="s">
        <v>134</v>
      </c>
      <c r="L177" s="201" t="s">
        <v>135</v>
      </c>
      <c r="M177" s="203">
        <v>0.049</v>
      </c>
      <c r="N177" s="203">
        <v>0.048</v>
      </c>
      <c r="O177" s="203">
        <v>0.002</v>
      </c>
      <c r="P177" s="174"/>
    </row>
    <row r="178" spans="1:16" ht="12">
      <c r="A178" s="1"/>
      <c r="B178" s="175"/>
      <c r="C178" s="84" t="s">
        <v>160</v>
      </c>
      <c r="D178" s="84" t="s">
        <v>161</v>
      </c>
      <c r="E178" s="168">
        <v>0.014</v>
      </c>
      <c r="F178" s="168">
        <v>0.014</v>
      </c>
      <c r="G178" s="168">
        <v>0</v>
      </c>
      <c r="H178" s="174"/>
      <c r="J178" s="175"/>
      <c r="K178" s="201" t="s">
        <v>168</v>
      </c>
      <c r="L178" s="201" t="s">
        <v>169</v>
      </c>
      <c r="M178" s="203">
        <v>0.048</v>
      </c>
      <c r="N178" s="203">
        <v>0.048</v>
      </c>
      <c r="O178" s="203">
        <v>0</v>
      </c>
      <c r="P178" s="174"/>
    </row>
    <row r="179" spans="1:16" ht="12">
      <c r="A179" s="1"/>
      <c r="B179" s="175"/>
      <c r="C179" s="84" t="s">
        <v>162</v>
      </c>
      <c r="D179" s="84" t="s">
        <v>163</v>
      </c>
      <c r="E179" s="168">
        <v>0.03</v>
      </c>
      <c r="F179" s="168">
        <v>0.028</v>
      </c>
      <c r="G179" s="168">
        <v>0.002</v>
      </c>
      <c r="H179" s="174"/>
      <c r="J179" s="175"/>
      <c r="K179" s="201" t="s">
        <v>184</v>
      </c>
      <c r="L179" s="201" t="s">
        <v>185</v>
      </c>
      <c r="M179" s="203">
        <v>0.044</v>
      </c>
      <c r="N179" s="203">
        <v>0.017</v>
      </c>
      <c r="O179" s="203">
        <v>0.027</v>
      </c>
      <c r="P179" s="174"/>
    </row>
    <row r="180" spans="1:16" ht="12">
      <c r="A180" s="1"/>
      <c r="B180" s="175"/>
      <c r="C180" s="84" t="s">
        <v>166</v>
      </c>
      <c r="D180" s="84" t="s">
        <v>167</v>
      </c>
      <c r="E180" s="168">
        <v>0.012</v>
      </c>
      <c r="F180" s="168">
        <v>0.016</v>
      </c>
      <c r="G180" s="168">
        <v>-0.004</v>
      </c>
      <c r="H180" s="174"/>
      <c r="J180" s="175"/>
      <c r="K180" s="201" t="s">
        <v>164</v>
      </c>
      <c r="L180" s="201" t="s">
        <v>165</v>
      </c>
      <c r="M180" s="203">
        <v>0.041</v>
      </c>
      <c r="N180" s="203">
        <v>0.032</v>
      </c>
      <c r="O180" s="203">
        <v>0.009</v>
      </c>
      <c r="P180" s="174"/>
    </row>
    <row r="181" spans="1:16" ht="12">
      <c r="A181" s="1"/>
      <c r="B181" s="175"/>
      <c r="C181" s="84" t="s">
        <v>170</v>
      </c>
      <c r="D181" s="84" t="s">
        <v>171</v>
      </c>
      <c r="E181" s="168">
        <v>0.007</v>
      </c>
      <c r="F181" s="168">
        <v>0.005</v>
      </c>
      <c r="G181" s="168">
        <v>0.001</v>
      </c>
      <c r="H181" s="174"/>
      <c r="J181" s="175"/>
      <c r="K181" s="201" t="s">
        <v>146</v>
      </c>
      <c r="L181" s="201" t="s">
        <v>147</v>
      </c>
      <c r="M181" s="203">
        <v>0.033</v>
      </c>
      <c r="N181" s="203">
        <v>0.033</v>
      </c>
      <c r="O181" s="203">
        <v>0</v>
      </c>
      <c r="P181" s="174"/>
    </row>
    <row r="182" spans="1:16" ht="12">
      <c r="A182" s="1"/>
      <c r="B182" s="175"/>
      <c r="C182" s="84" t="s">
        <v>172</v>
      </c>
      <c r="D182" s="84" t="s">
        <v>173</v>
      </c>
      <c r="E182" s="168">
        <v>0.004</v>
      </c>
      <c r="F182" s="168">
        <v>0.003</v>
      </c>
      <c r="G182" s="85">
        <v>0.001</v>
      </c>
      <c r="H182" s="174"/>
      <c r="J182" s="175"/>
      <c r="K182" s="201" t="s">
        <v>178</v>
      </c>
      <c r="L182" s="201" t="s">
        <v>179</v>
      </c>
      <c r="M182" s="203">
        <v>0.031</v>
      </c>
      <c r="N182" s="203">
        <v>0.029</v>
      </c>
      <c r="O182" s="203">
        <v>0.002</v>
      </c>
      <c r="P182" s="174"/>
    </row>
    <row r="183" spans="1:16" ht="12">
      <c r="A183" s="1"/>
      <c r="B183" s="175"/>
      <c r="C183" s="84" t="s">
        <v>176</v>
      </c>
      <c r="D183" s="84" t="s">
        <v>177</v>
      </c>
      <c r="E183" s="168">
        <v>0.005</v>
      </c>
      <c r="F183" s="168">
        <v>0.001</v>
      </c>
      <c r="G183" s="168">
        <v>0.004</v>
      </c>
      <c r="H183" s="174"/>
      <c r="J183" s="175"/>
      <c r="K183" s="201" t="s">
        <v>162</v>
      </c>
      <c r="L183" s="201" t="s">
        <v>163</v>
      </c>
      <c r="M183" s="203">
        <v>0.03</v>
      </c>
      <c r="N183" s="203">
        <v>0.028</v>
      </c>
      <c r="O183" s="203">
        <v>0.002</v>
      </c>
      <c r="P183" s="174"/>
    </row>
    <row r="184" spans="1:16" ht="12">
      <c r="A184" s="1"/>
      <c r="B184" s="175"/>
      <c r="C184" s="84" t="s">
        <v>180</v>
      </c>
      <c r="D184" s="84" t="s">
        <v>181</v>
      </c>
      <c r="E184" s="168">
        <v>0.064</v>
      </c>
      <c r="F184" s="168">
        <v>0.014</v>
      </c>
      <c r="G184" s="168">
        <v>0.05</v>
      </c>
      <c r="H184" s="174"/>
      <c r="J184" s="175"/>
      <c r="K184" s="201" t="s">
        <v>142</v>
      </c>
      <c r="L184" s="201" t="s">
        <v>143</v>
      </c>
      <c r="M184" s="203">
        <v>0.029</v>
      </c>
      <c r="N184" s="203">
        <v>0.029</v>
      </c>
      <c r="O184" s="203">
        <v>0</v>
      </c>
      <c r="P184" s="174"/>
    </row>
    <row r="185" spans="1:16" ht="12">
      <c r="A185" s="1"/>
      <c r="B185" s="175"/>
      <c r="C185" s="84" t="s">
        <v>184</v>
      </c>
      <c r="D185" s="84" t="s">
        <v>185</v>
      </c>
      <c r="E185" s="168">
        <v>0.044</v>
      </c>
      <c r="F185" s="168">
        <v>0.017</v>
      </c>
      <c r="G185" s="168">
        <v>0.027</v>
      </c>
      <c r="H185" s="174"/>
      <c r="J185" s="175"/>
      <c r="K185" s="201" t="s">
        <v>190</v>
      </c>
      <c r="L185" s="201" t="s">
        <v>191</v>
      </c>
      <c r="M185" s="203">
        <v>0.027</v>
      </c>
      <c r="N185" s="203">
        <v>0.001</v>
      </c>
      <c r="O185" s="203">
        <v>0.026</v>
      </c>
      <c r="P185" s="174"/>
    </row>
    <row r="186" spans="1:16" ht="12">
      <c r="A186" s="1"/>
      <c r="B186" s="175"/>
      <c r="C186" s="84" t="s">
        <v>186</v>
      </c>
      <c r="D186" s="84" t="s">
        <v>187</v>
      </c>
      <c r="E186" s="168">
        <v>0.055</v>
      </c>
      <c r="F186" s="167">
        <v>0.025</v>
      </c>
      <c r="G186" s="168">
        <v>0.03</v>
      </c>
      <c r="H186" s="174"/>
      <c r="J186" s="175"/>
      <c r="K186" s="201" t="s">
        <v>194</v>
      </c>
      <c r="L186" s="201" t="s">
        <v>195</v>
      </c>
      <c r="M186" s="203">
        <v>0.027</v>
      </c>
      <c r="N186" s="203">
        <v>0.001</v>
      </c>
      <c r="O186" s="203">
        <v>0.026</v>
      </c>
      <c r="P186" s="174"/>
    </row>
    <row r="187" spans="1:16" ht="12">
      <c r="A187" s="1"/>
      <c r="B187" s="175"/>
      <c r="C187" s="84" t="s">
        <v>174</v>
      </c>
      <c r="D187" s="84" t="s">
        <v>175</v>
      </c>
      <c r="E187" s="168">
        <v>0.073</v>
      </c>
      <c r="F187" s="168">
        <v>0.002</v>
      </c>
      <c r="G187" s="168">
        <v>0.071</v>
      </c>
      <c r="H187" s="174"/>
      <c r="J187" s="175"/>
      <c r="K187" s="201" t="s">
        <v>144</v>
      </c>
      <c r="L187" s="201" t="s">
        <v>145</v>
      </c>
      <c r="M187" s="203">
        <v>0.021</v>
      </c>
      <c r="N187" s="203">
        <v>0.019</v>
      </c>
      <c r="O187" s="203">
        <v>0.002</v>
      </c>
      <c r="P187" s="174"/>
    </row>
    <row r="188" spans="1:16" ht="12">
      <c r="A188" s="1"/>
      <c r="B188" s="175"/>
      <c r="C188" s="84" t="s">
        <v>158</v>
      </c>
      <c r="D188" s="84" t="s">
        <v>159</v>
      </c>
      <c r="E188" s="168">
        <v>0.119</v>
      </c>
      <c r="F188" s="168">
        <v>0.059</v>
      </c>
      <c r="G188" s="168">
        <v>0.06</v>
      </c>
      <c r="H188" s="174"/>
      <c r="J188" s="175"/>
      <c r="K188" s="201" t="s">
        <v>140</v>
      </c>
      <c r="L188" s="201" t="s">
        <v>141</v>
      </c>
      <c r="M188" s="203">
        <v>0.018</v>
      </c>
      <c r="N188" s="203">
        <v>0.018</v>
      </c>
      <c r="O188" s="203">
        <v>0</v>
      </c>
      <c r="P188" s="174"/>
    </row>
    <row r="189" spans="1:16" ht="12">
      <c r="A189" s="1"/>
      <c r="B189" s="175"/>
      <c r="C189" s="84" t="s">
        <v>190</v>
      </c>
      <c r="D189" s="84" t="s">
        <v>191</v>
      </c>
      <c r="E189" s="168">
        <v>0.027</v>
      </c>
      <c r="F189" s="168">
        <v>0.001</v>
      </c>
      <c r="G189" s="168">
        <v>0.026</v>
      </c>
      <c r="H189" s="174"/>
      <c r="J189" s="175"/>
      <c r="K189" s="201" t="s">
        <v>202</v>
      </c>
      <c r="L189" s="201" t="s">
        <v>203</v>
      </c>
      <c r="M189" s="203">
        <v>0.016</v>
      </c>
      <c r="N189" s="203">
        <v>0.014</v>
      </c>
      <c r="O189" s="203">
        <v>0.002</v>
      </c>
      <c r="P189" s="174"/>
    </row>
    <row r="190" spans="1:16" ht="12">
      <c r="A190" s="1"/>
      <c r="B190" s="175"/>
      <c r="C190" s="84" t="s">
        <v>182</v>
      </c>
      <c r="D190" s="84" t="s">
        <v>183</v>
      </c>
      <c r="E190" s="168">
        <v>0.076</v>
      </c>
      <c r="F190" s="167">
        <v>0.049</v>
      </c>
      <c r="G190" s="168">
        <v>0.028</v>
      </c>
      <c r="H190" s="174"/>
      <c r="J190" s="175"/>
      <c r="K190" s="201" t="s">
        <v>236</v>
      </c>
      <c r="L190" s="201" t="s">
        <v>237</v>
      </c>
      <c r="M190" s="203">
        <v>0.016</v>
      </c>
      <c r="N190" s="203">
        <v>0.002</v>
      </c>
      <c r="O190" s="203">
        <v>0.014</v>
      </c>
      <c r="P190" s="174"/>
    </row>
    <row r="191" spans="1:16" ht="12">
      <c r="A191" s="1"/>
      <c r="B191" s="175"/>
      <c r="C191" s="84" t="s">
        <v>194</v>
      </c>
      <c r="D191" s="84" t="s">
        <v>195</v>
      </c>
      <c r="E191" s="168">
        <v>0.027</v>
      </c>
      <c r="F191" s="168">
        <v>0.001</v>
      </c>
      <c r="G191" s="168">
        <v>0.026</v>
      </c>
      <c r="H191" s="174"/>
      <c r="J191" s="175"/>
      <c r="K191" s="201" t="s">
        <v>160</v>
      </c>
      <c r="L191" s="201" t="s">
        <v>161</v>
      </c>
      <c r="M191" s="203">
        <v>0.014</v>
      </c>
      <c r="N191" s="203">
        <v>0.014</v>
      </c>
      <c r="O191" s="203">
        <v>0</v>
      </c>
      <c r="P191" s="174"/>
    </row>
    <row r="192" spans="1:16" ht="12">
      <c r="A192" s="1"/>
      <c r="B192" s="175"/>
      <c r="C192" s="84" t="s">
        <v>140</v>
      </c>
      <c r="D192" s="84" t="s">
        <v>141</v>
      </c>
      <c r="E192" s="168">
        <v>0.018</v>
      </c>
      <c r="F192" s="168">
        <v>0.018</v>
      </c>
      <c r="G192" s="85">
        <v>0</v>
      </c>
      <c r="H192" s="174"/>
      <c r="J192" s="175"/>
      <c r="K192" s="201" t="s">
        <v>154</v>
      </c>
      <c r="L192" s="201" t="s">
        <v>155</v>
      </c>
      <c r="M192" s="203">
        <v>0.013</v>
      </c>
      <c r="N192" s="203">
        <v>0.013</v>
      </c>
      <c r="O192" s="203">
        <v>0</v>
      </c>
      <c r="P192" s="174"/>
    </row>
    <row r="193" spans="1:16" ht="12">
      <c r="A193" s="1"/>
      <c r="B193" s="175"/>
      <c r="C193" s="84" t="s">
        <v>196</v>
      </c>
      <c r="D193" s="84" t="s">
        <v>197</v>
      </c>
      <c r="E193" s="168">
        <v>0.003</v>
      </c>
      <c r="F193" s="168">
        <v>0.003</v>
      </c>
      <c r="G193" s="85">
        <v>0</v>
      </c>
      <c r="H193" s="174"/>
      <c r="J193" s="175"/>
      <c r="K193" s="201" t="s">
        <v>192</v>
      </c>
      <c r="L193" s="201" t="s">
        <v>193</v>
      </c>
      <c r="M193" s="203">
        <v>0.013</v>
      </c>
      <c r="N193" s="203">
        <v>0.013</v>
      </c>
      <c r="O193" s="203">
        <v>0</v>
      </c>
      <c r="P193" s="174"/>
    </row>
    <row r="194" spans="1:16" ht="12">
      <c r="A194" s="1"/>
      <c r="B194" s="175"/>
      <c r="C194" s="84" t="s">
        <v>198</v>
      </c>
      <c r="D194" s="84" t="s">
        <v>199</v>
      </c>
      <c r="E194" s="168">
        <v>0.012</v>
      </c>
      <c r="F194" s="168">
        <v>0.012</v>
      </c>
      <c r="G194" s="168">
        <v>0</v>
      </c>
      <c r="H194" s="174"/>
      <c r="J194" s="175"/>
      <c r="K194" s="201" t="s">
        <v>166</v>
      </c>
      <c r="L194" s="201" t="s">
        <v>167</v>
      </c>
      <c r="M194" s="203">
        <v>0.012</v>
      </c>
      <c r="N194" s="203">
        <v>0.016</v>
      </c>
      <c r="O194" s="203">
        <v>-0.004</v>
      </c>
      <c r="P194" s="174"/>
    </row>
    <row r="195" spans="1:16" ht="12">
      <c r="A195" s="1"/>
      <c r="B195" s="175"/>
      <c r="C195" s="84" t="s">
        <v>130</v>
      </c>
      <c r="D195" s="84" t="s">
        <v>131</v>
      </c>
      <c r="E195" s="168">
        <v>0.219</v>
      </c>
      <c r="F195" s="168">
        <v>0.01</v>
      </c>
      <c r="G195" s="168">
        <v>0.209</v>
      </c>
      <c r="H195" s="174"/>
      <c r="J195" s="175"/>
      <c r="K195" s="201" t="s">
        <v>198</v>
      </c>
      <c r="L195" s="201" t="s">
        <v>199</v>
      </c>
      <c r="M195" s="203">
        <v>0.012</v>
      </c>
      <c r="N195" s="203">
        <v>0.012</v>
      </c>
      <c r="O195" s="203">
        <v>0</v>
      </c>
      <c r="P195" s="174"/>
    </row>
    <row r="196" spans="1:16" ht="12">
      <c r="A196" s="1"/>
      <c r="B196" s="175"/>
      <c r="C196" s="84" t="s">
        <v>202</v>
      </c>
      <c r="D196" s="84" t="s">
        <v>203</v>
      </c>
      <c r="E196" s="167">
        <v>0.016</v>
      </c>
      <c r="F196" s="168">
        <v>0.014</v>
      </c>
      <c r="G196" s="168">
        <v>0.002</v>
      </c>
      <c r="H196" s="174"/>
      <c r="J196" s="175"/>
      <c r="K196" s="201" t="s">
        <v>210</v>
      </c>
      <c r="L196" s="201" t="s">
        <v>211</v>
      </c>
      <c r="M196" s="203">
        <v>0.011</v>
      </c>
      <c r="N196" s="203">
        <v>0</v>
      </c>
      <c r="O196" s="203">
        <v>0.011</v>
      </c>
      <c r="P196" s="174"/>
    </row>
    <row r="197" spans="1:16" ht="12">
      <c r="A197" s="1"/>
      <c r="B197" s="175"/>
      <c r="C197" s="84" t="s">
        <v>164</v>
      </c>
      <c r="D197" s="84" t="s">
        <v>165</v>
      </c>
      <c r="E197" s="168">
        <v>0.041</v>
      </c>
      <c r="F197" s="168">
        <v>0.032</v>
      </c>
      <c r="G197" s="168">
        <v>0.009</v>
      </c>
      <c r="H197" s="174"/>
      <c r="J197" s="175"/>
      <c r="K197" s="201" t="s">
        <v>200</v>
      </c>
      <c r="L197" s="201" t="s">
        <v>201</v>
      </c>
      <c r="M197" s="203">
        <v>0.01</v>
      </c>
      <c r="N197" s="203">
        <v>0.01</v>
      </c>
      <c r="O197" s="203">
        <v>0</v>
      </c>
      <c r="P197" s="174"/>
    </row>
    <row r="198" spans="1:16" ht="12">
      <c r="A198" s="1"/>
      <c r="B198" s="175"/>
      <c r="C198" s="84" t="s">
        <v>178</v>
      </c>
      <c r="D198" s="84" t="s">
        <v>179</v>
      </c>
      <c r="E198" s="168">
        <v>0.031</v>
      </c>
      <c r="F198" s="168">
        <v>0.029</v>
      </c>
      <c r="G198" s="168">
        <v>0.002</v>
      </c>
      <c r="H198" s="174"/>
      <c r="J198" s="175"/>
      <c r="K198" s="201" t="s">
        <v>206</v>
      </c>
      <c r="L198" s="201" t="s">
        <v>207</v>
      </c>
      <c r="M198" s="203">
        <v>0.008</v>
      </c>
      <c r="N198" s="203">
        <v>0.008</v>
      </c>
      <c r="O198" s="203">
        <v>0</v>
      </c>
      <c r="P198" s="174"/>
    </row>
    <row r="199" spans="1:16" ht="12">
      <c r="A199" s="1"/>
      <c r="B199" s="175"/>
      <c r="C199" s="84" t="s">
        <v>154</v>
      </c>
      <c r="D199" s="84" t="s">
        <v>155</v>
      </c>
      <c r="E199" s="168">
        <v>0.013</v>
      </c>
      <c r="F199" s="168">
        <v>0.013</v>
      </c>
      <c r="G199" s="85">
        <v>0</v>
      </c>
      <c r="H199" s="174"/>
      <c r="J199" s="175"/>
      <c r="K199" s="201" t="s">
        <v>216</v>
      </c>
      <c r="L199" s="201" t="s">
        <v>217</v>
      </c>
      <c r="M199" s="203">
        <v>0.008</v>
      </c>
      <c r="N199" s="203">
        <v>0.007</v>
      </c>
      <c r="O199" s="203">
        <v>0</v>
      </c>
      <c r="P199" s="174"/>
    </row>
    <row r="200" spans="1:16" ht="12">
      <c r="A200" s="1"/>
      <c r="B200" s="175"/>
      <c r="C200" s="84" t="s">
        <v>204</v>
      </c>
      <c r="D200" s="84" t="s">
        <v>205</v>
      </c>
      <c r="E200" s="168">
        <v>0.001</v>
      </c>
      <c r="F200" s="168">
        <v>0.001</v>
      </c>
      <c r="G200" s="85">
        <v>0</v>
      </c>
      <c r="H200" s="174"/>
      <c r="J200" s="175"/>
      <c r="K200" s="201" t="s">
        <v>170</v>
      </c>
      <c r="L200" s="201" t="s">
        <v>171</v>
      </c>
      <c r="M200" s="203">
        <v>0.007</v>
      </c>
      <c r="N200" s="203">
        <v>0.005</v>
      </c>
      <c r="O200" s="203">
        <v>0.001</v>
      </c>
      <c r="P200" s="174"/>
    </row>
    <row r="201" spans="1:16" ht="12">
      <c r="A201" s="1"/>
      <c r="B201" s="175"/>
      <c r="C201" s="84" t="s">
        <v>208</v>
      </c>
      <c r="D201" s="84" t="s">
        <v>209</v>
      </c>
      <c r="E201" s="168">
        <v>0.003</v>
      </c>
      <c r="F201" s="168">
        <v>0.003</v>
      </c>
      <c r="G201" s="85">
        <v>0</v>
      </c>
      <c r="H201" s="174"/>
      <c r="J201" s="175"/>
      <c r="K201" s="201" t="s">
        <v>234</v>
      </c>
      <c r="L201" s="201" t="s">
        <v>235</v>
      </c>
      <c r="M201" s="203">
        <v>0.006</v>
      </c>
      <c r="N201" s="203">
        <v>0.002</v>
      </c>
      <c r="O201" s="203">
        <v>0.004</v>
      </c>
      <c r="P201" s="174"/>
    </row>
    <row r="202" spans="1:16" ht="12">
      <c r="A202" s="1"/>
      <c r="B202" s="175"/>
      <c r="C202" s="84" t="s">
        <v>212</v>
      </c>
      <c r="D202" s="84" t="s">
        <v>213</v>
      </c>
      <c r="E202" s="168">
        <v>0.004</v>
      </c>
      <c r="F202" s="168">
        <v>0.004</v>
      </c>
      <c r="G202" s="85">
        <v>0</v>
      </c>
      <c r="H202" s="174"/>
      <c r="J202" s="175"/>
      <c r="K202" s="201" t="s">
        <v>244</v>
      </c>
      <c r="L202" s="201" t="s">
        <v>245</v>
      </c>
      <c r="M202" s="203">
        <v>0.006</v>
      </c>
      <c r="N202" s="203">
        <v>0.005</v>
      </c>
      <c r="O202" s="203">
        <v>0.001</v>
      </c>
      <c r="P202" s="174"/>
    </row>
    <row r="203" spans="1:16" ht="12">
      <c r="A203" s="1"/>
      <c r="B203" s="175"/>
      <c r="C203" s="84" t="s">
        <v>214</v>
      </c>
      <c r="D203" s="84" t="s">
        <v>215</v>
      </c>
      <c r="E203" s="85">
        <v>0</v>
      </c>
      <c r="F203" s="85">
        <v>0</v>
      </c>
      <c r="G203" s="85">
        <v>0</v>
      </c>
      <c r="H203" s="174"/>
      <c r="J203" s="175"/>
      <c r="K203" s="201" t="s">
        <v>224</v>
      </c>
      <c r="L203" s="201" t="s">
        <v>225</v>
      </c>
      <c r="M203" s="203">
        <v>0.006</v>
      </c>
      <c r="N203" s="203">
        <v>0.006</v>
      </c>
      <c r="O203" s="203">
        <v>0</v>
      </c>
      <c r="P203" s="174"/>
    </row>
    <row r="204" spans="1:16" ht="12">
      <c r="A204" s="1"/>
      <c r="B204" s="175"/>
      <c r="C204" s="84" t="s">
        <v>142</v>
      </c>
      <c r="D204" s="84" t="s">
        <v>143</v>
      </c>
      <c r="E204" s="168">
        <v>0.029</v>
      </c>
      <c r="F204" s="168">
        <v>0.029</v>
      </c>
      <c r="G204" s="85">
        <v>0</v>
      </c>
      <c r="H204" s="174"/>
      <c r="J204" s="175"/>
      <c r="K204" s="201" t="s">
        <v>128</v>
      </c>
      <c r="L204" s="201" t="s">
        <v>129</v>
      </c>
      <c r="M204" s="203">
        <v>0.005</v>
      </c>
      <c r="N204" s="203">
        <v>0.004</v>
      </c>
      <c r="O204" s="203">
        <v>0.001</v>
      </c>
      <c r="P204" s="174"/>
    </row>
    <row r="205" spans="1:16" ht="12">
      <c r="A205" s="1"/>
      <c r="B205" s="175"/>
      <c r="C205" s="84" t="s">
        <v>218</v>
      </c>
      <c r="D205" s="84" t="s">
        <v>219</v>
      </c>
      <c r="E205" s="168">
        <v>0.004</v>
      </c>
      <c r="F205" s="168">
        <v>0.003</v>
      </c>
      <c r="G205" s="168">
        <v>0.002</v>
      </c>
      <c r="H205" s="174"/>
      <c r="J205" s="175"/>
      <c r="K205" s="201" t="s">
        <v>176</v>
      </c>
      <c r="L205" s="201" t="s">
        <v>177</v>
      </c>
      <c r="M205" s="203">
        <v>0.005</v>
      </c>
      <c r="N205" s="203">
        <v>0.001</v>
      </c>
      <c r="O205" s="203">
        <v>0.004</v>
      </c>
      <c r="P205" s="174"/>
    </row>
    <row r="206" spans="1:16" ht="12">
      <c r="A206" s="1"/>
      <c r="B206" s="175"/>
      <c r="C206" s="84" t="s">
        <v>222</v>
      </c>
      <c r="D206" s="84" t="s">
        <v>223</v>
      </c>
      <c r="E206" s="168">
        <v>0.004</v>
      </c>
      <c r="F206" s="168">
        <v>0.003</v>
      </c>
      <c r="G206" s="168">
        <v>0.001</v>
      </c>
      <c r="H206" s="174"/>
      <c r="J206" s="175"/>
      <c r="K206" s="201" t="s">
        <v>220</v>
      </c>
      <c r="L206" s="201" t="s">
        <v>221</v>
      </c>
      <c r="M206" s="203">
        <v>0.005</v>
      </c>
      <c r="N206" s="203">
        <v>0.005</v>
      </c>
      <c r="O206" s="203">
        <v>0</v>
      </c>
      <c r="P206" s="174"/>
    </row>
    <row r="207" spans="1:16" ht="12">
      <c r="A207" s="1"/>
      <c r="B207" s="175"/>
      <c r="C207" s="84" t="s">
        <v>206</v>
      </c>
      <c r="D207" s="84" t="s">
        <v>207</v>
      </c>
      <c r="E207" s="168">
        <v>0.008</v>
      </c>
      <c r="F207" s="168">
        <v>0.008</v>
      </c>
      <c r="G207" s="85">
        <v>0</v>
      </c>
      <c r="H207" s="174"/>
      <c r="J207" s="175"/>
      <c r="K207" s="201" t="s">
        <v>172</v>
      </c>
      <c r="L207" s="201" t="s">
        <v>173</v>
      </c>
      <c r="M207" s="203">
        <v>0.004</v>
      </c>
      <c r="N207" s="203">
        <v>0.003</v>
      </c>
      <c r="O207" s="203">
        <v>0.001</v>
      </c>
      <c r="P207" s="174"/>
    </row>
    <row r="208" spans="1:16" ht="12">
      <c r="A208" s="1"/>
      <c r="B208" s="175"/>
      <c r="C208" s="84" t="s">
        <v>210</v>
      </c>
      <c r="D208" s="84" t="s">
        <v>211</v>
      </c>
      <c r="E208" s="167">
        <v>0.011</v>
      </c>
      <c r="F208" s="85">
        <v>0</v>
      </c>
      <c r="G208" s="167">
        <v>0.011</v>
      </c>
      <c r="H208" s="174"/>
      <c r="J208" s="175"/>
      <c r="K208" s="201" t="s">
        <v>212</v>
      </c>
      <c r="L208" s="201" t="s">
        <v>213</v>
      </c>
      <c r="M208" s="203">
        <v>0.004</v>
      </c>
      <c r="N208" s="203">
        <v>0.004</v>
      </c>
      <c r="O208" s="203">
        <v>0</v>
      </c>
      <c r="P208" s="174"/>
    </row>
    <row r="209" spans="1:16" ht="12">
      <c r="A209" s="1"/>
      <c r="B209" s="175"/>
      <c r="C209" s="84" t="s">
        <v>228</v>
      </c>
      <c r="D209" s="84" t="s">
        <v>229</v>
      </c>
      <c r="E209" s="168">
        <v>0.003</v>
      </c>
      <c r="F209" s="168">
        <v>0.003</v>
      </c>
      <c r="G209" s="85">
        <v>0</v>
      </c>
      <c r="H209" s="174"/>
      <c r="J209" s="175"/>
      <c r="K209" s="201" t="s">
        <v>218</v>
      </c>
      <c r="L209" s="201" t="s">
        <v>219</v>
      </c>
      <c r="M209" s="203">
        <v>0.004</v>
      </c>
      <c r="N209" s="203">
        <v>0.003</v>
      </c>
      <c r="O209" s="203">
        <v>0.002</v>
      </c>
      <c r="P209" s="174"/>
    </row>
    <row r="210" spans="1:16" ht="12">
      <c r="A210" s="1"/>
      <c r="B210" s="175"/>
      <c r="C210" s="84" t="s">
        <v>220</v>
      </c>
      <c r="D210" s="84" t="s">
        <v>221</v>
      </c>
      <c r="E210" s="168">
        <v>0.005</v>
      </c>
      <c r="F210" s="168">
        <v>0.005</v>
      </c>
      <c r="G210" s="85">
        <v>0</v>
      </c>
      <c r="H210" s="174"/>
      <c r="J210" s="175"/>
      <c r="K210" s="201" t="s">
        <v>222</v>
      </c>
      <c r="L210" s="201" t="s">
        <v>223</v>
      </c>
      <c r="M210" s="203">
        <v>0.004</v>
      </c>
      <c r="N210" s="203">
        <v>0.003</v>
      </c>
      <c r="O210" s="203">
        <v>0.001</v>
      </c>
      <c r="P210" s="174"/>
    </row>
    <row r="211" spans="1:16" ht="12">
      <c r="A211" s="1"/>
      <c r="B211" s="175"/>
      <c r="C211" s="84" t="s">
        <v>230</v>
      </c>
      <c r="D211" s="84" t="s">
        <v>231</v>
      </c>
      <c r="E211" s="85">
        <v>0.001</v>
      </c>
      <c r="F211" s="85">
        <v>0.001</v>
      </c>
      <c r="G211" s="85">
        <v>0</v>
      </c>
      <c r="H211" s="174"/>
      <c r="J211" s="175"/>
      <c r="K211" s="201" t="s">
        <v>248</v>
      </c>
      <c r="L211" s="201" t="s">
        <v>249</v>
      </c>
      <c r="M211" s="203">
        <v>0.004</v>
      </c>
      <c r="N211" s="203">
        <v>0.004</v>
      </c>
      <c r="O211" s="203">
        <v>0</v>
      </c>
      <c r="P211" s="174"/>
    </row>
    <row r="212" spans="1:16" ht="12">
      <c r="A212" s="1"/>
      <c r="B212" s="175"/>
      <c r="C212" s="84" t="s">
        <v>150</v>
      </c>
      <c r="D212" s="84" t="s">
        <v>151</v>
      </c>
      <c r="E212" s="168">
        <v>0.067</v>
      </c>
      <c r="F212" s="168">
        <v>0.065</v>
      </c>
      <c r="G212" s="168">
        <v>0.002</v>
      </c>
      <c r="H212" s="174"/>
      <c r="J212" s="175"/>
      <c r="K212" s="201" t="s">
        <v>226</v>
      </c>
      <c r="L212" s="201" t="s">
        <v>227</v>
      </c>
      <c r="M212" s="203">
        <v>0.004</v>
      </c>
      <c r="N212" s="203">
        <v>0.004</v>
      </c>
      <c r="O212" s="203">
        <v>0</v>
      </c>
      <c r="P212" s="174"/>
    </row>
    <row r="213" spans="1:16" ht="12">
      <c r="A213" s="1"/>
      <c r="B213" s="175"/>
      <c r="C213" s="84" t="s">
        <v>234</v>
      </c>
      <c r="D213" s="84" t="s">
        <v>235</v>
      </c>
      <c r="E213" s="168">
        <v>0.006</v>
      </c>
      <c r="F213" s="168">
        <v>0.002</v>
      </c>
      <c r="G213" s="168">
        <v>0.004</v>
      </c>
      <c r="H213" s="174"/>
      <c r="J213" s="175"/>
      <c r="K213" s="201" t="s">
        <v>232</v>
      </c>
      <c r="L213" s="201" t="s">
        <v>233</v>
      </c>
      <c r="M213" s="203">
        <v>0.004</v>
      </c>
      <c r="N213" s="203">
        <v>0.004</v>
      </c>
      <c r="O213" s="203">
        <v>0</v>
      </c>
      <c r="P213" s="174"/>
    </row>
    <row r="214" spans="1:16" ht="12">
      <c r="A214" s="1"/>
      <c r="B214" s="175"/>
      <c r="C214" s="84" t="s">
        <v>236</v>
      </c>
      <c r="D214" s="84" t="s">
        <v>237</v>
      </c>
      <c r="E214" s="168">
        <v>0.016</v>
      </c>
      <c r="F214" s="168">
        <v>0.002</v>
      </c>
      <c r="G214" s="168">
        <v>0.014</v>
      </c>
      <c r="H214" s="174"/>
      <c r="J214" s="175"/>
      <c r="K214" s="201" t="s">
        <v>138</v>
      </c>
      <c r="L214" s="201" t="s">
        <v>139</v>
      </c>
      <c r="M214" s="203">
        <v>0.003</v>
      </c>
      <c r="N214" s="203">
        <v>0.002</v>
      </c>
      <c r="O214" s="203">
        <v>0.002</v>
      </c>
      <c r="P214" s="174"/>
    </row>
    <row r="215" spans="1:16" ht="12">
      <c r="A215" s="1"/>
      <c r="B215" s="175"/>
      <c r="C215" s="84" t="s">
        <v>188</v>
      </c>
      <c r="D215" s="84" t="s">
        <v>189</v>
      </c>
      <c r="E215" s="168">
        <v>0.051</v>
      </c>
      <c r="F215" s="168">
        <v>0.006</v>
      </c>
      <c r="G215" s="168">
        <v>0.045</v>
      </c>
      <c r="H215" s="174"/>
      <c r="J215" s="175"/>
      <c r="K215" s="201" t="s">
        <v>152</v>
      </c>
      <c r="L215" s="201" t="s">
        <v>153</v>
      </c>
      <c r="M215" s="203">
        <v>0.003</v>
      </c>
      <c r="N215" s="203">
        <v>0.003</v>
      </c>
      <c r="O215" s="203">
        <v>0</v>
      </c>
      <c r="P215" s="174"/>
    </row>
    <row r="216" spans="1:16" ht="12">
      <c r="A216" s="1"/>
      <c r="B216" s="175"/>
      <c r="C216" s="84" t="s">
        <v>238</v>
      </c>
      <c r="D216" s="84" t="s">
        <v>239</v>
      </c>
      <c r="E216" s="85">
        <v>0</v>
      </c>
      <c r="F216" s="85">
        <v>0</v>
      </c>
      <c r="G216" s="85">
        <v>0</v>
      </c>
      <c r="H216" s="174"/>
      <c r="J216" s="175"/>
      <c r="K216" s="201" t="s">
        <v>196</v>
      </c>
      <c r="L216" s="201" t="s">
        <v>197</v>
      </c>
      <c r="M216" s="203">
        <v>0.003</v>
      </c>
      <c r="N216" s="203">
        <v>0.003</v>
      </c>
      <c r="O216" s="203">
        <v>0</v>
      </c>
      <c r="P216" s="174"/>
    </row>
    <row r="217" spans="1:16" ht="12">
      <c r="A217" s="1"/>
      <c r="B217" s="175"/>
      <c r="C217" s="84" t="s">
        <v>240</v>
      </c>
      <c r="D217" s="84" t="s">
        <v>241</v>
      </c>
      <c r="E217" s="168">
        <v>0.001</v>
      </c>
      <c r="F217" s="168">
        <v>0.001</v>
      </c>
      <c r="G217" s="85">
        <v>0</v>
      </c>
      <c r="H217" s="174"/>
      <c r="J217" s="175"/>
      <c r="K217" s="201" t="s">
        <v>208</v>
      </c>
      <c r="L217" s="201" t="s">
        <v>209</v>
      </c>
      <c r="M217" s="203">
        <v>0.003</v>
      </c>
      <c r="N217" s="203">
        <v>0.003</v>
      </c>
      <c r="O217" s="203">
        <v>0</v>
      </c>
      <c r="P217" s="174"/>
    </row>
    <row r="218" spans="1:16" ht="12">
      <c r="A218" s="1"/>
      <c r="B218" s="175"/>
      <c r="C218" s="84" t="s">
        <v>242</v>
      </c>
      <c r="D218" s="84" t="s">
        <v>243</v>
      </c>
      <c r="E218" s="168">
        <v>0.002</v>
      </c>
      <c r="F218" s="168">
        <v>0.002</v>
      </c>
      <c r="G218" s="85">
        <v>0</v>
      </c>
      <c r="H218" s="174"/>
      <c r="J218" s="175"/>
      <c r="K218" s="201" t="s">
        <v>228</v>
      </c>
      <c r="L218" s="201" t="s">
        <v>229</v>
      </c>
      <c r="M218" s="203">
        <v>0.003</v>
      </c>
      <c r="N218" s="203">
        <v>0.003</v>
      </c>
      <c r="O218" s="203">
        <v>0</v>
      </c>
      <c r="P218" s="174"/>
    </row>
    <row r="219" spans="1:16" ht="12">
      <c r="A219" s="1"/>
      <c r="B219" s="175"/>
      <c r="C219" s="84" t="s">
        <v>246</v>
      </c>
      <c r="D219" s="84" t="s">
        <v>247</v>
      </c>
      <c r="E219" s="85">
        <v>0</v>
      </c>
      <c r="F219" s="85">
        <v>0</v>
      </c>
      <c r="G219" s="85">
        <v>0</v>
      </c>
      <c r="H219" s="174"/>
      <c r="J219" s="175"/>
      <c r="K219" s="201" t="s">
        <v>148</v>
      </c>
      <c r="L219" s="201" t="s">
        <v>149</v>
      </c>
      <c r="M219" s="203">
        <v>0.002</v>
      </c>
      <c r="N219" s="203">
        <v>0.001</v>
      </c>
      <c r="O219" s="203">
        <v>0.001</v>
      </c>
      <c r="P219" s="174"/>
    </row>
    <row r="220" spans="1:16" ht="12">
      <c r="A220" s="1"/>
      <c r="B220" s="175"/>
      <c r="C220" s="84" t="s">
        <v>248</v>
      </c>
      <c r="D220" s="84" t="s">
        <v>249</v>
      </c>
      <c r="E220" s="168">
        <v>0.004</v>
      </c>
      <c r="F220" s="168">
        <v>0.004</v>
      </c>
      <c r="G220" s="85">
        <v>0</v>
      </c>
      <c r="H220" s="174"/>
      <c r="J220" s="175"/>
      <c r="K220" s="201" t="s">
        <v>242</v>
      </c>
      <c r="L220" s="201" t="s">
        <v>243</v>
      </c>
      <c r="M220" s="203">
        <v>0.002</v>
      </c>
      <c r="N220" s="203">
        <v>0.002</v>
      </c>
      <c r="O220" s="203">
        <v>0</v>
      </c>
      <c r="P220" s="174"/>
    </row>
    <row r="221" spans="1:16" ht="12">
      <c r="A221" s="1"/>
      <c r="B221" s="175"/>
      <c r="C221" s="84" t="s">
        <v>244</v>
      </c>
      <c r="D221" s="84" t="s">
        <v>245</v>
      </c>
      <c r="E221" s="168">
        <v>0.006</v>
      </c>
      <c r="F221" s="168">
        <v>0.005</v>
      </c>
      <c r="G221" s="168">
        <v>0.001</v>
      </c>
      <c r="H221" s="174"/>
      <c r="J221" s="175"/>
      <c r="K221" s="201" t="s">
        <v>250</v>
      </c>
      <c r="L221" s="201" t="s">
        <v>251</v>
      </c>
      <c r="M221" s="203">
        <v>0.002</v>
      </c>
      <c r="N221" s="203">
        <v>0.001</v>
      </c>
      <c r="O221" s="203">
        <v>0</v>
      </c>
      <c r="P221" s="174"/>
    </row>
    <row r="222" spans="1:16" ht="12">
      <c r="A222" s="1"/>
      <c r="B222" s="175"/>
      <c r="C222" s="84" t="s">
        <v>146</v>
      </c>
      <c r="D222" s="84" t="s">
        <v>147</v>
      </c>
      <c r="E222" s="168">
        <v>0.033</v>
      </c>
      <c r="F222" s="168">
        <v>0.033</v>
      </c>
      <c r="G222" s="85">
        <v>0</v>
      </c>
      <c r="H222" s="174"/>
      <c r="J222" s="175"/>
      <c r="K222" s="201" t="s">
        <v>132</v>
      </c>
      <c r="L222" s="201" t="s">
        <v>133</v>
      </c>
      <c r="M222" s="203">
        <v>0.001</v>
      </c>
      <c r="N222" s="203">
        <v>0</v>
      </c>
      <c r="O222" s="203">
        <v>0</v>
      </c>
      <c r="P222" s="174"/>
    </row>
    <row r="223" spans="1:16" ht="12">
      <c r="A223" s="1"/>
      <c r="B223" s="175"/>
      <c r="C223" s="84" t="s">
        <v>192</v>
      </c>
      <c r="D223" s="84" t="s">
        <v>193</v>
      </c>
      <c r="E223" s="168">
        <v>0.013</v>
      </c>
      <c r="F223" s="168">
        <v>0.013</v>
      </c>
      <c r="G223" s="85">
        <v>0</v>
      </c>
      <c r="H223" s="174"/>
      <c r="J223" s="175"/>
      <c r="K223" s="201" t="s">
        <v>136</v>
      </c>
      <c r="L223" s="201" t="s">
        <v>137</v>
      </c>
      <c r="M223" s="203">
        <v>0.001</v>
      </c>
      <c r="N223" s="203">
        <v>0.001</v>
      </c>
      <c r="O223" s="203">
        <v>0</v>
      </c>
      <c r="P223" s="174"/>
    </row>
    <row r="224" spans="1:16" ht="12">
      <c r="A224" s="1"/>
      <c r="B224" s="175"/>
      <c r="C224" s="84" t="s">
        <v>168</v>
      </c>
      <c r="D224" s="84" t="s">
        <v>169</v>
      </c>
      <c r="E224" s="168">
        <v>0.048</v>
      </c>
      <c r="F224" s="168">
        <v>0.048</v>
      </c>
      <c r="G224" s="85">
        <v>0</v>
      </c>
      <c r="H224" s="174"/>
      <c r="J224" s="175"/>
      <c r="K224" s="201" t="s">
        <v>204</v>
      </c>
      <c r="L224" s="201" t="s">
        <v>205</v>
      </c>
      <c r="M224" s="203">
        <v>0.001</v>
      </c>
      <c r="N224" s="203">
        <v>0.001</v>
      </c>
      <c r="O224" s="203">
        <v>0</v>
      </c>
      <c r="P224" s="174"/>
    </row>
    <row r="225" spans="1:16" ht="12">
      <c r="A225" s="1"/>
      <c r="B225" s="175"/>
      <c r="C225" s="84" t="s">
        <v>200</v>
      </c>
      <c r="D225" s="84" t="s">
        <v>201</v>
      </c>
      <c r="E225" s="167">
        <v>0.01</v>
      </c>
      <c r="F225" s="167">
        <v>0.01</v>
      </c>
      <c r="G225" s="85">
        <v>0</v>
      </c>
      <c r="H225" s="174"/>
      <c r="J225" s="175"/>
      <c r="K225" s="201" t="s">
        <v>230</v>
      </c>
      <c r="L225" s="201" t="s">
        <v>231</v>
      </c>
      <c r="M225" s="203">
        <v>0.001</v>
      </c>
      <c r="N225" s="203">
        <v>0.001</v>
      </c>
      <c r="O225" s="203">
        <v>0</v>
      </c>
      <c r="P225" s="174"/>
    </row>
    <row r="226" spans="1:16" ht="12">
      <c r="A226" s="1"/>
      <c r="B226" s="175"/>
      <c r="C226" s="84" t="s">
        <v>216</v>
      </c>
      <c r="D226" s="84" t="s">
        <v>217</v>
      </c>
      <c r="E226" s="168">
        <v>0.008</v>
      </c>
      <c r="F226" s="168">
        <v>0.007</v>
      </c>
      <c r="G226" s="85">
        <v>0</v>
      </c>
      <c r="H226" s="174"/>
      <c r="J226" s="175"/>
      <c r="K226" s="201" t="s">
        <v>240</v>
      </c>
      <c r="L226" s="201" t="s">
        <v>241</v>
      </c>
      <c r="M226" s="203">
        <v>0.001</v>
      </c>
      <c r="N226" s="203">
        <v>0.001</v>
      </c>
      <c r="O226" s="203">
        <v>0</v>
      </c>
      <c r="P226" s="174"/>
    </row>
    <row r="227" spans="1:16" ht="12">
      <c r="A227" s="1"/>
      <c r="B227" s="175"/>
      <c r="C227" s="84" t="s">
        <v>226</v>
      </c>
      <c r="D227" s="84" t="s">
        <v>227</v>
      </c>
      <c r="E227" s="168">
        <v>0.004</v>
      </c>
      <c r="F227" s="168">
        <v>0.004</v>
      </c>
      <c r="G227" s="85">
        <v>0</v>
      </c>
      <c r="H227" s="174"/>
      <c r="J227" s="175"/>
      <c r="K227" s="201" t="s">
        <v>156</v>
      </c>
      <c r="L227" s="201" t="s">
        <v>157</v>
      </c>
      <c r="M227" s="203">
        <v>0</v>
      </c>
      <c r="N227" s="203">
        <v>0.001</v>
      </c>
      <c r="O227" s="203">
        <v>0</v>
      </c>
      <c r="P227" s="174"/>
    </row>
    <row r="228" spans="1:16" ht="12">
      <c r="A228" s="1"/>
      <c r="B228" s="175"/>
      <c r="C228" s="84" t="s">
        <v>232</v>
      </c>
      <c r="D228" s="84" t="s">
        <v>233</v>
      </c>
      <c r="E228" s="168">
        <v>0.004</v>
      </c>
      <c r="F228" s="168">
        <v>0.004</v>
      </c>
      <c r="G228" s="85">
        <v>0</v>
      </c>
      <c r="H228" s="174"/>
      <c r="J228" s="175"/>
      <c r="K228" s="201" t="s">
        <v>214</v>
      </c>
      <c r="L228" s="201" t="s">
        <v>215</v>
      </c>
      <c r="M228" s="203">
        <v>0</v>
      </c>
      <c r="N228" s="203">
        <v>0</v>
      </c>
      <c r="O228" s="203">
        <v>0</v>
      </c>
      <c r="P228" s="174"/>
    </row>
    <row r="229" spans="1:16" ht="12">
      <c r="A229" s="1"/>
      <c r="B229" s="175"/>
      <c r="C229" s="84" t="s">
        <v>250</v>
      </c>
      <c r="D229" s="84" t="s">
        <v>251</v>
      </c>
      <c r="E229" s="168">
        <v>0.002</v>
      </c>
      <c r="F229" s="168">
        <v>0.001</v>
      </c>
      <c r="G229" s="85">
        <v>0</v>
      </c>
      <c r="H229" s="174"/>
      <c r="J229" s="175"/>
      <c r="K229" s="201" t="s">
        <v>238</v>
      </c>
      <c r="L229" s="201" t="s">
        <v>239</v>
      </c>
      <c r="M229" s="203">
        <v>0</v>
      </c>
      <c r="N229" s="203">
        <v>0</v>
      </c>
      <c r="O229" s="203">
        <v>0</v>
      </c>
      <c r="P229" s="174"/>
    </row>
    <row r="230" spans="1:16" ht="12">
      <c r="A230" s="1"/>
      <c r="B230" s="175"/>
      <c r="C230" s="84" t="s">
        <v>224</v>
      </c>
      <c r="D230" s="84" t="s">
        <v>225</v>
      </c>
      <c r="E230" s="168">
        <v>0.006</v>
      </c>
      <c r="F230" s="168">
        <v>0.006</v>
      </c>
      <c r="G230" s="85">
        <v>0</v>
      </c>
      <c r="H230" s="174"/>
      <c r="J230" s="175"/>
      <c r="K230" s="201" t="s">
        <v>246</v>
      </c>
      <c r="L230" s="201" t="s">
        <v>247</v>
      </c>
      <c r="M230" s="203">
        <v>0</v>
      </c>
      <c r="N230" s="203">
        <v>0</v>
      </c>
      <c r="O230" s="203">
        <v>0</v>
      </c>
      <c r="P230" s="174"/>
    </row>
    <row r="231" spans="1:16" ht="12">
      <c r="A231" s="1"/>
      <c r="B231" s="175"/>
      <c r="C231" s="84" t="s">
        <v>252</v>
      </c>
      <c r="D231" s="84" t="s">
        <v>253</v>
      </c>
      <c r="E231" s="85">
        <v>0</v>
      </c>
      <c r="F231" s="85">
        <v>0</v>
      </c>
      <c r="G231" s="85">
        <v>0</v>
      </c>
      <c r="H231" s="174"/>
      <c r="J231" s="175"/>
      <c r="K231" s="201" t="s">
        <v>252</v>
      </c>
      <c r="L231" s="201" t="s">
        <v>253</v>
      </c>
      <c r="M231" s="203">
        <v>0</v>
      </c>
      <c r="N231" s="203">
        <v>0</v>
      </c>
      <c r="O231" s="203">
        <v>0</v>
      </c>
      <c r="P231" s="174"/>
    </row>
    <row r="232" spans="1:16" ht="12">
      <c r="A232" s="1"/>
      <c r="B232" s="175"/>
      <c r="C232" s="173"/>
      <c r="D232" s="173"/>
      <c r="E232" s="173"/>
      <c r="F232" s="173"/>
      <c r="G232" s="173"/>
      <c r="H232" s="174"/>
      <c r="J232" s="175"/>
      <c r="K232" s="173"/>
      <c r="L232" s="173"/>
      <c r="M232" s="173"/>
      <c r="N232" s="173"/>
      <c r="O232" s="173"/>
      <c r="P232" s="174"/>
    </row>
    <row r="233" spans="1:16" ht="12">
      <c r="A233" s="1"/>
      <c r="B233" s="175"/>
      <c r="C233" s="11" t="s">
        <v>38</v>
      </c>
      <c r="D233" s="173"/>
      <c r="E233" s="173"/>
      <c r="F233" s="173"/>
      <c r="G233" s="173"/>
      <c r="H233" s="174"/>
      <c r="J233" s="175"/>
      <c r="K233" s="11" t="s">
        <v>38</v>
      </c>
      <c r="L233" s="173"/>
      <c r="M233" s="173"/>
      <c r="N233" s="173"/>
      <c r="O233" s="173"/>
      <c r="P233" s="174"/>
    </row>
    <row r="234" spans="1:16" ht="12">
      <c r="A234" s="1"/>
      <c r="B234" s="175"/>
      <c r="C234" s="11" t="s">
        <v>36</v>
      </c>
      <c r="D234" s="11" t="s">
        <v>39</v>
      </c>
      <c r="E234" s="173"/>
      <c r="F234" s="173"/>
      <c r="G234" s="173"/>
      <c r="H234" s="174"/>
      <c r="J234" s="175"/>
      <c r="K234" s="11" t="s">
        <v>36</v>
      </c>
      <c r="L234" s="11" t="s">
        <v>39</v>
      </c>
      <c r="M234" s="173"/>
      <c r="N234" s="173"/>
      <c r="O234" s="173"/>
      <c r="P234" s="174"/>
    </row>
    <row r="235" spans="1:16" ht="12">
      <c r="A235" s="1"/>
      <c r="B235" s="175"/>
      <c r="C235" s="173"/>
      <c r="D235" s="173"/>
      <c r="E235" s="173"/>
      <c r="F235" s="173"/>
      <c r="G235" s="173"/>
      <c r="H235" s="174"/>
      <c r="J235" s="175"/>
      <c r="K235" s="173"/>
      <c r="L235" s="173"/>
      <c r="M235" s="173"/>
      <c r="N235" s="173"/>
      <c r="O235" s="173"/>
      <c r="P235" s="174"/>
    </row>
    <row r="236" spans="1:16" ht="12">
      <c r="A236" s="1"/>
      <c r="B236" s="175"/>
      <c r="C236" s="11" t="s">
        <v>15</v>
      </c>
      <c r="D236" s="11" t="s">
        <v>303</v>
      </c>
      <c r="E236" s="173"/>
      <c r="F236" s="173"/>
      <c r="G236" s="173"/>
      <c r="H236" s="174"/>
      <c r="J236" s="175"/>
      <c r="K236" s="11" t="str">
        <f>C236</f>
        <v>GEO</v>
      </c>
      <c r="L236" s="11" t="str">
        <f>D236</f>
        <v>EU27_2020 - European Union - 27 countries (from 2020)</v>
      </c>
      <c r="M236" s="173"/>
      <c r="N236" s="173"/>
      <c r="O236" s="173"/>
      <c r="P236" s="174"/>
    </row>
    <row r="237" spans="1:16" ht="12">
      <c r="A237" s="1"/>
      <c r="B237" s="175"/>
      <c r="C237" s="11" t="s">
        <v>13</v>
      </c>
      <c r="D237" s="11" t="s">
        <v>114</v>
      </c>
      <c r="E237" s="173"/>
      <c r="F237" s="173"/>
      <c r="G237" s="173"/>
      <c r="H237" s="174"/>
      <c r="J237" s="175"/>
      <c r="K237" s="11" t="str">
        <f aca="true" t="shared" si="12" ref="K237:K239">C237</f>
        <v>UNIT</v>
      </c>
      <c r="L237" s="11" t="str">
        <f aca="true" t="shared" si="13" ref="L237:L239">D237</f>
        <v>Tonnes per capita</v>
      </c>
      <c r="M237" s="173"/>
      <c r="N237" s="173"/>
      <c r="O237" s="173"/>
      <c r="P237" s="174"/>
    </row>
    <row r="238" spans="1:16" ht="12">
      <c r="A238" s="1"/>
      <c r="B238" s="175"/>
      <c r="C238" s="11" t="s">
        <v>118</v>
      </c>
      <c r="D238" s="219">
        <f>Cover!C1</f>
        <v>2019</v>
      </c>
      <c r="E238" s="173"/>
      <c r="F238" s="173"/>
      <c r="G238" s="173"/>
      <c r="H238" s="174"/>
      <c r="J238" s="175"/>
      <c r="K238" s="11" t="str">
        <f t="shared" si="12"/>
        <v>TIME</v>
      </c>
      <c r="L238" s="219">
        <f t="shared" si="13"/>
        <v>2019</v>
      </c>
      <c r="M238" s="173"/>
      <c r="N238" s="173"/>
      <c r="O238" s="173"/>
      <c r="P238" s="174"/>
    </row>
    <row r="239" spans="1:16" ht="12">
      <c r="A239" s="1"/>
      <c r="B239" s="175"/>
      <c r="C239" s="11" t="s">
        <v>78</v>
      </c>
      <c r="D239" s="11" t="s">
        <v>256</v>
      </c>
      <c r="E239" s="173"/>
      <c r="F239" s="173"/>
      <c r="G239" s="173"/>
      <c r="H239" s="174"/>
      <c r="J239" s="175"/>
      <c r="K239" s="11" t="str">
        <f t="shared" si="12"/>
        <v>MATERIAL</v>
      </c>
      <c r="L239" s="11" t="str">
        <f t="shared" si="13"/>
        <v>MF3 - Non-metallic minerals</v>
      </c>
      <c r="M239" s="173"/>
      <c r="N239" s="173"/>
      <c r="O239" s="173"/>
      <c r="P239" s="174"/>
    </row>
    <row r="240" spans="1:16" ht="12">
      <c r="A240" s="1"/>
      <c r="B240" s="175"/>
      <c r="C240" s="173"/>
      <c r="D240" s="173"/>
      <c r="E240" s="173"/>
      <c r="F240" s="173"/>
      <c r="G240" s="173"/>
      <c r="H240" s="174"/>
      <c r="J240" s="175"/>
      <c r="K240" s="173"/>
      <c r="L240" s="173"/>
      <c r="M240" s="173"/>
      <c r="N240" s="173"/>
      <c r="O240" s="173"/>
      <c r="P240" s="174"/>
    </row>
    <row r="241" spans="1:16" ht="12">
      <c r="A241" s="1"/>
      <c r="B241" s="175"/>
      <c r="C241" s="84" t="s">
        <v>120</v>
      </c>
      <c r="D241" s="84" t="s">
        <v>115</v>
      </c>
      <c r="E241" s="84" t="s">
        <v>93</v>
      </c>
      <c r="F241" s="84" t="s">
        <v>121</v>
      </c>
      <c r="G241" s="84" t="s">
        <v>122</v>
      </c>
      <c r="H241" s="174"/>
      <c r="J241" s="175"/>
      <c r="K241" s="196" t="s">
        <v>120</v>
      </c>
      <c r="L241" s="198" t="str">
        <f aca="true" t="shared" si="14" ref="L241:O241">D241</f>
        <v>INDIC_ENV</v>
      </c>
      <c r="M241" s="198" t="str">
        <f t="shared" si="14"/>
        <v>RMC</v>
      </c>
      <c r="N241" s="198" t="str">
        <f t="shared" si="14"/>
        <v>RMC_P3</v>
      </c>
      <c r="O241" s="198" t="str">
        <f t="shared" si="14"/>
        <v>RMC_P5</v>
      </c>
      <c r="P241" s="174"/>
    </row>
    <row r="242" spans="1:16" ht="12">
      <c r="A242" s="1"/>
      <c r="B242" s="175"/>
      <c r="C242" s="84" t="s">
        <v>123</v>
      </c>
      <c r="D242" s="84" t="s">
        <v>124</v>
      </c>
      <c r="E242" s="84" t="s">
        <v>113</v>
      </c>
      <c r="F242" s="84" t="s">
        <v>125</v>
      </c>
      <c r="G242" s="84" t="s">
        <v>126</v>
      </c>
      <c r="H242" s="174"/>
      <c r="J242" s="175"/>
      <c r="K242" s="197" t="str">
        <f aca="true" t="shared" si="15" ref="K242:O243">C242</f>
        <v>CPA08</v>
      </c>
      <c r="L242" s="199" t="str">
        <f t="shared" si="15"/>
        <v>CPA08(L)/INDIC_ENV(L)</v>
      </c>
      <c r="M242" s="199" t="str">
        <f t="shared" si="15"/>
        <v xml:space="preserve">Raw material consumption </v>
      </c>
      <c r="N242" s="199" t="str">
        <f t="shared" si="15"/>
        <v>Raw material consumption as result of final consumption expenditure</v>
      </c>
      <c r="O242" s="199" t="str">
        <f t="shared" si="15"/>
        <v xml:space="preserve">Raw material consumption as result of gross capital formation </v>
      </c>
      <c r="P242" s="174"/>
    </row>
    <row r="243" spans="1:16" ht="12">
      <c r="A243" s="1"/>
      <c r="B243" s="175"/>
      <c r="C243" s="84" t="s">
        <v>82</v>
      </c>
      <c r="D243" s="84" t="s">
        <v>127</v>
      </c>
      <c r="E243" s="168">
        <v>6.856</v>
      </c>
      <c r="F243" s="168">
        <v>2.613</v>
      </c>
      <c r="G243" s="168">
        <v>4.242</v>
      </c>
      <c r="H243" s="174"/>
      <c r="J243" s="175"/>
      <c r="K243" s="200" t="str">
        <f t="shared" si="15"/>
        <v>TOTAL</v>
      </c>
      <c r="L243" s="200" t="str">
        <f t="shared" si="15"/>
        <v>Total CPA products</v>
      </c>
      <c r="M243" s="202">
        <f t="shared" si="15"/>
        <v>6.856</v>
      </c>
      <c r="N243" s="202">
        <f t="shared" si="15"/>
        <v>2.613</v>
      </c>
      <c r="O243" s="202">
        <f t="shared" si="15"/>
        <v>4.242</v>
      </c>
      <c r="P243" s="174"/>
    </row>
    <row r="244" spans="1:16" ht="12">
      <c r="A244" s="1"/>
      <c r="B244" s="175"/>
      <c r="C244" s="84" t="s">
        <v>128</v>
      </c>
      <c r="D244" s="84" t="s">
        <v>129</v>
      </c>
      <c r="E244" s="168">
        <v>0.046</v>
      </c>
      <c r="F244" s="168">
        <v>0.035</v>
      </c>
      <c r="G244" s="167">
        <v>0.011</v>
      </c>
      <c r="H244" s="174"/>
      <c r="J244" s="175"/>
      <c r="K244" s="201" t="s">
        <v>130</v>
      </c>
      <c r="L244" s="201" t="s">
        <v>131</v>
      </c>
      <c r="M244" s="203">
        <v>3.922</v>
      </c>
      <c r="N244" s="203">
        <v>0.187</v>
      </c>
      <c r="O244" s="203">
        <v>3.735</v>
      </c>
      <c r="P244" s="174"/>
    </row>
    <row r="245" spans="1:16" ht="12">
      <c r="A245" s="1"/>
      <c r="B245" s="175"/>
      <c r="C245" s="84" t="s">
        <v>132</v>
      </c>
      <c r="D245" s="84" t="s">
        <v>133</v>
      </c>
      <c r="E245" s="168">
        <v>0.002</v>
      </c>
      <c r="F245" s="168">
        <v>0.001</v>
      </c>
      <c r="G245" s="168">
        <v>0.001</v>
      </c>
      <c r="H245" s="174"/>
      <c r="J245" s="175"/>
      <c r="K245" s="201" t="s">
        <v>146</v>
      </c>
      <c r="L245" s="201" t="s">
        <v>147</v>
      </c>
      <c r="M245" s="203">
        <v>0.376</v>
      </c>
      <c r="N245" s="203">
        <v>0.374</v>
      </c>
      <c r="O245" s="203">
        <v>0.002</v>
      </c>
      <c r="P245" s="174"/>
    </row>
    <row r="246" spans="1:16" ht="12">
      <c r="A246" s="1"/>
      <c r="B246" s="175"/>
      <c r="C246" s="84" t="s">
        <v>136</v>
      </c>
      <c r="D246" s="84" t="s">
        <v>137</v>
      </c>
      <c r="E246" s="168">
        <v>0.003</v>
      </c>
      <c r="F246" s="168">
        <v>0.003</v>
      </c>
      <c r="G246" s="168">
        <v>0</v>
      </c>
      <c r="H246" s="174"/>
      <c r="J246" s="175"/>
      <c r="K246" s="201" t="s">
        <v>150</v>
      </c>
      <c r="L246" s="201" t="s">
        <v>151</v>
      </c>
      <c r="M246" s="203">
        <v>0.329</v>
      </c>
      <c r="N246" s="203">
        <v>0.321</v>
      </c>
      <c r="O246" s="203">
        <v>0.008</v>
      </c>
      <c r="P246" s="174"/>
    </row>
    <row r="247" spans="1:16" ht="12">
      <c r="A247" s="1"/>
      <c r="B247" s="175"/>
      <c r="C247" s="84" t="s">
        <v>138</v>
      </c>
      <c r="D247" s="84" t="s">
        <v>139</v>
      </c>
      <c r="E247" s="168">
        <v>0.029</v>
      </c>
      <c r="F247" s="168">
        <v>0.026</v>
      </c>
      <c r="G247" s="168">
        <v>0.002</v>
      </c>
      <c r="H247" s="174"/>
      <c r="J247" s="175"/>
      <c r="K247" s="201" t="s">
        <v>134</v>
      </c>
      <c r="L247" s="201" t="s">
        <v>135</v>
      </c>
      <c r="M247" s="203">
        <v>0.244</v>
      </c>
      <c r="N247" s="203">
        <v>0.235</v>
      </c>
      <c r="O247" s="203">
        <v>0.009</v>
      </c>
      <c r="P247" s="174"/>
    </row>
    <row r="248" spans="1:16" ht="12">
      <c r="A248" s="1"/>
      <c r="B248" s="175"/>
      <c r="C248" s="84" t="s">
        <v>134</v>
      </c>
      <c r="D248" s="84" t="s">
        <v>135</v>
      </c>
      <c r="E248" s="168">
        <v>0.244</v>
      </c>
      <c r="F248" s="168">
        <v>0.235</v>
      </c>
      <c r="G248" s="168">
        <v>0.009</v>
      </c>
      <c r="H248" s="174"/>
      <c r="J248" s="175"/>
      <c r="K248" s="201" t="s">
        <v>172</v>
      </c>
      <c r="L248" s="201" t="s">
        <v>173</v>
      </c>
      <c r="M248" s="203">
        <v>0.176</v>
      </c>
      <c r="N248" s="203">
        <v>0.151</v>
      </c>
      <c r="O248" s="203">
        <v>0.025</v>
      </c>
      <c r="P248" s="174"/>
    </row>
    <row r="249" spans="1:16" ht="12">
      <c r="A249" s="1"/>
      <c r="B249" s="175"/>
      <c r="C249" s="84" t="s">
        <v>144</v>
      </c>
      <c r="D249" s="84" t="s">
        <v>145</v>
      </c>
      <c r="E249" s="168">
        <v>0.046</v>
      </c>
      <c r="F249" s="168">
        <v>0.041</v>
      </c>
      <c r="G249" s="85">
        <v>0.005</v>
      </c>
      <c r="H249" s="174"/>
      <c r="J249" s="175"/>
      <c r="K249" s="201" t="s">
        <v>158</v>
      </c>
      <c r="L249" s="201" t="s">
        <v>159</v>
      </c>
      <c r="M249" s="203">
        <v>0.131</v>
      </c>
      <c r="N249" s="203">
        <v>0.065</v>
      </c>
      <c r="O249" s="203">
        <v>0.067</v>
      </c>
      <c r="P249" s="174"/>
    </row>
    <row r="250" spans="1:16" ht="12">
      <c r="A250" s="1"/>
      <c r="B250" s="175"/>
      <c r="C250" s="84" t="s">
        <v>148</v>
      </c>
      <c r="D250" s="84" t="s">
        <v>149</v>
      </c>
      <c r="E250" s="168">
        <v>0.005</v>
      </c>
      <c r="F250" s="168">
        <v>0.003</v>
      </c>
      <c r="G250" s="168">
        <v>0.002</v>
      </c>
      <c r="H250" s="174"/>
      <c r="J250" s="175"/>
      <c r="K250" s="201" t="s">
        <v>142</v>
      </c>
      <c r="L250" s="201" t="s">
        <v>143</v>
      </c>
      <c r="M250" s="203">
        <v>0.109</v>
      </c>
      <c r="N250" s="203">
        <v>0.109</v>
      </c>
      <c r="O250" s="203">
        <v>0</v>
      </c>
      <c r="P250" s="174"/>
    </row>
    <row r="251" spans="1:16" ht="12">
      <c r="A251" s="1"/>
      <c r="B251" s="175"/>
      <c r="C251" s="84" t="s">
        <v>152</v>
      </c>
      <c r="D251" s="84" t="s">
        <v>153</v>
      </c>
      <c r="E251" s="168">
        <v>0.014</v>
      </c>
      <c r="F251" s="168">
        <v>0.016</v>
      </c>
      <c r="G251" s="168">
        <v>-0.002</v>
      </c>
      <c r="H251" s="174"/>
      <c r="J251" s="175"/>
      <c r="K251" s="201" t="s">
        <v>178</v>
      </c>
      <c r="L251" s="201" t="s">
        <v>179</v>
      </c>
      <c r="M251" s="203">
        <v>0.107</v>
      </c>
      <c r="N251" s="203">
        <v>0.1</v>
      </c>
      <c r="O251" s="203">
        <v>0.007</v>
      </c>
      <c r="P251" s="174"/>
    </row>
    <row r="252" spans="1:16" ht="12">
      <c r="A252" s="1"/>
      <c r="B252" s="175"/>
      <c r="C252" s="84" t="s">
        <v>156</v>
      </c>
      <c r="D252" s="84" t="s">
        <v>157</v>
      </c>
      <c r="E252" s="168">
        <v>0.001</v>
      </c>
      <c r="F252" s="168">
        <v>0.002</v>
      </c>
      <c r="G252" s="85">
        <v>-0.001</v>
      </c>
      <c r="H252" s="174"/>
      <c r="J252" s="175"/>
      <c r="K252" s="201" t="s">
        <v>164</v>
      </c>
      <c r="L252" s="201" t="s">
        <v>165</v>
      </c>
      <c r="M252" s="203">
        <v>0.099</v>
      </c>
      <c r="N252" s="203">
        <v>0.077</v>
      </c>
      <c r="O252" s="203">
        <v>0.022</v>
      </c>
      <c r="P252" s="174"/>
    </row>
    <row r="253" spans="1:16" ht="12">
      <c r="A253" s="1"/>
      <c r="B253" s="175"/>
      <c r="C253" s="84" t="s">
        <v>160</v>
      </c>
      <c r="D253" s="84" t="s">
        <v>161</v>
      </c>
      <c r="E253" s="168">
        <v>0.03</v>
      </c>
      <c r="F253" s="168">
        <v>0.029</v>
      </c>
      <c r="G253" s="168">
        <v>0.001</v>
      </c>
      <c r="H253" s="174"/>
      <c r="J253" s="175"/>
      <c r="K253" s="201" t="s">
        <v>168</v>
      </c>
      <c r="L253" s="201" t="s">
        <v>169</v>
      </c>
      <c r="M253" s="203">
        <v>0.099</v>
      </c>
      <c r="N253" s="203">
        <v>0.099</v>
      </c>
      <c r="O253" s="203">
        <v>0</v>
      </c>
      <c r="P253" s="174"/>
    </row>
    <row r="254" spans="1:16" ht="12">
      <c r="A254" s="1"/>
      <c r="B254" s="175"/>
      <c r="C254" s="84" t="s">
        <v>162</v>
      </c>
      <c r="D254" s="84" t="s">
        <v>163</v>
      </c>
      <c r="E254" s="168">
        <v>0.071</v>
      </c>
      <c r="F254" s="168">
        <v>0.066</v>
      </c>
      <c r="G254" s="168">
        <v>0.005</v>
      </c>
      <c r="H254" s="174"/>
      <c r="J254" s="175"/>
      <c r="K254" s="201" t="s">
        <v>154</v>
      </c>
      <c r="L254" s="201" t="s">
        <v>155</v>
      </c>
      <c r="M254" s="203">
        <v>0.09</v>
      </c>
      <c r="N254" s="203">
        <v>0.087</v>
      </c>
      <c r="O254" s="203">
        <v>0.003</v>
      </c>
      <c r="P254" s="174"/>
    </row>
    <row r="255" spans="1:16" ht="12">
      <c r="A255" s="1"/>
      <c r="B255" s="175"/>
      <c r="C255" s="84" t="s">
        <v>166</v>
      </c>
      <c r="D255" s="84" t="s">
        <v>167</v>
      </c>
      <c r="E255" s="168">
        <v>0.019</v>
      </c>
      <c r="F255" s="168">
        <v>0.025</v>
      </c>
      <c r="G255" s="168">
        <v>-0.006</v>
      </c>
      <c r="H255" s="174"/>
      <c r="J255" s="175"/>
      <c r="K255" s="201" t="s">
        <v>174</v>
      </c>
      <c r="L255" s="201" t="s">
        <v>175</v>
      </c>
      <c r="M255" s="203">
        <v>0.08</v>
      </c>
      <c r="N255" s="203">
        <v>0.003</v>
      </c>
      <c r="O255" s="203">
        <v>0.077</v>
      </c>
      <c r="P255" s="174"/>
    </row>
    <row r="256" spans="1:16" ht="12">
      <c r="A256" s="1"/>
      <c r="B256" s="175"/>
      <c r="C256" s="84" t="s">
        <v>170</v>
      </c>
      <c r="D256" s="84" t="s">
        <v>171</v>
      </c>
      <c r="E256" s="168">
        <v>0.013</v>
      </c>
      <c r="F256" s="168">
        <v>0.01</v>
      </c>
      <c r="G256" s="168">
        <v>0.003</v>
      </c>
      <c r="H256" s="174"/>
      <c r="J256" s="175"/>
      <c r="K256" s="201" t="s">
        <v>198</v>
      </c>
      <c r="L256" s="201" t="s">
        <v>199</v>
      </c>
      <c r="M256" s="203">
        <v>0.077</v>
      </c>
      <c r="N256" s="203">
        <v>0.077</v>
      </c>
      <c r="O256" s="203">
        <v>0</v>
      </c>
      <c r="P256" s="174"/>
    </row>
    <row r="257" spans="1:16" ht="12">
      <c r="A257" s="1"/>
      <c r="B257" s="175"/>
      <c r="C257" s="84" t="s">
        <v>172</v>
      </c>
      <c r="D257" s="84" t="s">
        <v>173</v>
      </c>
      <c r="E257" s="168">
        <v>0.176</v>
      </c>
      <c r="F257" s="167">
        <v>0.151</v>
      </c>
      <c r="G257" s="168">
        <v>0.025</v>
      </c>
      <c r="H257" s="174"/>
      <c r="J257" s="175"/>
      <c r="K257" s="201" t="s">
        <v>162</v>
      </c>
      <c r="L257" s="201" t="s">
        <v>163</v>
      </c>
      <c r="M257" s="203">
        <v>0.071</v>
      </c>
      <c r="N257" s="203">
        <v>0.066</v>
      </c>
      <c r="O257" s="203">
        <v>0.005</v>
      </c>
      <c r="P257" s="174"/>
    </row>
    <row r="258" spans="1:16" ht="12">
      <c r="A258" s="1"/>
      <c r="B258" s="175"/>
      <c r="C258" s="84" t="s">
        <v>176</v>
      </c>
      <c r="D258" s="84" t="s">
        <v>177</v>
      </c>
      <c r="E258" s="168">
        <v>0.002</v>
      </c>
      <c r="F258" s="85">
        <v>0</v>
      </c>
      <c r="G258" s="168">
        <v>0.001</v>
      </c>
      <c r="H258" s="174"/>
      <c r="J258" s="175"/>
      <c r="K258" s="201" t="s">
        <v>188</v>
      </c>
      <c r="L258" s="201" t="s">
        <v>189</v>
      </c>
      <c r="M258" s="203">
        <v>0.062</v>
      </c>
      <c r="N258" s="203">
        <v>0.007</v>
      </c>
      <c r="O258" s="203">
        <v>0.055</v>
      </c>
      <c r="P258" s="174"/>
    </row>
    <row r="259" spans="1:16" ht="12">
      <c r="A259" s="1"/>
      <c r="B259" s="175"/>
      <c r="C259" s="84" t="s">
        <v>180</v>
      </c>
      <c r="D259" s="84" t="s">
        <v>181</v>
      </c>
      <c r="E259" s="168">
        <v>0.037</v>
      </c>
      <c r="F259" s="168">
        <v>0.01</v>
      </c>
      <c r="G259" s="168">
        <v>0.028</v>
      </c>
      <c r="H259" s="174"/>
      <c r="J259" s="175"/>
      <c r="K259" s="201" t="s">
        <v>140</v>
      </c>
      <c r="L259" s="201" t="s">
        <v>141</v>
      </c>
      <c r="M259" s="203">
        <v>0.058</v>
      </c>
      <c r="N259" s="203">
        <v>0.059</v>
      </c>
      <c r="O259" s="203">
        <v>0</v>
      </c>
      <c r="P259" s="174"/>
    </row>
    <row r="260" spans="1:16" ht="12">
      <c r="A260" s="1"/>
      <c r="B260" s="175"/>
      <c r="C260" s="84" t="s">
        <v>184</v>
      </c>
      <c r="D260" s="84" t="s">
        <v>185</v>
      </c>
      <c r="E260" s="168">
        <v>0.046</v>
      </c>
      <c r="F260" s="168">
        <v>0.018</v>
      </c>
      <c r="G260" s="168">
        <v>0.028</v>
      </c>
      <c r="H260" s="174"/>
      <c r="J260" s="175"/>
      <c r="K260" s="201" t="s">
        <v>192</v>
      </c>
      <c r="L260" s="201" t="s">
        <v>193</v>
      </c>
      <c r="M260" s="203">
        <v>0.054</v>
      </c>
      <c r="N260" s="203">
        <v>0.054</v>
      </c>
      <c r="O260" s="203">
        <v>0</v>
      </c>
      <c r="P260" s="174"/>
    </row>
    <row r="261" spans="1:16" ht="12">
      <c r="A261" s="1"/>
      <c r="B261" s="175"/>
      <c r="C261" s="84" t="s">
        <v>186</v>
      </c>
      <c r="D261" s="84" t="s">
        <v>187</v>
      </c>
      <c r="E261" s="168">
        <v>0.03</v>
      </c>
      <c r="F261" s="168">
        <v>0.014</v>
      </c>
      <c r="G261" s="168">
        <v>0.017</v>
      </c>
      <c r="H261" s="174"/>
      <c r="J261" s="175"/>
      <c r="K261" s="201" t="s">
        <v>128</v>
      </c>
      <c r="L261" s="201" t="s">
        <v>129</v>
      </c>
      <c r="M261" s="203">
        <v>0.046</v>
      </c>
      <c r="N261" s="203">
        <v>0.035</v>
      </c>
      <c r="O261" s="203">
        <v>0.011</v>
      </c>
      <c r="P261" s="174"/>
    </row>
    <row r="262" spans="1:16" ht="12">
      <c r="A262" s="1"/>
      <c r="B262" s="175"/>
      <c r="C262" s="84" t="s">
        <v>174</v>
      </c>
      <c r="D262" s="84" t="s">
        <v>175</v>
      </c>
      <c r="E262" s="168">
        <v>0.08</v>
      </c>
      <c r="F262" s="168">
        <v>0.003</v>
      </c>
      <c r="G262" s="168">
        <v>0.077</v>
      </c>
      <c r="H262" s="174"/>
      <c r="J262" s="175"/>
      <c r="K262" s="201" t="s">
        <v>144</v>
      </c>
      <c r="L262" s="201" t="s">
        <v>145</v>
      </c>
      <c r="M262" s="203">
        <v>0.046</v>
      </c>
      <c r="N262" s="203">
        <v>0.041</v>
      </c>
      <c r="O262" s="203">
        <v>0.005</v>
      </c>
      <c r="P262" s="174"/>
    </row>
    <row r="263" spans="1:16" ht="12">
      <c r="A263" s="1"/>
      <c r="B263" s="175"/>
      <c r="C263" s="84" t="s">
        <v>158</v>
      </c>
      <c r="D263" s="84" t="s">
        <v>159</v>
      </c>
      <c r="E263" s="168">
        <v>0.131</v>
      </c>
      <c r="F263" s="168">
        <v>0.065</v>
      </c>
      <c r="G263" s="168">
        <v>0.067</v>
      </c>
      <c r="H263" s="174"/>
      <c r="J263" s="175"/>
      <c r="K263" s="201" t="s">
        <v>184</v>
      </c>
      <c r="L263" s="201" t="s">
        <v>185</v>
      </c>
      <c r="M263" s="203">
        <v>0.046</v>
      </c>
      <c r="N263" s="203">
        <v>0.018</v>
      </c>
      <c r="O263" s="203">
        <v>0.028</v>
      </c>
      <c r="P263" s="174"/>
    </row>
    <row r="264" spans="1:16" ht="12">
      <c r="A264" s="1"/>
      <c r="B264" s="175"/>
      <c r="C264" s="84" t="s">
        <v>190</v>
      </c>
      <c r="D264" s="84" t="s">
        <v>191</v>
      </c>
      <c r="E264" s="167">
        <v>0.028</v>
      </c>
      <c r="F264" s="168">
        <v>0.001</v>
      </c>
      <c r="G264" s="168">
        <v>0.027</v>
      </c>
      <c r="H264" s="174"/>
      <c r="J264" s="175"/>
      <c r="K264" s="201" t="s">
        <v>182</v>
      </c>
      <c r="L264" s="201" t="s">
        <v>183</v>
      </c>
      <c r="M264" s="203">
        <v>0.044</v>
      </c>
      <c r="N264" s="203">
        <v>0.027</v>
      </c>
      <c r="O264" s="203">
        <v>0.016</v>
      </c>
      <c r="P264" s="174"/>
    </row>
    <row r="265" spans="1:16" ht="12">
      <c r="A265" s="1"/>
      <c r="B265" s="175"/>
      <c r="C265" s="84" t="s">
        <v>182</v>
      </c>
      <c r="D265" s="84" t="s">
        <v>183</v>
      </c>
      <c r="E265" s="168">
        <v>0.044</v>
      </c>
      <c r="F265" s="168">
        <v>0.027</v>
      </c>
      <c r="G265" s="168">
        <v>0.016</v>
      </c>
      <c r="H265" s="174"/>
      <c r="J265" s="175"/>
      <c r="K265" s="201" t="s">
        <v>180</v>
      </c>
      <c r="L265" s="201" t="s">
        <v>181</v>
      </c>
      <c r="M265" s="203">
        <v>0.037</v>
      </c>
      <c r="N265" s="203">
        <v>0.01</v>
      </c>
      <c r="O265" s="203">
        <v>0.028</v>
      </c>
      <c r="P265" s="174"/>
    </row>
    <row r="266" spans="1:16" ht="12">
      <c r="A266" s="1"/>
      <c r="B266" s="175"/>
      <c r="C266" s="84" t="s">
        <v>194</v>
      </c>
      <c r="D266" s="84" t="s">
        <v>195</v>
      </c>
      <c r="E266" s="168">
        <v>0.031</v>
      </c>
      <c r="F266" s="168">
        <v>0.001</v>
      </c>
      <c r="G266" s="168">
        <v>0.03</v>
      </c>
      <c r="H266" s="174"/>
      <c r="J266" s="175"/>
      <c r="K266" s="201" t="s">
        <v>200</v>
      </c>
      <c r="L266" s="201" t="s">
        <v>201</v>
      </c>
      <c r="M266" s="203">
        <v>0.037</v>
      </c>
      <c r="N266" s="203">
        <v>0.037</v>
      </c>
      <c r="O266" s="203">
        <v>0</v>
      </c>
      <c r="P266" s="174"/>
    </row>
    <row r="267" spans="1:16" ht="12">
      <c r="A267" s="1"/>
      <c r="B267" s="175"/>
      <c r="C267" s="84" t="s">
        <v>140</v>
      </c>
      <c r="D267" s="84" t="s">
        <v>141</v>
      </c>
      <c r="E267" s="168">
        <v>0.058</v>
      </c>
      <c r="F267" s="168">
        <v>0.059</v>
      </c>
      <c r="G267" s="85">
        <v>0</v>
      </c>
      <c r="H267" s="174"/>
      <c r="J267" s="175"/>
      <c r="K267" s="201" t="s">
        <v>202</v>
      </c>
      <c r="L267" s="201" t="s">
        <v>203</v>
      </c>
      <c r="M267" s="203">
        <v>0.034</v>
      </c>
      <c r="N267" s="203">
        <v>0.029</v>
      </c>
      <c r="O267" s="203">
        <v>0.005</v>
      </c>
      <c r="P267" s="174"/>
    </row>
    <row r="268" spans="1:16" ht="12">
      <c r="A268" s="1"/>
      <c r="B268" s="175"/>
      <c r="C268" s="84" t="s">
        <v>196</v>
      </c>
      <c r="D268" s="84" t="s">
        <v>197</v>
      </c>
      <c r="E268" s="168">
        <v>0.01</v>
      </c>
      <c r="F268" s="168">
        <v>0.01</v>
      </c>
      <c r="G268" s="85">
        <v>0</v>
      </c>
      <c r="H268" s="174"/>
      <c r="J268" s="175"/>
      <c r="K268" s="201" t="s">
        <v>194</v>
      </c>
      <c r="L268" s="201" t="s">
        <v>195</v>
      </c>
      <c r="M268" s="203">
        <v>0.031</v>
      </c>
      <c r="N268" s="203">
        <v>0.001</v>
      </c>
      <c r="O268" s="203">
        <v>0.03</v>
      </c>
      <c r="P268" s="174"/>
    </row>
    <row r="269" spans="1:16" ht="12">
      <c r="A269" s="1"/>
      <c r="B269" s="175"/>
      <c r="C269" s="84" t="s">
        <v>198</v>
      </c>
      <c r="D269" s="84" t="s">
        <v>199</v>
      </c>
      <c r="E269" s="168">
        <v>0.077</v>
      </c>
      <c r="F269" s="168">
        <v>0.077</v>
      </c>
      <c r="G269" s="168">
        <v>0</v>
      </c>
      <c r="H269" s="174"/>
      <c r="J269" s="175"/>
      <c r="K269" s="201" t="s">
        <v>160</v>
      </c>
      <c r="L269" s="201" t="s">
        <v>161</v>
      </c>
      <c r="M269" s="203">
        <v>0.03</v>
      </c>
      <c r="N269" s="203">
        <v>0.029</v>
      </c>
      <c r="O269" s="203">
        <v>0.001</v>
      </c>
      <c r="P269" s="174"/>
    </row>
    <row r="270" spans="1:16" ht="12">
      <c r="A270" s="1"/>
      <c r="B270" s="175"/>
      <c r="C270" s="84" t="s">
        <v>130</v>
      </c>
      <c r="D270" s="84" t="s">
        <v>131</v>
      </c>
      <c r="E270" s="168">
        <v>3.922</v>
      </c>
      <c r="F270" s="168">
        <v>0.187</v>
      </c>
      <c r="G270" s="168">
        <v>3.735</v>
      </c>
      <c r="H270" s="174"/>
      <c r="J270" s="175"/>
      <c r="K270" s="201" t="s">
        <v>186</v>
      </c>
      <c r="L270" s="201" t="s">
        <v>187</v>
      </c>
      <c r="M270" s="203">
        <v>0.03</v>
      </c>
      <c r="N270" s="203">
        <v>0.014</v>
      </c>
      <c r="O270" s="203">
        <v>0.017</v>
      </c>
      <c r="P270" s="174"/>
    </row>
    <row r="271" spans="1:16" ht="12">
      <c r="A271" s="1"/>
      <c r="B271" s="175"/>
      <c r="C271" s="84" t="s">
        <v>202</v>
      </c>
      <c r="D271" s="84" t="s">
        <v>203</v>
      </c>
      <c r="E271" s="168">
        <v>0.034</v>
      </c>
      <c r="F271" s="168">
        <v>0.029</v>
      </c>
      <c r="G271" s="168">
        <v>0.005</v>
      </c>
      <c r="H271" s="174"/>
      <c r="J271" s="175"/>
      <c r="K271" s="201" t="s">
        <v>138</v>
      </c>
      <c r="L271" s="201" t="s">
        <v>139</v>
      </c>
      <c r="M271" s="203">
        <v>0.029</v>
      </c>
      <c r="N271" s="203">
        <v>0.026</v>
      </c>
      <c r="O271" s="203">
        <v>0.002</v>
      </c>
      <c r="P271" s="174"/>
    </row>
    <row r="272" spans="1:16" ht="12">
      <c r="A272" s="1"/>
      <c r="B272" s="175"/>
      <c r="C272" s="84" t="s">
        <v>164</v>
      </c>
      <c r="D272" s="84" t="s">
        <v>165</v>
      </c>
      <c r="E272" s="168">
        <v>0.099</v>
      </c>
      <c r="F272" s="168">
        <v>0.077</v>
      </c>
      <c r="G272" s="168">
        <v>0.022</v>
      </c>
      <c r="H272" s="174"/>
      <c r="J272" s="175"/>
      <c r="K272" s="201" t="s">
        <v>190</v>
      </c>
      <c r="L272" s="201" t="s">
        <v>191</v>
      </c>
      <c r="M272" s="203">
        <v>0.028</v>
      </c>
      <c r="N272" s="203">
        <v>0.001</v>
      </c>
      <c r="O272" s="203">
        <v>0.027</v>
      </c>
      <c r="P272" s="174"/>
    </row>
    <row r="273" spans="1:16" ht="12">
      <c r="A273" s="1"/>
      <c r="B273" s="175"/>
      <c r="C273" s="84" t="s">
        <v>178</v>
      </c>
      <c r="D273" s="84" t="s">
        <v>179</v>
      </c>
      <c r="E273" s="168">
        <v>0.107</v>
      </c>
      <c r="F273" s="168">
        <v>0.1</v>
      </c>
      <c r="G273" s="168">
        <v>0.007</v>
      </c>
      <c r="H273" s="174"/>
      <c r="J273" s="175"/>
      <c r="K273" s="201" t="s">
        <v>210</v>
      </c>
      <c r="L273" s="201" t="s">
        <v>211</v>
      </c>
      <c r="M273" s="203">
        <v>0.026</v>
      </c>
      <c r="N273" s="203">
        <v>0.001</v>
      </c>
      <c r="O273" s="203">
        <v>0.026</v>
      </c>
      <c r="P273" s="174"/>
    </row>
    <row r="274" spans="1:16" ht="12">
      <c r="A274" s="1"/>
      <c r="B274" s="175"/>
      <c r="C274" s="84" t="s">
        <v>154</v>
      </c>
      <c r="D274" s="84" t="s">
        <v>155</v>
      </c>
      <c r="E274" s="168">
        <v>0.09</v>
      </c>
      <c r="F274" s="167">
        <v>0.087</v>
      </c>
      <c r="G274" s="168">
        <v>0.003</v>
      </c>
      <c r="H274" s="174"/>
      <c r="J274" s="175"/>
      <c r="K274" s="201" t="s">
        <v>206</v>
      </c>
      <c r="L274" s="201" t="s">
        <v>207</v>
      </c>
      <c r="M274" s="203">
        <v>0.023</v>
      </c>
      <c r="N274" s="203">
        <v>0.023</v>
      </c>
      <c r="O274" s="203">
        <v>0</v>
      </c>
      <c r="P274" s="174"/>
    </row>
    <row r="275" spans="1:16" ht="12">
      <c r="A275" s="1"/>
      <c r="B275" s="175"/>
      <c r="C275" s="84" t="s">
        <v>204</v>
      </c>
      <c r="D275" s="84" t="s">
        <v>205</v>
      </c>
      <c r="E275" s="168">
        <v>0.002</v>
      </c>
      <c r="F275" s="168">
        <v>0.002</v>
      </c>
      <c r="G275" s="85">
        <v>-0.001</v>
      </c>
      <c r="H275" s="174"/>
      <c r="J275" s="175"/>
      <c r="K275" s="201" t="s">
        <v>216</v>
      </c>
      <c r="L275" s="201" t="s">
        <v>217</v>
      </c>
      <c r="M275" s="203">
        <v>0.022</v>
      </c>
      <c r="N275" s="203">
        <v>0.021</v>
      </c>
      <c r="O275" s="203">
        <v>0.001</v>
      </c>
      <c r="P275" s="174"/>
    </row>
    <row r="276" spans="1:16" ht="12">
      <c r="A276" s="1"/>
      <c r="B276" s="175"/>
      <c r="C276" s="84" t="s">
        <v>208</v>
      </c>
      <c r="D276" s="84" t="s">
        <v>209</v>
      </c>
      <c r="E276" s="168">
        <v>0.007</v>
      </c>
      <c r="F276" s="168">
        <v>0.007</v>
      </c>
      <c r="G276" s="85">
        <v>0</v>
      </c>
      <c r="H276" s="174"/>
      <c r="J276" s="175"/>
      <c r="K276" s="201" t="s">
        <v>224</v>
      </c>
      <c r="L276" s="201" t="s">
        <v>225</v>
      </c>
      <c r="M276" s="203">
        <v>0.02</v>
      </c>
      <c r="N276" s="203">
        <v>0.02</v>
      </c>
      <c r="O276" s="203">
        <v>0</v>
      </c>
      <c r="P276" s="174"/>
    </row>
    <row r="277" spans="1:16" ht="12">
      <c r="A277" s="1"/>
      <c r="B277" s="175"/>
      <c r="C277" s="84" t="s">
        <v>212</v>
      </c>
      <c r="D277" s="84" t="s">
        <v>213</v>
      </c>
      <c r="E277" s="168">
        <v>0.018</v>
      </c>
      <c r="F277" s="168">
        <v>0.018</v>
      </c>
      <c r="G277" s="85">
        <v>0</v>
      </c>
      <c r="H277" s="174"/>
      <c r="J277" s="175"/>
      <c r="K277" s="201" t="s">
        <v>166</v>
      </c>
      <c r="L277" s="201" t="s">
        <v>167</v>
      </c>
      <c r="M277" s="203">
        <v>0.019</v>
      </c>
      <c r="N277" s="203">
        <v>0.025</v>
      </c>
      <c r="O277" s="203">
        <v>-0.006</v>
      </c>
      <c r="P277" s="174"/>
    </row>
    <row r="278" spans="1:16" ht="12">
      <c r="A278" s="1"/>
      <c r="B278" s="175"/>
      <c r="C278" s="84" t="s">
        <v>214</v>
      </c>
      <c r="D278" s="84" t="s">
        <v>215</v>
      </c>
      <c r="E278" s="168">
        <v>0.001</v>
      </c>
      <c r="F278" s="168">
        <v>0.001</v>
      </c>
      <c r="G278" s="85">
        <v>0</v>
      </c>
      <c r="H278" s="174"/>
      <c r="J278" s="175"/>
      <c r="K278" s="201" t="s">
        <v>236</v>
      </c>
      <c r="L278" s="201" t="s">
        <v>237</v>
      </c>
      <c r="M278" s="203">
        <v>0.019</v>
      </c>
      <c r="N278" s="203">
        <v>0.002</v>
      </c>
      <c r="O278" s="203">
        <v>0.016</v>
      </c>
      <c r="P278" s="174"/>
    </row>
    <row r="279" spans="1:16" ht="12">
      <c r="A279" s="1"/>
      <c r="B279" s="175"/>
      <c r="C279" s="84" t="s">
        <v>142</v>
      </c>
      <c r="D279" s="84" t="s">
        <v>143</v>
      </c>
      <c r="E279" s="168">
        <v>0.109</v>
      </c>
      <c r="F279" s="168">
        <v>0.109</v>
      </c>
      <c r="G279" s="85">
        <v>0</v>
      </c>
      <c r="H279" s="174"/>
      <c r="J279" s="175"/>
      <c r="K279" s="201" t="s">
        <v>212</v>
      </c>
      <c r="L279" s="201" t="s">
        <v>213</v>
      </c>
      <c r="M279" s="203">
        <v>0.018</v>
      </c>
      <c r="N279" s="203">
        <v>0.018</v>
      </c>
      <c r="O279" s="203">
        <v>0</v>
      </c>
      <c r="P279" s="174"/>
    </row>
    <row r="280" spans="1:16" ht="12">
      <c r="A280" s="1"/>
      <c r="B280" s="175"/>
      <c r="C280" s="84" t="s">
        <v>218</v>
      </c>
      <c r="D280" s="84" t="s">
        <v>219</v>
      </c>
      <c r="E280" s="168">
        <v>0.013</v>
      </c>
      <c r="F280" s="167">
        <v>0.008</v>
      </c>
      <c r="G280" s="168">
        <v>0.005</v>
      </c>
      <c r="H280" s="174"/>
      <c r="J280" s="175"/>
      <c r="K280" s="201" t="s">
        <v>220</v>
      </c>
      <c r="L280" s="201" t="s">
        <v>221</v>
      </c>
      <c r="M280" s="203">
        <v>0.017</v>
      </c>
      <c r="N280" s="203">
        <v>0.017</v>
      </c>
      <c r="O280" s="203">
        <v>0</v>
      </c>
      <c r="P280" s="174"/>
    </row>
    <row r="281" spans="1:16" ht="12">
      <c r="A281" s="1"/>
      <c r="B281" s="175"/>
      <c r="C281" s="84" t="s">
        <v>222</v>
      </c>
      <c r="D281" s="84" t="s">
        <v>223</v>
      </c>
      <c r="E281" s="167">
        <v>0.01</v>
      </c>
      <c r="F281" s="168">
        <v>0.007</v>
      </c>
      <c r="G281" s="168">
        <v>0.003</v>
      </c>
      <c r="H281" s="174"/>
      <c r="J281" s="175"/>
      <c r="K281" s="201" t="s">
        <v>152</v>
      </c>
      <c r="L281" s="201" t="s">
        <v>153</v>
      </c>
      <c r="M281" s="203">
        <v>0.014</v>
      </c>
      <c r="N281" s="203">
        <v>0.016</v>
      </c>
      <c r="O281" s="203">
        <v>-0.002</v>
      </c>
      <c r="P281" s="174"/>
    </row>
    <row r="282" spans="1:16" ht="12">
      <c r="A282" s="1"/>
      <c r="B282" s="175"/>
      <c r="C282" s="84" t="s">
        <v>206</v>
      </c>
      <c r="D282" s="84" t="s">
        <v>207</v>
      </c>
      <c r="E282" s="168">
        <v>0.023</v>
      </c>
      <c r="F282" s="168">
        <v>0.023</v>
      </c>
      <c r="G282" s="85">
        <v>0</v>
      </c>
      <c r="H282" s="174"/>
      <c r="J282" s="175"/>
      <c r="K282" s="201" t="s">
        <v>248</v>
      </c>
      <c r="L282" s="201" t="s">
        <v>249</v>
      </c>
      <c r="M282" s="203">
        <v>0.014</v>
      </c>
      <c r="N282" s="203">
        <v>0.014</v>
      </c>
      <c r="O282" s="203">
        <v>0</v>
      </c>
      <c r="P282" s="174"/>
    </row>
    <row r="283" spans="1:16" ht="12">
      <c r="A283" s="1"/>
      <c r="B283" s="175"/>
      <c r="C283" s="84" t="s">
        <v>210</v>
      </c>
      <c r="D283" s="84" t="s">
        <v>211</v>
      </c>
      <c r="E283" s="168">
        <v>0.026</v>
      </c>
      <c r="F283" s="168">
        <v>0.001</v>
      </c>
      <c r="G283" s="168">
        <v>0.026</v>
      </c>
      <c r="H283" s="174"/>
      <c r="J283" s="175"/>
      <c r="K283" s="201" t="s">
        <v>226</v>
      </c>
      <c r="L283" s="201" t="s">
        <v>227</v>
      </c>
      <c r="M283" s="203">
        <v>0.014</v>
      </c>
      <c r="N283" s="203">
        <v>0.014</v>
      </c>
      <c r="O283" s="203">
        <v>0</v>
      </c>
      <c r="P283" s="174"/>
    </row>
    <row r="284" spans="1:16" ht="12">
      <c r="A284" s="1"/>
      <c r="B284" s="175"/>
      <c r="C284" s="84" t="s">
        <v>228</v>
      </c>
      <c r="D284" s="84" t="s">
        <v>229</v>
      </c>
      <c r="E284" s="168">
        <v>0.01</v>
      </c>
      <c r="F284" s="168">
        <v>0.01</v>
      </c>
      <c r="G284" s="85">
        <v>0</v>
      </c>
      <c r="H284" s="174"/>
      <c r="J284" s="175"/>
      <c r="K284" s="201" t="s">
        <v>232</v>
      </c>
      <c r="L284" s="201" t="s">
        <v>233</v>
      </c>
      <c r="M284" s="203">
        <v>0.014</v>
      </c>
      <c r="N284" s="203">
        <v>0.014</v>
      </c>
      <c r="O284" s="203">
        <v>0</v>
      </c>
      <c r="P284" s="174"/>
    </row>
    <row r="285" spans="1:16" ht="12">
      <c r="A285" s="1"/>
      <c r="B285" s="175"/>
      <c r="C285" s="84" t="s">
        <v>220</v>
      </c>
      <c r="D285" s="84" t="s">
        <v>221</v>
      </c>
      <c r="E285" s="168">
        <v>0.017</v>
      </c>
      <c r="F285" s="168">
        <v>0.017</v>
      </c>
      <c r="G285" s="85">
        <v>0</v>
      </c>
      <c r="H285" s="174"/>
      <c r="J285" s="175"/>
      <c r="K285" s="201" t="s">
        <v>170</v>
      </c>
      <c r="L285" s="201" t="s">
        <v>171</v>
      </c>
      <c r="M285" s="203">
        <v>0.013</v>
      </c>
      <c r="N285" s="203">
        <v>0.01</v>
      </c>
      <c r="O285" s="203">
        <v>0.003</v>
      </c>
      <c r="P285" s="174"/>
    </row>
    <row r="286" spans="1:16" ht="12">
      <c r="A286" s="1"/>
      <c r="B286" s="175"/>
      <c r="C286" s="84" t="s">
        <v>230</v>
      </c>
      <c r="D286" s="84" t="s">
        <v>231</v>
      </c>
      <c r="E286" s="168">
        <v>0.002</v>
      </c>
      <c r="F286" s="168">
        <v>0.002</v>
      </c>
      <c r="G286" s="85">
        <v>0</v>
      </c>
      <c r="H286" s="174"/>
      <c r="J286" s="175"/>
      <c r="K286" s="201" t="s">
        <v>218</v>
      </c>
      <c r="L286" s="201" t="s">
        <v>219</v>
      </c>
      <c r="M286" s="203">
        <v>0.013</v>
      </c>
      <c r="N286" s="203">
        <v>0.008</v>
      </c>
      <c r="O286" s="203">
        <v>0.005</v>
      </c>
      <c r="P286" s="174"/>
    </row>
    <row r="287" spans="1:16" ht="12">
      <c r="A287" s="1"/>
      <c r="B287" s="175"/>
      <c r="C287" s="84" t="s">
        <v>150</v>
      </c>
      <c r="D287" s="84" t="s">
        <v>151</v>
      </c>
      <c r="E287" s="168">
        <v>0.329</v>
      </c>
      <c r="F287" s="167">
        <v>0.321</v>
      </c>
      <c r="G287" s="168">
        <v>0.008</v>
      </c>
      <c r="H287" s="174"/>
      <c r="J287" s="175"/>
      <c r="K287" s="201" t="s">
        <v>244</v>
      </c>
      <c r="L287" s="201" t="s">
        <v>245</v>
      </c>
      <c r="M287" s="203">
        <v>0.011</v>
      </c>
      <c r="N287" s="203">
        <v>0.008</v>
      </c>
      <c r="O287" s="203">
        <v>0.002</v>
      </c>
      <c r="P287" s="174"/>
    </row>
    <row r="288" spans="1:16" ht="12">
      <c r="A288" s="1"/>
      <c r="B288" s="175"/>
      <c r="C288" s="84" t="s">
        <v>234</v>
      </c>
      <c r="D288" s="84" t="s">
        <v>235</v>
      </c>
      <c r="E288" s="168">
        <v>0.008</v>
      </c>
      <c r="F288" s="168">
        <v>0.003</v>
      </c>
      <c r="G288" s="168">
        <v>0.005</v>
      </c>
      <c r="H288" s="174"/>
      <c r="J288" s="175"/>
      <c r="K288" s="201" t="s">
        <v>196</v>
      </c>
      <c r="L288" s="201" t="s">
        <v>197</v>
      </c>
      <c r="M288" s="203">
        <v>0.01</v>
      </c>
      <c r="N288" s="203">
        <v>0.01</v>
      </c>
      <c r="O288" s="203">
        <v>0</v>
      </c>
      <c r="P288" s="174"/>
    </row>
    <row r="289" spans="1:16" ht="12">
      <c r="A289" s="1"/>
      <c r="B289" s="175"/>
      <c r="C289" s="84" t="s">
        <v>236</v>
      </c>
      <c r="D289" s="84" t="s">
        <v>237</v>
      </c>
      <c r="E289" s="168">
        <v>0.019</v>
      </c>
      <c r="F289" s="168">
        <v>0.002</v>
      </c>
      <c r="G289" s="168">
        <v>0.016</v>
      </c>
      <c r="H289" s="174"/>
      <c r="J289" s="175"/>
      <c r="K289" s="201" t="s">
        <v>222</v>
      </c>
      <c r="L289" s="201" t="s">
        <v>223</v>
      </c>
      <c r="M289" s="203">
        <v>0.01</v>
      </c>
      <c r="N289" s="203">
        <v>0.007</v>
      </c>
      <c r="O289" s="203">
        <v>0.003</v>
      </c>
      <c r="P289" s="174"/>
    </row>
    <row r="290" spans="1:16" ht="12">
      <c r="A290" s="1"/>
      <c r="B290" s="175"/>
      <c r="C290" s="84" t="s">
        <v>188</v>
      </c>
      <c r="D290" s="84" t="s">
        <v>189</v>
      </c>
      <c r="E290" s="168">
        <v>0.062</v>
      </c>
      <c r="F290" s="168">
        <v>0.007</v>
      </c>
      <c r="G290" s="167">
        <v>0.055</v>
      </c>
      <c r="H290" s="174"/>
      <c r="J290" s="175"/>
      <c r="K290" s="201" t="s">
        <v>228</v>
      </c>
      <c r="L290" s="201" t="s">
        <v>229</v>
      </c>
      <c r="M290" s="203">
        <v>0.01</v>
      </c>
      <c r="N290" s="203">
        <v>0.01</v>
      </c>
      <c r="O290" s="203">
        <v>0</v>
      </c>
      <c r="P290" s="174"/>
    </row>
    <row r="291" spans="1:16" ht="12">
      <c r="A291" s="1"/>
      <c r="B291" s="175"/>
      <c r="C291" s="84" t="s">
        <v>238</v>
      </c>
      <c r="D291" s="84" t="s">
        <v>239</v>
      </c>
      <c r="E291" s="85">
        <v>0</v>
      </c>
      <c r="F291" s="85">
        <v>0</v>
      </c>
      <c r="G291" s="85">
        <v>0</v>
      </c>
      <c r="H291" s="174"/>
      <c r="J291" s="175"/>
      <c r="K291" s="201" t="s">
        <v>234</v>
      </c>
      <c r="L291" s="201" t="s">
        <v>235</v>
      </c>
      <c r="M291" s="203">
        <v>0.008</v>
      </c>
      <c r="N291" s="203">
        <v>0.003</v>
      </c>
      <c r="O291" s="203">
        <v>0.005</v>
      </c>
      <c r="P291" s="174"/>
    </row>
    <row r="292" spans="1:16" ht="12">
      <c r="A292" s="1"/>
      <c r="B292" s="175"/>
      <c r="C292" s="84" t="s">
        <v>240</v>
      </c>
      <c r="D292" s="84" t="s">
        <v>241</v>
      </c>
      <c r="E292" s="168">
        <v>0.003</v>
      </c>
      <c r="F292" s="168">
        <v>0.003</v>
      </c>
      <c r="G292" s="85">
        <v>0</v>
      </c>
      <c r="H292" s="174"/>
      <c r="J292" s="175"/>
      <c r="K292" s="201" t="s">
        <v>208</v>
      </c>
      <c r="L292" s="201" t="s">
        <v>209</v>
      </c>
      <c r="M292" s="203">
        <v>0.007</v>
      </c>
      <c r="N292" s="203">
        <v>0.007</v>
      </c>
      <c r="O292" s="203">
        <v>0</v>
      </c>
      <c r="P292" s="174"/>
    </row>
    <row r="293" spans="1:16" ht="12">
      <c r="A293" s="1"/>
      <c r="B293" s="175"/>
      <c r="C293" s="84" t="s">
        <v>242</v>
      </c>
      <c r="D293" s="84" t="s">
        <v>243</v>
      </c>
      <c r="E293" s="168">
        <v>0.006</v>
      </c>
      <c r="F293" s="168">
        <v>0.005</v>
      </c>
      <c r="G293" s="85">
        <v>0</v>
      </c>
      <c r="H293" s="174"/>
      <c r="J293" s="175"/>
      <c r="K293" s="201" t="s">
        <v>242</v>
      </c>
      <c r="L293" s="201" t="s">
        <v>243</v>
      </c>
      <c r="M293" s="203">
        <v>0.006</v>
      </c>
      <c r="N293" s="203">
        <v>0.005</v>
      </c>
      <c r="O293" s="203">
        <v>0</v>
      </c>
      <c r="P293" s="174"/>
    </row>
    <row r="294" spans="1:16" ht="12">
      <c r="A294" s="1"/>
      <c r="B294" s="175"/>
      <c r="C294" s="84" t="s">
        <v>246</v>
      </c>
      <c r="D294" s="84" t="s">
        <v>247</v>
      </c>
      <c r="E294" s="85">
        <v>0</v>
      </c>
      <c r="F294" s="85">
        <v>0</v>
      </c>
      <c r="G294" s="85">
        <v>0</v>
      </c>
      <c r="H294" s="174"/>
      <c r="J294" s="175"/>
      <c r="K294" s="201" t="s">
        <v>148</v>
      </c>
      <c r="L294" s="201" t="s">
        <v>149</v>
      </c>
      <c r="M294" s="203">
        <v>0.005</v>
      </c>
      <c r="N294" s="203">
        <v>0.003</v>
      </c>
      <c r="O294" s="203">
        <v>0.002</v>
      </c>
      <c r="P294" s="174"/>
    </row>
    <row r="295" spans="1:16" ht="12">
      <c r="A295" s="1"/>
      <c r="B295" s="175"/>
      <c r="C295" s="84" t="s">
        <v>248</v>
      </c>
      <c r="D295" s="84" t="s">
        <v>249</v>
      </c>
      <c r="E295" s="168">
        <v>0.014</v>
      </c>
      <c r="F295" s="168">
        <v>0.014</v>
      </c>
      <c r="G295" s="85">
        <v>0</v>
      </c>
      <c r="H295" s="174"/>
      <c r="J295" s="175"/>
      <c r="K295" s="201" t="s">
        <v>136</v>
      </c>
      <c r="L295" s="201" t="s">
        <v>137</v>
      </c>
      <c r="M295" s="203">
        <v>0.003</v>
      </c>
      <c r="N295" s="203">
        <v>0.003</v>
      </c>
      <c r="O295" s="203">
        <v>0</v>
      </c>
      <c r="P295" s="174"/>
    </row>
    <row r="296" spans="1:16" ht="12">
      <c r="A296" s="1"/>
      <c r="B296" s="175"/>
      <c r="C296" s="84" t="s">
        <v>244</v>
      </c>
      <c r="D296" s="84" t="s">
        <v>245</v>
      </c>
      <c r="E296" s="168">
        <v>0.011</v>
      </c>
      <c r="F296" s="168">
        <v>0.008</v>
      </c>
      <c r="G296" s="168">
        <v>0.002</v>
      </c>
      <c r="H296" s="174"/>
      <c r="J296" s="175"/>
      <c r="K296" s="201" t="s">
        <v>240</v>
      </c>
      <c r="L296" s="201" t="s">
        <v>241</v>
      </c>
      <c r="M296" s="203">
        <v>0.003</v>
      </c>
      <c r="N296" s="203">
        <v>0.003</v>
      </c>
      <c r="O296" s="203">
        <v>0</v>
      </c>
      <c r="P296" s="174"/>
    </row>
    <row r="297" spans="1:16" ht="12">
      <c r="A297" s="1"/>
      <c r="B297" s="175"/>
      <c r="C297" s="84" t="s">
        <v>146</v>
      </c>
      <c r="D297" s="84" t="s">
        <v>147</v>
      </c>
      <c r="E297" s="168">
        <v>0.376</v>
      </c>
      <c r="F297" s="168">
        <v>0.374</v>
      </c>
      <c r="G297" s="168">
        <v>0.002</v>
      </c>
      <c r="H297" s="174"/>
      <c r="J297" s="175"/>
      <c r="K297" s="201" t="s">
        <v>250</v>
      </c>
      <c r="L297" s="201" t="s">
        <v>251</v>
      </c>
      <c r="M297" s="203">
        <v>0.003</v>
      </c>
      <c r="N297" s="203">
        <v>0.003</v>
      </c>
      <c r="O297" s="203">
        <v>0.001</v>
      </c>
      <c r="P297" s="174"/>
    </row>
    <row r="298" spans="1:16" ht="12">
      <c r="A298" s="1"/>
      <c r="B298" s="175"/>
      <c r="C298" s="84" t="s">
        <v>192</v>
      </c>
      <c r="D298" s="84" t="s">
        <v>193</v>
      </c>
      <c r="E298" s="168">
        <v>0.054</v>
      </c>
      <c r="F298" s="168">
        <v>0.054</v>
      </c>
      <c r="G298" s="85">
        <v>0</v>
      </c>
      <c r="H298" s="174"/>
      <c r="J298" s="175"/>
      <c r="K298" s="201" t="s">
        <v>132</v>
      </c>
      <c r="L298" s="201" t="s">
        <v>133</v>
      </c>
      <c r="M298" s="203">
        <v>0.002</v>
      </c>
      <c r="N298" s="203">
        <v>0.001</v>
      </c>
      <c r="O298" s="203">
        <v>0.001</v>
      </c>
      <c r="P298" s="174"/>
    </row>
    <row r="299" spans="1:16" ht="12">
      <c r="A299" s="1"/>
      <c r="B299" s="175"/>
      <c r="C299" s="84" t="s">
        <v>168</v>
      </c>
      <c r="D299" s="84" t="s">
        <v>169</v>
      </c>
      <c r="E299" s="168">
        <v>0.099</v>
      </c>
      <c r="F299" s="168">
        <v>0.099</v>
      </c>
      <c r="G299" s="85">
        <v>0</v>
      </c>
      <c r="H299" s="174"/>
      <c r="J299" s="175"/>
      <c r="K299" s="201" t="s">
        <v>176</v>
      </c>
      <c r="L299" s="201" t="s">
        <v>177</v>
      </c>
      <c r="M299" s="203">
        <v>0.002</v>
      </c>
      <c r="N299" s="203">
        <v>0</v>
      </c>
      <c r="O299" s="203">
        <v>0.001</v>
      </c>
      <c r="P299" s="174"/>
    </row>
    <row r="300" spans="1:16" ht="12">
      <c r="A300" s="1"/>
      <c r="B300" s="175"/>
      <c r="C300" s="84" t="s">
        <v>200</v>
      </c>
      <c r="D300" s="84" t="s">
        <v>201</v>
      </c>
      <c r="E300" s="168">
        <v>0.037</v>
      </c>
      <c r="F300" s="168">
        <v>0.037</v>
      </c>
      <c r="G300" s="85">
        <v>0</v>
      </c>
      <c r="H300" s="174"/>
      <c r="J300" s="175"/>
      <c r="K300" s="201" t="s">
        <v>204</v>
      </c>
      <c r="L300" s="201" t="s">
        <v>205</v>
      </c>
      <c r="M300" s="203">
        <v>0.002</v>
      </c>
      <c r="N300" s="203">
        <v>0.002</v>
      </c>
      <c r="O300" s="203">
        <v>-0.001</v>
      </c>
      <c r="P300" s="174"/>
    </row>
    <row r="301" spans="1:16" ht="12">
      <c r="A301" s="1"/>
      <c r="B301" s="175"/>
      <c r="C301" s="84" t="s">
        <v>216</v>
      </c>
      <c r="D301" s="84" t="s">
        <v>217</v>
      </c>
      <c r="E301" s="168">
        <v>0.022</v>
      </c>
      <c r="F301" s="168">
        <v>0.021</v>
      </c>
      <c r="G301" s="168">
        <v>0.001</v>
      </c>
      <c r="H301" s="174"/>
      <c r="J301" s="175"/>
      <c r="K301" s="201" t="s">
        <v>230</v>
      </c>
      <c r="L301" s="201" t="s">
        <v>231</v>
      </c>
      <c r="M301" s="203">
        <v>0.002</v>
      </c>
      <c r="N301" s="203">
        <v>0.002</v>
      </c>
      <c r="O301" s="203">
        <v>0</v>
      </c>
      <c r="P301" s="174"/>
    </row>
    <row r="302" spans="1:16" ht="12">
      <c r="A302" s="1"/>
      <c r="B302" s="175"/>
      <c r="C302" s="84" t="s">
        <v>226</v>
      </c>
      <c r="D302" s="84" t="s">
        <v>227</v>
      </c>
      <c r="E302" s="168">
        <v>0.014</v>
      </c>
      <c r="F302" s="168">
        <v>0.014</v>
      </c>
      <c r="G302" s="85">
        <v>0</v>
      </c>
      <c r="H302" s="174"/>
      <c r="J302" s="175"/>
      <c r="K302" s="201" t="s">
        <v>156</v>
      </c>
      <c r="L302" s="201" t="s">
        <v>157</v>
      </c>
      <c r="M302" s="203">
        <v>0.001</v>
      </c>
      <c r="N302" s="203">
        <v>0.002</v>
      </c>
      <c r="O302" s="203">
        <v>-0.001</v>
      </c>
      <c r="P302" s="174"/>
    </row>
    <row r="303" spans="1:16" ht="12">
      <c r="A303" s="1"/>
      <c r="B303" s="175"/>
      <c r="C303" s="84" t="s">
        <v>232</v>
      </c>
      <c r="D303" s="84" t="s">
        <v>233</v>
      </c>
      <c r="E303" s="168">
        <v>0.014</v>
      </c>
      <c r="F303" s="168">
        <v>0.014</v>
      </c>
      <c r="G303" s="85">
        <v>0</v>
      </c>
      <c r="H303" s="174"/>
      <c r="J303" s="175"/>
      <c r="K303" s="201" t="s">
        <v>214</v>
      </c>
      <c r="L303" s="201" t="s">
        <v>215</v>
      </c>
      <c r="M303" s="203">
        <v>0.001</v>
      </c>
      <c r="N303" s="203">
        <v>0.001</v>
      </c>
      <c r="O303" s="203">
        <v>0</v>
      </c>
      <c r="P303" s="174"/>
    </row>
    <row r="304" spans="1:16" ht="12">
      <c r="A304" s="1"/>
      <c r="B304" s="175"/>
      <c r="C304" s="84" t="s">
        <v>250</v>
      </c>
      <c r="D304" s="84" t="s">
        <v>251</v>
      </c>
      <c r="E304" s="168">
        <v>0.003</v>
      </c>
      <c r="F304" s="168">
        <v>0.003</v>
      </c>
      <c r="G304" s="85">
        <v>0.001</v>
      </c>
      <c r="H304" s="174"/>
      <c r="J304" s="175"/>
      <c r="K304" s="201" t="s">
        <v>238</v>
      </c>
      <c r="L304" s="201" t="s">
        <v>239</v>
      </c>
      <c r="M304" s="203">
        <v>0</v>
      </c>
      <c r="N304" s="203">
        <v>0</v>
      </c>
      <c r="O304" s="203">
        <v>0</v>
      </c>
      <c r="P304" s="174"/>
    </row>
    <row r="305" spans="1:16" ht="12">
      <c r="A305" s="1"/>
      <c r="B305" s="175"/>
      <c r="C305" s="84" t="s">
        <v>224</v>
      </c>
      <c r="D305" s="84" t="s">
        <v>225</v>
      </c>
      <c r="E305" s="168">
        <v>0.02</v>
      </c>
      <c r="F305" s="168">
        <v>0.02</v>
      </c>
      <c r="G305" s="85">
        <v>0</v>
      </c>
      <c r="H305" s="174"/>
      <c r="J305" s="175"/>
      <c r="K305" s="201" t="s">
        <v>246</v>
      </c>
      <c r="L305" s="201" t="s">
        <v>247</v>
      </c>
      <c r="M305" s="203">
        <v>0</v>
      </c>
      <c r="N305" s="203">
        <v>0</v>
      </c>
      <c r="O305" s="203">
        <v>0</v>
      </c>
      <c r="P305" s="174"/>
    </row>
    <row r="306" spans="1:16" ht="12">
      <c r="A306" s="1"/>
      <c r="B306" s="175"/>
      <c r="C306" s="84" t="s">
        <v>252</v>
      </c>
      <c r="D306" s="84" t="s">
        <v>253</v>
      </c>
      <c r="E306" s="85">
        <v>0</v>
      </c>
      <c r="F306" s="85">
        <v>0</v>
      </c>
      <c r="G306" s="85">
        <v>0</v>
      </c>
      <c r="H306" s="174"/>
      <c r="J306" s="175"/>
      <c r="K306" s="201" t="s">
        <v>252</v>
      </c>
      <c r="L306" s="201" t="s">
        <v>253</v>
      </c>
      <c r="M306" s="203">
        <v>0</v>
      </c>
      <c r="N306" s="203">
        <v>0</v>
      </c>
      <c r="O306" s="203">
        <v>0</v>
      </c>
      <c r="P306" s="174"/>
    </row>
    <row r="307" spans="1:16" ht="12">
      <c r="A307" s="1"/>
      <c r="B307" s="175"/>
      <c r="C307" s="173"/>
      <c r="D307" s="173"/>
      <c r="E307" s="173"/>
      <c r="F307" s="173"/>
      <c r="G307" s="173"/>
      <c r="H307" s="174"/>
      <c r="J307" s="175"/>
      <c r="K307" s="173"/>
      <c r="L307" s="173"/>
      <c r="M307" s="173"/>
      <c r="N307" s="173"/>
      <c r="O307" s="173"/>
      <c r="P307" s="174"/>
    </row>
    <row r="308" spans="1:16" ht="12">
      <c r="A308" s="1"/>
      <c r="B308" s="175"/>
      <c r="C308" s="11" t="s">
        <v>38</v>
      </c>
      <c r="D308" s="173"/>
      <c r="E308" s="173"/>
      <c r="F308" s="173"/>
      <c r="G308" s="173"/>
      <c r="H308" s="174"/>
      <c r="J308" s="175"/>
      <c r="K308" s="11" t="s">
        <v>38</v>
      </c>
      <c r="L308" s="173"/>
      <c r="M308" s="173"/>
      <c r="N308" s="173"/>
      <c r="O308" s="173"/>
      <c r="P308" s="174"/>
    </row>
    <row r="309" spans="1:16" ht="12">
      <c r="A309" s="1"/>
      <c r="B309" s="175"/>
      <c r="C309" s="11" t="s">
        <v>36</v>
      </c>
      <c r="D309" s="11" t="s">
        <v>39</v>
      </c>
      <c r="E309" s="173"/>
      <c r="F309" s="173"/>
      <c r="G309" s="173"/>
      <c r="H309" s="174"/>
      <c r="J309" s="175"/>
      <c r="K309" s="11" t="s">
        <v>36</v>
      </c>
      <c r="L309" s="11" t="s">
        <v>39</v>
      </c>
      <c r="M309" s="173"/>
      <c r="N309" s="173"/>
      <c r="O309" s="173"/>
      <c r="P309" s="174"/>
    </row>
    <row r="310" spans="1:16" ht="12">
      <c r="A310" s="1"/>
      <c r="B310" s="175"/>
      <c r="C310" s="173"/>
      <c r="D310" s="173"/>
      <c r="E310" s="173"/>
      <c r="F310" s="173"/>
      <c r="G310" s="173"/>
      <c r="H310" s="174"/>
      <c r="J310" s="175"/>
      <c r="K310" s="173"/>
      <c r="L310" s="173"/>
      <c r="M310" s="173"/>
      <c r="N310" s="173"/>
      <c r="O310" s="173"/>
      <c r="P310" s="174"/>
    </row>
    <row r="311" spans="1:16" ht="12">
      <c r="A311" s="1"/>
      <c r="B311" s="175"/>
      <c r="C311" s="11" t="s">
        <v>15</v>
      </c>
      <c r="D311" s="11" t="s">
        <v>303</v>
      </c>
      <c r="E311" s="173"/>
      <c r="F311" s="173"/>
      <c r="G311" s="173"/>
      <c r="H311" s="174"/>
      <c r="J311" s="175"/>
      <c r="K311" s="11" t="str">
        <f>C311</f>
        <v>GEO</v>
      </c>
      <c r="L311" s="11" t="str">
        <f>D311</f>
        <v>EU27_2020 - European Union - 27 countries (from 2020)</v>
      </c>
      <c r="M311" s="173"/>
      <c r="N311" s="173"/>
      <c r="O311" s="173"/>
      <c r="P311" s="174"/>
    </row>
    <row r="312" spans="1:16" ht="12">
      <c r="A312" s="1"/>
      <c r="B312" s="175"/>
      <c r="C312" s="11" t="s">
        <v>13</v>
      </c>
      <c r="D312" s="11" t="s">
        <v>114</v>
      </c>
      <c r="E312" s="173"/>
      <c r="F312" s="173"/>
      <c r="G312" s="173"/>
      <c r="H312" s="174"/>
      <c r="J312" s="175"/>
      <c r="K312" s="11" t="str">
        <f aca="true" t="shared" si="16" ref="K312:K314">C312</f>
        <v>UNIT</v>
      </c>
      <c r="L312" s="11" t="str">
        <f aca="true" t="shared" si="17" ref="L312:L314">D312</f>
        <v>Tonnes per capita</v>
      </c>
      <c r="M312" s="173"/>
      <c r="N312" s="173"/>
      <c r="O312" s="173"/>
      <c r="P312" s="174"/>
    </row>
    <row r="313" spans="1:16" ht="12">
      <c r="A313" s="1"/>
      <c r="B313" s="175"/>
      <c r="C313" s="11" t="s">
        <v>118</v>
      </c>
      <c r="D313" s="219">
        <f>Cover!C1</f>
        <v>2019</v>
      </c>
      <c r="E313" s="173"/>
      <c r="F313" s="173"/>
      <c r="G313" s="173"/>
      <c r="H313" s="174"/>
      <c r="J313" s="175"/>
      <c r="K313" s="11" t="str">
        <f t="shared" si="16"/>
        <v>TIME</v>
      </c>
      <c r="L313" s="11">
        <f t="shared" si="17"/>
        <v>2019</v>
      </c>
      <c r="M313" s="173"/>
      <c r="N313" s="173"/>
      <c r="O313" s="173"/>
      <c r="P313" s="174"/>
    </row>
    <row r="314" spans="1:16" ht="12">
      <c r="A314" s="1"/>
      <c r="B314" s="175"/>
      <c r="C314" s="11" t="s">
        <v>78</v>
      </c>
      <c r="D314" s="11" t="s">
        <v>257</v>
      </c>
      <c r="E314" s="173"/>
      <c r="F314" s="173"/>
      <c r="G314" s="173"/>
      <c r="H314" s="174"/>
      <c r="J314" s="175"/>
      <c r="K314" s="11" t="str">
        <f t="shared" si="16"/>
        <v>MATERIAL</v>
      </c>
      <c r="L314" s="11" t="str">
        <f t="shared" si="17"/>
        <v>MF4 - Fossil energy materials/carriers</v>
      </c>
      <c r="M314" s="173"/>
      <c r="N314" s="173"/>
      <c r="O314" s="173"/>
      <c r="P314" s="174"/>
    </row>
    <row r="315" spans="1:16" ht="12">
      <c r="A315" s="1"/>
      <c r="B315" s="175"/>
      <c r="C315" s="173"/>
      <c r="D315" s="173"/>
      <c r="E315" s="173"/>
      <c r="F315" s="173"/>
      <c r="G315" s="173"/>
      <c r="H315" s="174"/>
      <c r="J315" s="175"/>
      <c r="K315" s="173"/>
      <c r="L315" s="173"/>
      <c r="M315" s="173"/>
      <c r="N315" s="173"/>
      <c r="O315" s="173"/>
      <c r="P315" s="174"/>
    </row>
    <row r="316" spans="1:16" ht="12">
      <c r="A316" s="1"/>
      <c r="B316" s="175"/>
      <c r="C316" s="84" t="s">
        <v>120</v>
      </c>
      <c r="D316" s="84" t="s">
        <v>115</v>
      </c>
      <c r="E316" s="84" t="s">
        <v>93</v>
      </c>
      <c r="F316" s="84" t="s">
        <v>121</v>
      </c>
      <c r="G316" s="84" t="s">
        <v>122</v>
      </c>
      <c r="H316" s="174"/>
      <c r="J316" s="175"/>
      <c r="K316" s="196" t="s">
        <v>120</v>
      </c>
      <c r="L316" s="198" t="str">
        <f aca="true" t="shared" si="18" ref="L316:O316">D316</f>
        <v>INDIC_ENV</v>
      </c>
      <c r="M316" s="198" t="str">
        <f t="shared" si="18"/>
        <v>RMC</v>
      </c>
      <c r="N316" s="198" t="str">
        <f t="shared" si="18"/>
        <v>RMC_P3</v>
      </c>
      <c r="O316" s="198" t="str">
        <f t="shared" si="18"/>
        <v>RMC_P5</v>
      </c>
      <c r="P316" s="174"/>
    </row>
    <row r="317" spans="1:16" ht="12">
      <c r="A317" s="1"/>
      <c r="B317" s="175"/>
      <c r="C317" s="84" t="s">
        <v>123</v>
      </c>
      <c r="D317" s="84" t="s">
        <v>124</v>
      </c>
      <c r="E317" s="84" t="s">
        <v>113</v>
      </c>
      <c r="F317" s="84" t="s">
        <v>125</v>
      </c>
      <c r="G317" s="84" t="s">
        <v>126</v>
      </c>
      <c r="H317" s="174"/>
      <c r="J317" s="175"/>
      <c r="K317" s="197" t="str">
        <f aca="true" t="shared" si="19" ref="K317:O318">C317</f>
        <v>CPA08</v>
      </c>
      <c r="L317" s="199" t="str">
        <f t="shared" si="19"/>
        <v>CPA08(L)/INDIC_ENV(L)</v>
      </c>
      <c r="M317" s="199" t="str">
        <f t="shared" si="19"/>
        <v xml:space="preserve">Raw material consumption </v>
      </c>
      <c r="N317" s="199" t="str">
        <f t="shared" si="19"/>
        <v>Raw material consumption as result of final consumption expenditure</v>
      </c>
      <c r="O317" s="199" t="str">
        <f t="shared" si="19"/>
        <v xml:space="preserve">Raw material consumption as result of gross capital formation </v>
      </c>
      <c r="P317" s="174"/>
    </row>
    <row r="318" spans="1:16" ht="12">
      <c r="A318" s="1"/>
      <c r="B318" s="175"/>
      <c r="C318" s="84" t="s">
        <v>82</v>
      </c>
      <c r="D318" s="84" t="s">
        <v>127</v>
      </c>
      <c r="E318" s="168">
        <v>3.066</v>
      </c>
      <c r="F318" s="168">
        <v>2.416</v>
      </c>
      <c r="G318" s="168">
        <v>0.649</v>
      </c>
      <c r="H318" s="174"/>
      <c r="J318" s="175"/>
      <c r="K318" s="200" t="str">
        <f t="shared" si="19"/>
        <v>TOTAL</v>
      </c>
      <c r="L318" s="200" t="str">
        <f t="shared" si="19"/>
        <v>Total CPA products</v>
      </c>
      <c r="M318" s="202">
        <f t="shared" si="19"/>
        <v>3.066</v>
      </c>
      <c r="N318" s="202">
        <f t="shared" si="19"/>
        <v>2.416</v>
      </c>
      <c r="O318" s="202">
        <f t="shared" si="19"/>
        <v>0.649</v>
      </c>
      <c r="P318" s="174"/>
    </row>
    <row r="319" spans="1:16" ht="12">
      <c r="A319" s="1"/>
      <c r="B319" s="175"/>
      <c r="C319" s="84" t="s">
        <v>128</v>
      </c>
      <c r="D319" s="84" t="s">
        <v>129</v>
      </c>
      <c r="E319" s="168">
        <v>0.027</v>
      </c>
      <c r="F319" s="168">
        <v>0.022</v>
      </c>
      <c r="G319" s="168">
        <v>0.005</v>
      </c>
      <c r="H319" s="174"/>
      <c r="J319" s="175"/>
      <c r="K319" s="201" t="s">
        <v>160</v>
      </c>
      <c r="L319" s="201" t="s">
        <v>161</v>
      </c>
      <c r="M319" s="203">
        <v>0.475</v>
      </c>
      <c r="N319" s="203">
        <v>0.461</v>
      </c>
      <c r="O319" s="203">
        <v>0.014</v>
      </c>
      <c r="P319" s="174"/>
    </row>
    <row r="320" spans="1:16" ht="12">
      <c r="A320" s="1"/>
      <c r="B320" s="175"/>
      <c r="C320" s="84" t="s">
        <v>132</v>
      </c>
      <c r="D320" s="84" t="s">
        <v>133</v>
      </c>
      <c r="E320" s="168">
        <v>0.003</v>
      </c>
      <c r="F320" s="168">
        <v>0.002</v>
      </c>
      <c r="G320" s="168">
        <v>0.001</v>
      </c>
      <c r="H320" s="174"/>
      <c r="J320" s="175"/>
      <c r="K320" s="201" t="s">
        <v>140</v>
      </c>
      <c r="L320" s="201" t="s">
        <v>141</v>
      </c>
      <c r="M320" s="203">
        <v>0.407</v>
      </c>
      <c r="N320" s="203">
        <v>0.408</v>
      </c>
      <c r="O320" s="203">
        <v>0</v>
      </c>
      <c r="P320" s="174"/>
    </row>
    <row r="321" spans="1:16" ht="12">
      <c r="A321" s="1"/>
      <c r="B321" s="175"/>
      <c r="C321" s="84" t="s">
        <v>136</v>
      </c>
      <c r="D321" s="84" t="s">
        <v>137</v>
      </c>
      <c r="E321" s="168">
        <v>0.004</v>
      </c>
      <c r="F321" s="168">
        <v>0.004</v>
      </c>
      <c r="G321" s="168">
        <v>0</v>
      </c>
      <c r="H321" s="174"/>
      <c r="J321" s="175"/>
      <c r="K321" s="201" t="s">
        <v>138</v>
      </c>
      <c r="L321" s="201" t="s">
        <v>139</v>
      </c>
      <c r="M321" s="203">
        <v>0.299</v>
      </c>
      <c r="N321" s="203">
        <v>0.233</v>
      </c>
      <c r="O321" s="203">
        <v>0.066</v>
      </c>
      <c r="P321" s="174"/>
    </row>
    <row r="322" spans="1:16" ht="12">
      <c r="A322" s="1"/>
      <c r="B322" s="175"/>
      <c r="C322" s="84" t="s">
        <v>138</v>
      </c>
      <c r="D322" s="84" t="s">
        <v>139</v>
      </c>
      <c r="E322" s="168">
        <v>0.299</v>
      </c>
      <c r="F322" s="168">
        <v>0.233</v>
      </c>
      <c r="G322" s="168">
        <v>0.066</v>
      </c>
      <c r="H322" s="174"/>
      <c r="J322" s="175"/>
      <c r="K322" s="201" t="s">
        <v>130</v>
      </c>
      <c r="L322" s="201" t="s">
        <v>131</v>
      </c>
      <c r="M322" s="203">
        <v>0.216</v>
      </c>
      <c r="N322" s="203">
        <v>0.01</v>
      </c>
      <c r="O322" s="203">
        <v>0.206</v>
      </c>
      <c r="P322" s="174"/>
    </row>
    <row r="323" spans="1:16" ht="12">
      <c r="A323" s="1"/>
      <c r="B323" s="175"/>
      <c r="C323" s="84" t="s">
        <v>134</v>
      </c>
      <c r="D323" s="84" t="s">
        <v>135</v>
      </c>
      <c r="E323" s="168">
        <v>0.195</v>
      </c>
      <c r="F323" s="168">
        <v>0.188</v>
      </c>
      <c r="G323" s="168">
        <v>0.007</v>
      </c>
      <c r="H323" s="174"/>
      <c r="J323" s="175"/>
      <c r="K323" s="201" t="s">
        <v>134</v>
      </c>
      <c r="L323" s="201" t="s">
        <v>135</v>
      </c>
      <c r="M323" s="203">
        <v>0.195</v>
      </c>
      <c r="N323" s="203">
        <v>0.188</v>
      </c>
      <c r="O323" s="203">
        <v>0.007</v>
      </c>
      <c r="P323" s="174"/>
    </row>
    <row r="324" spans="1:16" ht="12">
      <c r="A324" s="1"/>
      <c r="B324" s="175"/>
      <c r="C324" s="84" t="s">
        <v>144</v>
      </c>
      <c r="D324" s="84" t="s">
        <v>145</v>
      </c>
      <c r="E324" s="167">
        <v>0.039</v>
      </c>
      <c r="F324" s="167">
        <v>0.034</v>
      </c>
      <c r="G324" s="168">
        <v>0.004</v>
      </c>
      <c r="H324" s="174"/>
      <c r="J324" s="175"/>
      <c r="K324" s="201" t="s">
        <v>154</v>
      </c>
      <c r="L324" s="201" t="s">
        <v>155</v>
      </c>
      <c r="M324" s="203">
        <v>0.148</v>
      </c>
      <c r="N324" s="203">
        <v>0.143</v>
      </c>
      <c r="O324" s="203">
        <v>0.005</v>
      </c>
      <c r="P324" s="174"/>
    </row>
    <row r="325" spans="1:16" ht="12">
      <c r="A325" s="1"/>
      <c r="B325" s="175"/>
      <c r="C325" s="84" t="s">
        <v>148</v>
      </c>
      <c r="D325" s="84" t="s">
        <v>149</v>
      </c>
      <c r="E325" s="168">
        <v>0.005</v>
      </c>
      <c r="F325" s="168">
        <v>0.003</v>
      </c>
      <c r="G325" s="168">
        <v>0.002</v>
      </c>
      <c r="H325" s="174"/>
      <c r="J325" s="175"/>
      <c r="K325" s="201" t="s">
        <v>158</v>
      </c>
      <c r="L325" s="201" t="s">
        <v>159</v>
      </c>
      <c r="M325" s="203">
        <v>0.113</v>
      </c>
      <c r="N325" s="203">
        <v>0.056</v>
      </c>
      <c r="O325" s="203">
        <v>0.058</v>
      </c>
      <c r="P325" s="174"/>
    </row>
    <row r="326" spans="1:16" ht="12">
      <c r="A326" s="1"/>
      <c r="B326" s="175"/>
      <c r="C326" s="84" t="s">
        <v>152</v>
      </c>
      <c r="D326" s="84" t="s">
        <v>153</v>
      </c>
      <c r="E326" s="167">
        <v>0.014</v>
      </c>
      <c r="F326" s="168">
        <v>0.016</v>
      </c>
      <c r="G326" s="168">
        <v>-0.002</v>
      </c>
      <c r="H326" s="174"/>
      <c r="J326" s="175"/>
      <c r="K326" s="201" t="s">
        <v>142</v>
      </c>
      <c r="L326" s="201" t="s">
        <v>143</v>
      </c>
      <c r="M326" s="203">
        <v>0.09</v>
      </c>
      <c r="N326" s="203">
        <v>0.09</v>
      </c>
      <c r="O326" s="203">
        <v>0</v>
      </c>
      <c r="P326" s="174"/>
    </row>
    <row r="327" spans="1:16" ht="12">
      <c r="A327" s="1"/>
      <c r="B327" s="175"/>
      <c r="C327" s="84" t="s">
        <v>156</v>
      </c>
      <c r="D327" s="84" t="s">
        <v>157</v>
      </c>
      <c r="E327" s="168">
        <v>0.001</v>
      </c>
      <c r="F327" s="168">
        <v>0.002</v>
      </c>
      <c r="G327" s="85">
        <v>-0.001</v>
      </c>
      <c r="H327" s="174"/>
      <c r="J327" s="175"/>
      <c r="K327" s="201" t="s">
        <v>178</v>
      </c>
      <c r="L327" s="201" t="s">
        <v>179</v>
      </c>
      <c r="M327" s="203">
        <v>0.088</v>
      </c>
      <c r="N327" s="203">
        <v>0.083</v>
      </c>
      <c r="O327" s="203">
        <v>0.006</v>
      </c>
      <c r="P327" s="174"/>
    </row>
    <row r="328" spans="1:16" ht="12">
      <c r="A328" s="1"/>
      <c r="B328" s="175"/>
      <c r="C328" s="84" t="s">
        <v>160</v>
      </c>
      <c r="D328" s="84" t="s">
        <v>161</v>
      </c>
      <c r="E328" s="168">
        <v>0.475</v>
      </c>
      <c r="F328" s="168">
        <v>0.461</v>
      </c>
      <c r="G328" s="167">
        <v>0.014</v>
      </c>
      <c r="H328" s="174"/>
      <c r="J328" s="175"/>
      <c r="K328" s="201" t="s">
        <v>164</v>
      </c>
      <c r="L328" s="201" t="s">
        <v>165</v>
      </c>
      <c r="M328" s="203">
        <v>0.077</v>
      </c>
      <c r="N328" s="203">
        <v>0.06</v>
      </c>
      <c r="O328" s="203">
        <v>0.017</v>
      </c>
      <c r="P328" s="174"/>
    </row>
    <row r="329" spans="1:16" ht="12">
      <c r="A329" s="1"/>
      <c r="B329" s="175"/>
      <c r="C329" s="84" t="s">
        <v>162</v>
      </c>
      <c r="D329" s="84" t="s">
        <v>163</v>
      </c>
      <c r="E329" s="168">
        <v>0.023</v>
      </c>
      <c r="F329" s="168">
        <v>0.02</v>
      </c>
      <c r="G329" s="168">
        <v>0.003</v>
      </c>
      <c r="H329" s="174"/>
      <c r="J329" s="175"/>
      <c r="K329" s="201" t="s">
        <v>168</v>
      </c>
      <c r="L329" s="201" t="s">
        <v>169</v>
      </c>
      <c r="M329" s="203">
        <v>0.076</v>
      </c>
      <c r="N329" s="203">
        <v>0.076</v>
      </c>
      <c r="O329" s="203">
        <v>0</v>
      </c>
      <c r="P329" s="174"/>
    </row>
    <row r="330" spans="1:16" ht="12">
      <c r="A330" s="1"/>
      <c r="B330" s="175"/>
      <c r="C330" s="84" t="s">
        <v>166</v>
      </c>
      <c r="D330" s="84" t="s">
        <v>167</v>
      </c>
      <c r="E330" s="168">
        <v>0.02</v>
      </c>
      <c r="F330" s="167">
        <v>0.025</v>
      </c>
      <c r="G330" s="168">
        <v>-0.006</v>
      </c>
      <c r="H330" s="174"/>
      <c r="J330" s="175"/>
      <c r="K330" s="201" t="s">
        <v>150</v>
      </c>
      <c r="L330" s="201" t="s">
        <v>151</v>
      </c>
      <c r="M330" s="203">
        <v>0.071</v>
      </c>
      <c r="N330" s="203">
        <v>0.069</v>
      </c>
      <c r="O330" s="203">
        <v>0.002</v>
      </c>
      <c r="P330" s="174"/>
    </row>
    <row r="331" spans="1:16" ht="12">
      <c r="A331" s="1"/>
      <c r="B331" s="175"/>
      <c r="C331" s="84" t="s">
        <v>170</v>
      </c>
      <c r="D331" s="84" t="s">
        <v>171</v>
      </c>
      <c r="E331" s="168">
        <v>0.012</v>
      </c>
      <c r="F331" s="168">
        <v>0.01</v>
      </c>
      <c r="G331" s="168">
        <v>0.002</v>
      </c>
      <c r="H331" s="174"/>
      <c r="J331" s="175"/>
      <c r="K331" s="201" t="s">
        <v>174</v>
      </c>
      <c r="L331" s="201" t="s">
        <v>175</v>
      </c>
      <c r="M331" s="203">
        <v>0.063</v>
      </c>
      <c r="N331" s="203">
        <v>0.002</v>
      </c>
      <c r="O331" s="203">
        <v>0.061</v>
      </c>
      <c r="P331" s="174"/>
    </row>
    <row r="332" spans="1:16" ht="12">
      <c r="A332" s="1"/>
      <c r="B332" s="175"/>
      <c r="C332" s="84" t="s">
        <v>172</v>
      </c>
      <c r="D332" s="84" t="s">
        <v>173</v>
      </c>
      <c r="E332" s="168">
        <v>0.012</v>
      </c>
      <c r="F332" s="168">
        <v>0.011</v>
      </c>
      <c r="G332" s="168">
        <v>0.001</v>
      </c>
      <c r="H332" s="174"/>
      <c r="J332" s="175"/>
      <c r="K332" s="201" t="s">
        <v>146</v>
      </c>
      <c r="L332" s="201" t="s">
        <v>147</v>
      </c>
      <c r="M332" s="203">
        <v>0.054</v>
      </c>
      <c r="N332" s="203">
        <v>0.054</v>
      </c>
      <c r="O332" s="203">
        <v>0</v>
      </c>
      <c r="P332" s="174"/>
    </row>
    <row r="333" spans="1:16" ht="12">
      <c r="A333" s="1"/>
      <c r="B333" s="175"/>
      <c r="C333" s="84" t="s">
        <v>176</v>
      </c>
      <c r="D333" s="84" t="s">
        <v>177</v>
      </c>
      <c r="E333" s="168">
        <v>0.003</v>
      </c>
      <c r="F333" s="85">
        <v>0</v>
      </c>
      <c r="G333" s="168">
        <v>0.003</v>
      </c>
      <c r="H333" s="174"/>
      <c r="J333" s="175"/>
      <c r="K333" s="201" t="s">
        <v>188</v>
      </c>
      <c r="L333" s="201" t="s">
        <v>189</v>
      </c>
      <c r="M333" s="203">
        <v>0.053</v>
      </c>
      <c r="N333" s="203">
        <v>0.006</v>
      </c>
      <c r="O333" s="203">
        <v>0.047</v>
      </c>
      <c r="P333" s="174"/>
    </row>
    <row r="334" spans="1:16" ht="12">
      <c r="A334" s="1"/>
      <c r="B334" s="175"/>
      <c r="C334" s="84" t="s">
        <v>180</v>
      </c>
      <c r="D334" s="84" t="s">
        <v>181</v>
      </c>
      <c r="E334" s="168">
        <v>0.031</v>
      </c>
      <c r="F334" s="167">
        <v>0.007</v>
      </c>
      <c r="G334" s="168">
        <v>0.024</v>
      </c>
      <c r="H334" s="174"/>
      <c r="J334" s="175"/>
      <c r="K334" s="201" t="s">
        <v>192</v>
      </c>
      <c r="L334" s="201" t="s">
        <v>193</v>
      </c>
      <c r="M334" s="203">
        <v>0.043</v>
      </c>
      <c r="N334" s="203">
        <v>0.043</v>
      </c>
      <c r="O334" s="203">
        <v>0</v>
      </c>
      <c r="P334" s="174"/>
    </row>
    <row r="335" spans="1:16" ht="12">
      <c r="A335" s="1"/>
      <c r="B335" s="175"/>
      <c r="C335" s="84" t="s">
        <v>184</v>
      </c>
      <c r="D335" s="84" t="s">
        <v>185</v>
      </c>
      <c r="E335" s="167">
        <v>0.029</v>
      </c>
      <c r="F335" s="168">
        <v>0.011</v>
      </c>
      <c r="G335" s="168">
        <v>0.018</v>
      </c>
      <c r="H335" s="174"/>
      <c r="J335" s="175"/>
      <c r="K335" s="201" t="s">
        <v>144</v>
      </c>
      <c r="L335" s="201" t="s">
        <v>145</v>
      </c>
      <c r="M335" s="203">
        <v>0.039</v>
      </c>
      <c r="N335" s="203">
        <v>0.034</v>
      </c>
      <c r="O335" s="203">
        <v>0.004</v>
      </c>
      <c r="P335" s="174"/>
    </row>
    <row r="336" spans="1:16" ht="12">
      <c r="A336" s="1"/>
      <c r="B336" s="175"/>
      <c r="C336" s="84" t="s">
        <v>186</v>
      </c>
      <c r="D336" s="84" t="s">
        <v>187</v>
      </c>
      <c r="E336" s="168">
        <v>0.027</v>
      </c>
      <c r="F336" s="168">
        <v>0.012</v>
      </c>
      <c r="G336" s="168">
        <v>0.015</v>
      </c>
      <c r="H336" s="174"/>
      <c r="J336" s="175"/>
      <c r="K336" s="201" t="s">
        <v>182</v>
      </c>
      <c r="L336" s="201" t="s">
        <v>183</v>
      </c>
      <c r="M336" s="203">
        <v>0.035</v>
      </c>
      <c r="N336" s="203">
        <v>0.022</v>
      </c>
      <c r="O336" s="203">
        <v>0.013</v>
      </c>
      <c r="P336" s="174"/>
    </row>
    <row r="337" spans="1:16" ht="12">
      <c r="A337" s="1"/>
      <c r="B337" s="175"/>
      <c r="C337" s="84" t="s">
        <v>174</v>
      </c>
      <c r="D337" s="84" t="s">
        <v>175</v>
      </c>
      <c r="E337" s="168">
        <v>0.063</v>
      </c>
      <c r="F337" s="168">
        <v>0.002</v>
      </c>
      <c r="G337" s="168">
        <v>0.061</v>
      </c>
      <c r="H337" s="174"/>
      <c r="J337" s="175"/>
      <c r="K337" s="201" t="s">
        <v>180</v>
      </c>
      <c r="L337" s="201" t="s">
        <v>181</v>
      </c>
      <c r="M337" s="203">
        <v>0.031</v>
      </c>
      <c r="N337" s="203">
        <v>0.007</v>
      </c>
      <c r="O337" s="203">
        <v>0.024</v>
      </c>
      <c r="P337" s="174"/>
    </row>
    <row r="338" spans="1:16" ht="12">
      <c r="A338" s="1"/>
      <c r="B338" s="175"/>
      <c r="C338" s="84" t="s">
        <v>158</v>
      </c>
      <c r="D338" s="84" t="s">
        <v>159</v>
      </c>
      <c r="E338" s="168">
        <v>0.113</v>
      </c>
      <c r="F338" s="167">
        <v>0.056</v>
      </c>
      <c r="G338" s="168">
        <v>0.058</v>
      </c>
      <c r="H338" s="174"/>
      <c r="J338" s="175"/>
      <c r="K338" s="201" t="s">
        <v>200</v>
      </c>
      <c r="L338" s="201" t="s">
        <v>201</v>
      </c>
      <c r="M338" s="203">
        <v>0.03</v>
      </c>
      <c r="N338" s="203">
        <v>0.03</v>
      </c>
      <c r="O338" s="203">
        <v>0</v>
      </c>
      <c r="P338" s="174"/>
    </row>
    <row r="339" spans="1:16" ht="12">
      <c r="A339" s="1"/>
      <c r="B339" s="175"/>
      <c r="C339" s="84" t="s">
        <v>190</v>
      </c>
      <c r="D339" s="84" t="s">
        <v>191</v>
      </c>
      <c r="E339" s="168">
        <v>0.02</v>
      </c>
      <c r="F339" s="168">
        <v>0.001</v>
      </c>
      <c r="G339" s="168">
        <v>0.019</v>
      </c>
      <c r="H339" s="174"/>
      <c r="J339" s="175"/>
      <c r="K339" s="201" t="s">
        <v>184</v>
      </c>
      <c r="L339" s="201" t="s">
        <v>185</v>
      </c>
      <c r="M339" s="203">
        <v>0.029</v>
      </c>
      <c r="N339" s="203">
        <v>0.011</v>
      </c>
      <c r="O339" s="203">
        <v>0.018</v>
      </c>
      <c r="P339" s="174"/>
    </row>
    <row r="340" spans="1:16" ht="12">
      <c r="A340" s="1"/>
      <c r="B340" s="175"/>
      <c r="C340" s="84" t="s">
        <v>182</v>
      </c>
      <c r="D340" s="84" t="s">
        <v>183</v>
      </c>
      <c r="E340" s="168">
        <v>0.035</v>
      </c>
      <c r="F340" s="168">
        <v>0.022</v>
      </c>
      <c r="G340" s="168">
        <v>0.013</v>
      </c>
      <c r="H340" s="174"/>
      <c r="J340" s="175"/>
      <c r="K340" s="201" t="s">
        <v>128</v>
      </c>
      <c r="L340" s="201" t="s">
        <v>129</v>
      </c>
      <c r="M340" s="203">
        <v>0.027</v>
      </c>
      <c r="N340" s="203">
        <v>0.022</v>
      </c>
      <c r="O340" s="203">
        <v>0.005</v>
      </c>
      <c r="P340" s="174"/>
    </row>
    <row r="341" spans="1:16" ht="12">
      <c r="A341" s="1"/>
      <c r="B341" s="175"/>
      <c r="C341" s="84" t="s">
        <v>194</v>
      </c>
      <c r="D341" s="84" t="s">
        <v>195</v>
      </c>
      <c r="E341" s="168">
        <v>0.02</v>
      </c>
      <c r="F341" s="168">
        <v>0</v>
      </c>
      <c r="G341" s="167">
        <v>0.019</v>
      </c>
      <c r="H341" s="174"/>
      <c r="J341" s="175"/>
      <c r="K341" s="201" t="s">
        <v>186</v>
      </c>
      <c r="L341" s="201" t="s">
        <v>187</v>
      </c>
      <c r="M341" s="203">
        <v>0.027</v>
      </c>
      <c r="N341" s="203">
        <v>0.012</v>
      </c>
      <c r="O341" s="203">
        <v>0.015</v>
      </c>
      <c r="P341" s="174"/>
    </row>
    <row r="342" spans="1:16" ht="12">
      <c r="A342" s="1"/>
      <c r="B342" s="175"/>
      <c r="C342" s="84" t="s">
        <v>140</v>
      </c>
      <c r="D342" s="84" t="s">
        <v>141</v>
      </c>
      <c r="E342" s="168">
        <v>0.407</v>
      </c>
      <c r="F342" s="168">
        <v>0.408</v>
      </c>
      <c r="G342" s="168">
        <v>0</v>
      </c>
      <c r="H342" s="174"/>
      <c r="J342" s="175"/>
      <c r="K342" s="201" t="s">
        <v>202</v>
      </c>
      <c r="L342" s="201" t="s">
        <v>203</v>
      </c>
      <c r="M342" s="203">
        <v>0.024</v>
      </c>
      <c r="N342" s="203">
        <v>0.021</v>
      </c>
      <c r="O342" s="203">
        <v>0.003</v>
      </c>
      <c r="P342" s="174"/>
    </row>
    <row r="343" spans="1:16" ht="12">
      <c r="A343" s="1"/>
      <c r="B343" s="175"/>
      <c r="C343" s="84" t="s">
        <v>196</v>
      </c>
      <c r="D343" s="84" t="s">
        <v>197</v>
      </c>
      <c r="E343" s="168">
        <v>0.008</v>
      </c>
      <c r="F343" s="168">
        <v>0.008</v>
      </c>
      <c r="G343" s="85">
        <v>0</v>
      </c>
      <c r="H343" s="174"/>
      <c r="J343" s="175"/>
      <c r="K343" s="201" t="s">
        <v>162</v>
      </c>
      <c r="L343" s="201" t="s">
        <v>163</v>
      </c>
      <c r="M343" s="203">
        <v>0.023</v>
      </c>
      <c r="N343" s="203">
        <v>0.02</v>
      </c>
      <c r="O343" s="203">
        <v>0.003</v>
      </c>
      <c r="P343" s="174"/>
    </row>
    <row r="344" spans="1:16" ht="12">
      <c r="A344" s="1"/>
      <c r="B344" s="175"/>
      <c r="C344" s="84" t="s">
        <v>198</v>
      </c>
      <c r="D344" s="84" t="s">
        <v>199</v>
      </c>
      <c r="E344" s="168">
        <v>0.008</v>
      </c>
      <c r="F344" s="168">
        <v>0.009</v>
      </c>
      <c r="G344" s="168">
        <v>0</v>
      </c>
      <c r="H344" s="174"/>
      <c r="J344" s="175"/>
      <c r="K344" s="201" t="s">
        <v>166</v>
      </c>
      <c r="L344" s="201" t="s">
        <v>167</v>
      </c>
      <c r="M344" s="203">
        <v>0.02</v>
      </c>
      <c r="N344" s="203">
        <v>0.025</v>
      </c>
      <c r="O344" s="203">
        <v>-0.006</v>
      </c>
      <c r="P344" s="174"/>
    </row>
    <row r="345" spans="1:16" ht="12">
      <c r="A345" s="1"/>
      <c r="B345" s="175"/>
      <c r="C345" s="84" t="s">
        <v>130</v>
      </c>
      <c r="D345" s="84" t="s">
        <v>131</v>
      </c>
      <c r="E345" s="167">
        <v>0.216</v>
      </c>
      <c r="F345" s="168">
        <v>0.01</v>
      </c>
      <c r="G345" s="168">
        <v>0.206</v>
      </c>
      <c r="H345" s="174"/>
      <c r="J345" s="175"/>
      <c r="K345" s="201" t="s">
        <v>190</v>
      </c>
      <c r="L345" s="201" t="s">
        <v>191</v>
      </c>
      <c r="M345" s="203">
        <v>0.02</v>
      </c>
      <c r="N345" s="203">
        <v>0.001</v>
      </c>
      <c r="O345" s="203">
        <v>0.019</v>
      </c>
      <c r="P345" s="174"/>
    </row>
    <row r="346" spans="1:16" ht="12">
      <c r="A346" s="1"/>
      <c r="B346" s="175"/>
      <c r="C346" s="84" t="s">
        <v>202</v>
      </c>
      <c r="D346" s="84" t="s">
        <v>203</v>
      </c>
      <c r="E346" s="168">
        <v>0.024</v>
      </c>
      <c r="F346" s="168">
        <v>0.021</v>
      </c>
      <c r="G346" s="168">
        <v>0.003</v>
      </c>
      <c r="H346" s="174"/>
      <c r="J346" s="175"/>
      <c r="K346" s="201" t="s">
        <v>194</v>
      </c>
      <c r="L346" s="201" t="s">
        <v>195</v>
      </c>
      <c r="M346" s="203">
        <v>0.02</v>
      </c>
      <c r="N346" s="203">
        <v>0</v>
      </c>
      <c r="O346" s="203">
        <v>0.019</v>
      </c>
      <c r="P346" s="174"/>
    </row>
    <row r="347" spans="1:16" ht="12">
      <c r="A347" s="1"/>
      <c r="B347" s="175"/>
      <c r="C347" s="84" t="s">
        <v>164</v>
      </c>
      <c r="D347" s="84" t="s">
        <v>165</v>
      </c>
      <c r="E347" s="168">
        <v>0.077</v>
      </c>
      <c r="F347" s="168">
        <v>0.06</v>
      </c>
      <c r="G347" s="168">
        <v>0.017</v>
      </c>
      <c r="H347" s="174"/>
      <c r="J347" s="175"/>
      <c r="K347" s="201" t="s">
        <v>208</v>
      </c>
      <c r="L347" s="201" t="s">
        <v>209</v>
      </c>
      <c r="M347" s="203">
        <v>0.019</v>
      </c>
      <c r="N347" s="203">
        <v>0.019</v>
      </c>
      <c r="O347" s="203">
        <v>0</v>
      </c>
      <c r="P347" s="174"/>
    </row>
    <row r="348" spans="1:16" ht="12">
      <c r="A348" s="1"/>
      <c r="B348" s="175"/>
      <c r="C348" s="84" t="s">
        <v>178</v>
      </c>
      <c r="D348" s="84" t="s">
        <v>179</v>
      </c>
      <c r="E348" s="168">
        <v>0.088</v>
      </c>
      <c r="F348" s="168">
        <v>0.083</v>
      </c>
      <c r="G348" s="168">
        <v>0.006</v>
      </c>
      <c r="H348" s="174"/>
      <c r="J348" s="175"/>
      <c r="K348" s="201" t="s">
        <v>210</v>
      </c>
      <c r="L348" s="201" t="s">
        <v>211</v>
      </c>
      <c r="M348" s="203">
        <v>0.019</v>
      </c>
      <c r="N348" s="203">
        <v>0</v>
      </c>
      <c r="O348" s="203">
        <v>0.018</v>
      </c>
      <c r="P348" s="174"/>
    </row>
    <row r="349" spans="1:16" ht="12">
      <c r="A349" s="1"/>
      <c r="B349" s="175"/>
      <c r="C349" s="84" t="s">
        <v>154</v>
      </c>
      <c r="D349" s="84" t="s">
        <v>155</v>
      </c>
      <c r="E349" s="168">
        <v>0.148</v>
      </c>
      <c r="F349" s="168">
        <v>0.143</v>
      </c>
      <c r="G349" s="168">
        <v>0.005</v>
      </c>
      <c r="H349" s="174"/>
      <c r="J349" s="175"/>
      <c r="K349" s="201" t="s">
        <v>224</v>
      </c>
      <c r="L349" s="201" t="s">
        <v>225</v>
      </c>
      <c r="M349" s="203">
        <v>0.018</v>
      </c>
      <c r="N349" s="203">
        <v>0.018</v>
      </c>
      <c r="O349" s="203">
        <v>0</v>
      </c>
      <c r="P349" s="174"/>
    </row>
    <row r="350" spans="1:16" ht="12">
      <c r="A350" s="1"/>
      <c r="B350" s="175"/>
      <c r="C350" s="84" t="s">
        <v>204</v>
      </c>
      <c r="D350" s="84" t="s">
        <v>205</v>
      </c>
      <c r="E350" s="168">
        <v>0.003</v>
      </c>
      <c r="F350" s="168">
        <v>0.005</v>
      </c>
      <c r="G350" s="85">
        <v>-0.001</v>
      </c>
      <c r="H350" s="174"/>
      <c r="J350" s="175"/>
      <c r="K350" s="201" t="s">
        <v>206</v>
      </c>
      <c r="L350" s="201" t="s">
        <v>207</v>
      </c>
      <c r="M350" s="203">
        <v>0.016</v>
      </c>
      <c r="N350" s="203">
        <v>0.016</v>
      </c>
      <c r="O350" s="203">
        <v>0</v>
      </c>
      <c r="P350" s="174"/>
    </row>
    <row r="351" spans="1:16" ht="12">
      <c r="A351" s="1"/>
      <c r="B351" s="175"/>
      <c r="C351" s="84" t="s">
        <v>208</v>
      </c>
      <c r="D351" s="84" t="s">
        <v>209</v>
      </c>
      <c r="E351" s="168">
        <v>0.019</v>
      </c>
      <c r="F351" s="168">
        <v>0.019</v>
      </c>
      <c r="G351" s="85">
        <v>0</v>
      </c>
      <c r="H351" s="174"/>
      <c r="J351" s="175"/>
      <c r="K351" s="201" t="s">
        <v>248</v>
      </c>
      <c r="L351" s="201" t="s">
        <v>249</v>
      </c>
      <c r="M351" s="203">
        <v>0.016</v>
      </c>
      <c r="N351" s="203">
        <v>0.016</v>
      </c>
      <c r="O351" s="203">
        <v>0</v>
      </c>
      <c r="P351" s="174"/>
    </row>
    <row r="352" spans="1:16" ht="12">
      <c r="A352" s="1"/>
      <c r="B352" s="175"/>
      <c r="C352" s="84" t="s">
        <v>212</v>
      </c>
      <c r="D352" s="84" t="s">
        <v>213</v>
      </c>
      <c r="E352" s="168">
        <v>0.015</v>
      </c>
      <c r="F352" s="168">
        <v>0.015</v>
      </c>
      <c r="G352" s="85">
        <v>0</v>
      </c>
      <c r="H352" s="174"/>
      <c r="J352" s="175"/>
      <c r="K352" s="201" t="s">
        <v>212</v>
      </c>
      <c r="L352" s="201" t="s">
        <v>213</v>
      </c>
      <c r="M352" s="203">
        <v>0.015</v>
      </c>
      <c r="N352" s="203">
        <v>0.015</v>
      </c>
      <c r="O352" s="203">
        <v>0</v>
      </c>
      <c r="P352" s="174"/>
    </row>
    <row r="353" spans="1:16" ht="12">
      <c r="A353" s="1"/>
      <c r="B353" s="175"/>
      <c r="C353" s="84" t="s">
        <v>214</v>
      </c>
      <c r="D353" s="84" t="s">
        <v>215</v>
      </c>
      <c r="E353" s="168">
        <v>0.001</v>
      </c>
      <c r="F353" s="168">
        <v>0.001</v>
      </c>
      <c r="G353" s="85">
        <v>0</v>
      </c>
      <c r="H353" s="174"/>
      <c r="J353" s="175"/>
      <c r="K353" s="201" t="s">
        <v>152</v>
      </c>
      <c r="L353" s="201" t="s">
        <v>153</v>
      </c>
      <c r="M353" s="203">
        <v>0.014</v>
      </c>
      <c r="N353" s="203">
        <v>0.016</v>
      </c>
      <c r="O353" s="203">
        <v>-0.002</v>
      </c>
      <c r="P353" s="174"/>
    </row>
    <row r="354" spans="1:16" ht="12">
      <c r="A354" s="1"/>
      <c r="B354" s="175"/>
      <c r="C354" s="84" t="s">
        <v>142</v>
      </c>
      <c r="D354" s="84" t="s">
        <v>143</v>
      </c>
      <c r="E354" s="168">
        <v>0.09</v>
      </c>
      <c r="F354" s="168">
        <v>0.09</v>
      </c>
      <c r="G354" s="85">
        <v>0</v>
      </c>
      <c r="H354" s="174"/>
      <c r="J354" s="175"/>
      <c r="K354" s="201" t="s">
        <v>216</v>
      </c>
      <c r="L354" s="201" t="s">
        <v>217</v>
      </c>
      <c r="M354" s="203">
        <v>0.013</v>
      </c>
      <c r="N354" s="203">
        <v>0.013</v>
      </c>
      <c r="O354" s="203">
        <v>0.001</v>
      </c>
      <c r="P354" s="174"/>
    </row>
    <row r="355" spans="1:16" ht="12">
      <c r="A355" s="1"/>
      <c r="B355" s="175"/>
      <c r="C355" s="84" t="s">
        <v>218</v>
      </c>
      <c r="D355" s="84" t="s">
        <v>219</v>
      </c>
      <c r="E355" s="168">
        <v>0.009</v>
      </c>
      <c r="F355" s="168">
        <v>0.005</v>
      </c>
      <c r="G355" s="168">
        <v>0.003</v>
      </c>
      <c r="H355" s="174"/>
      <c r="J355" s="175"/>
      <c r="K355" s="201" t="s">
        <v>170</v>
      </c>
      <c r="L355" s="201" t="s">
        <v>171</v>
      </c>
      <c r="M355" s="203">
        <v>0.012</v>
      </c>
      <c r="N355" s="203">
        <v>0.01</v>
      </c>
      <c r="O355" s="203">
        <v>0.002</v>
      </c>
      <c r="P355" s="174"/>
    </row>
    <row r="356" spans="1:16" ht="12">
      <c r="A356" s="1"/>
      <c r="B356" s="175"/>
      <c r="C356" s="84" t="s">
        <v>222</v>
      </c>
      <c r="D356" s="84" t="s">
        <v>223</v>
      </c>
      <c r="E356" s="167">
        <v>0.008</v>
      </c>
      <c r="F356" s="168">
        <v>0.006</v>
      </c>
      <c r="G356" s="168">
        <v>0.002</v>
      </c>
      <c r="H356" s="174"/>
      <c r="J356" s="175"/>
      <c r="K356" s="201" t="s">
        <v>172</v>
      </c>
      <c r="L356" s="201" t="s">
        <v>173</v>
      </c>
      <c r="M356" s="203">
        <v>0.012</v>
      </c>
      <c r="N356" s="203">
        <v>0.011</v>
      </c>
      <c r="O356" s="203">
        <v>0.001</v>
      </c>
      <c r="P356" s="174"/>
    </row>
    <row r="357" spans="1:16" ht="12">
      <c r="A357" s="1"/>
      <c r="B357" s="175"/>
      <c r="C357" s="84" t="s">
        <v>206</v>
      </c>
      <c r="D357" s="84" t="s">
        <v>207</v>
      </c>
      <c r="E357" s="167">
        <v>0.016</v>
      </c>
      <c r="F357" s="167">
        <v>0.016</v>
      </c>
      <c r="G357" s="85">
        <v>0</v>
      </c>
      <c r="H357" s="174"/>
      <c r="J357" s="175"/>
      <c r="K357" s="201" t="s">
        <v>226</v>
      </c>
      <c r="L357" s="201" t="s">
        <v>227</v>
      </c>
      <c r="M357" s="203">
        <v>0.011</v>
      </c>
      <c r="N357" s="203">
        <v>0.011</v>
      </c>
      <c r="O357" s="203">
        <v>0</v>
      </c>
      <c r="P357" s="174"/>
    </row>
    <row r="358" spans="1:16" ht="12">
      <c r="A358" s="1"/>
      <c r="B358" s="175"/>
      <c r="C358" s="84" t="s">
        <v>210</v>
      </c>
      <c r="D358" s="84" t="s">
        <v>211</v>
      </c>
      <c r="E358" s="168">
        <v>0.019</v>
      </c>
      <c r="F358" s="168">
        <v>0</v>
      </c>
      <c r="G358" s="167">
        <v>0.018</v>
      </c>
      <c r="H358" s="174"/>
      <c r="J358" s="175"/>
      <c r="K358" s="201" t="s">
        <v>218</v>
      </c>
      <c r="L358" s="201" t="s">
        <v>219</v>
      </c>
      <c r="M358" s="203">
        <v>0.009</v>
      </c>
      <c r="N358" s="203">
        <v>0.005</v>
      </c>
      <c r="O358" s="203">
        <v>0.003</v>
      </c>
      <c r="P358" s="174"/>
    </row>
    <row r="359" spans="1:16" ht="12">
      <c r="A359" s="1"/>
      <c r="B359" s="175"/>
      <c r="C359" s="84" t="s">
        <v>228</v>
      </c>
      <c r="D359" s="84" t="s">
        <v>229</v>
      </c>
      <c r="E359" s="168">
        <v>0.006</v>
      </c>
      <c r="F359" s="168">
        <v>0.006</v>
      </c>
      <c r="G359" s="85">
        <v>0</v>
      </c>
      <c r="H359" s="174"/>
      <c r="J359" s="175"/>
      <c r="K359" s="201" t="s">
        <v>220</v>
      </c>
      <c r="L359" s="201" t="s">
        <v>221</v>
      </c>
      <c r="M359" s="203">
        <v>0.009</v>
      </c>
      <c r="N359" s="203">
        <v>0.009</v>
      </c>
      <c r="O359" s="203">
        <v>0</v>
      </c>
      <c r="P359" s="174"/>
    </row>
    <row r="360" spans="1:16" ht="12">
      <c r="A360" s="1"/>
      <c r="B360" s="175"/>
      <c r="C360" s="84" t="s">
        <v>220</v>
      </c>
      <c r="D360" s="84" t="s">
        <v>221</v>
      </c>
      <c r="E360" s="168">
        <v>0.009</v>
      </c>
      <c r="F360" s="168">
        <v>0.009</v>
      </c>
      <c r="G360" s="85">
        <v>0</v>
      </c>
      <c r="H360" s="174"/>
      <c r="J360" s="175"/>
      <c r="K360" s="201" t="s">
        <v>236</v>
      </c>
      <c r="L360" s="201" t="s">
        <v>237</v>
      </c>
      <c r="M360" s="203">
        <v>0.009</v>
      </c>
      <c r="N360" s="203">
        <v>0.001</v>
      </c>
      <c r="O360" s="203">
        <v>0.008</v>
      </c>
      <c r="P360" s="174"/>
    </row>
    <row r="361" spans="1:16" ht="12">
      <c r="A361" s="1"/>
      <c r="B361" s="175"/>
      <c r="C361" s="84" t="s">
        <v>230</v>
      </c>
      <c r="D361" s="84" t="s">
        <v>231</v>
      </c>
      <c r="E361" s="168">
        <v>0.001</v>
      </c>
      <c r="F361" s="168">
        <v>0.001</v>
      </c>
      <c r="G361" s="85">
        <v>0</v>
      </c>
      <c r="H361" s="174"/>
      <c r="J361" s="175"/>
      <c r="K361" s="201" t="s">
        <v>232</v>
      </c>
      <c r="L361" s="201" t="s">
        <v>233</v>
      </c>
      <c r="M361" s="203">
        <v>0.009</v>
      </c>
      <c r="N361" s="203">
        <v>0.009</v>
      </c>
      <c r="O361" s="203">
        <v>0</v>
      </c>
      <c r="P361" s="174"/>
    </row>
    <row r="362" spans="1:16" ht="12">
      <c r="A362" s="1"/>
      <c r="B362" s="175"/>
      <c r="C362" s="84" t="s">
        <v>150</v>
      </c>
      <c r="D362" s="84" t="s">
        <v>151</v>
      </c>
      <c r="E362" s="168">
        <v>0.071</v>
      </c>
      <c r="F362" s="168">
        <v>0.069</v>
      </c>
      <c r="G362" s="168">
        <v>0.002</v>
      </c>
      <c r="H362" s="174"/>
      <c r="J362" s="175"/>
      <c r="K362" s="201" t="s">
        <v>196</v>
      </c>
      <c r="L362" s="201" t="s">
        <v>197</v>
      </c>
      <c r="M362" s="203">
        <v>0.008</v>
      </c>
      <c r="N362" s="203">
        <v>0.008</v>
      </c>
      <c r="O362" s="203">
        <v>0</v>
      </c>
      <c r="P362" s="174"/>
    </row>
    <row r="363" spans="1:16" ht="12">
      <c r="A363" s="1"/>
      <c r="B363" s="175"/>
      <c r="C363" s="84" t="s">
        <v>234</v>
      </c>
      <c r="D363" s="84" t="s">
        <v>235</v>
      </c>
      <c r="E363" s="168">
        <v>0.004</v>
      </c>
      <c r="F363" s="168">
        <v>0.002</v>
      </c>
      <c r="G363" s="168">
        <v>0.003</v>
      </c>
      <c r="H363" s="174"/>
      <c r="J363" s="175"/>
      <c r="K363" s="201" t="s">
        <v>198</v>
      </c>
      <c r="L363" s="201" t="s">
        <v>199</v>
      </c>
      <c r="M363" s="203">
        <v>0.008</v>
      </c>
      <c r="N363" s="203">
        <v>0.009</v>
      </c>
      <c r="O363" s="203">
        <v>0</v>
      </c>
      <c r="P363" s="174"/>
    </row>
    <row r="364" spans="1:16" ht="12">
      <c r="A364" s="1"/>
      <c r="B364" s="175"/>
      <c r="C364" s="84" t="s">
        <v>236</v>
      </c>
      <c r="D364" s="84" t="s">
        <v>237</v>
      </c>
      <c r="E364" s="167">
        <v>0.009</v>
      </c>
      <c r="F364" s="168">
        <v>0.001</v>
      </c>
      <c r="G364" s="168">
        <v>0.008</v>
      </c>
      <c r="H364" s="174"/>
      <c r="J364" s="175"/>
      <c r="K364" s="201" t="s">
        <v>222</v>
      </c>
      <c r="L364" s="201" t="s">
        <v>223</v>
      </c>
      <c r="M364" s="203">
        <v>0.008</v>
      </c>
      <c r="N364" s="203">
        <v>0.006</v>
      </c>
      <c r="O364" s="203">
        <v>0.002</v>
      </c>
      <c r="P364" s="174"/>
    </row>
    <row r="365" spans="1:16" ht="12">
      <c r="A365" s="1"/>
      <c r="B365" s="175"/>
      <c r="C365" s="84" t="s">
        <v>188</v>
      </c>
      <c r="D365" s="84" t="s">
        <v>189</v>
      </c>
      <c r="E365" s="167">
        <v>0.053</v>
      </c>
      <c r="F365" s="168">
        <v>0.006</v>
      </c>
      <c r="G365" s="168">
        <v>0.047</v>
      </c>
      <c r="H365" s="174"/>
      <c r="J365" s="175"/>
      <c r="K365" s="201" t="s">
        <v>228</v>
      </c>
      <c r="L365" s="201" t="s">
        <v>229</v>
      </c>
      <c r="M365" s="203">
        <v>0.006</v>
      </c>
      <c r="N365" s="203">
        <v>0.006</v>
      </c>
      <c r="O365" s="203">
        <v>0</v>
      </c>
      <c r="P365" s="174"/>
    </row>
    <row r="366" spans="1:16" ht="12">
      <c r="A366" s="1"/>
      <c r="B366" s="175"/>
      <c r="C366" s="84" t="s">
        <v>238</v>
      </c>
      <c r="D366" s="84" t="s">
        <v>239</v>
      </c>
      <c r="E366" s="85">
        <v>0</v>
      </c>
      <c r="F366" s="85">
        <v>0</v>
      </c>
      <c r="G366" s="85">
        <v>0</v>
      </c>
      <c r="H366" s="174"/>
      <c r="J366" s="175"/>
      <c r="K366" s="201" t="s">
        <v>148</v>
      </c>
      <c r="L366" s="201" t="s">
        <v>149</v>
      </c>
      <c r="M366" s="203">
        <v>0.005</v>
      </c>
      <c r="N366" s="203">
        <v>0.003</v>
      </c>
      <c r="O366" s="203">
        <v>0.002</v>
      </c>
      <c r="P366" s="174"/>
    </row>
    <row r="367" spans="1:16" ht="12">
      <c r="A367" s="1"/>
      <c r="B367" s="175"/>
      <c r="C367" s="84" t="s">
        <v>240</v>
      </c>
      <c r="D367" s="84" t="s">
        <v>241</v>
      </c>
      <c r="E367" s="168">
        <v>0.002</v>
      </c>
      <c r="F367" s="168">
        <v>0.002</v>
      </c>
      <c r="G367" s="85">
        <v>0</v>
      </c>
      <c r="H367" s="174"/>
      <c r="J367" s="175"/>
      <c r="K367" s="201" t="s">
        <v>244</v>
      </c>
      <c r="L367" s="201" t="s">
        <v>245</v>
      </c>
      <c r="M367" s="203">
        <v>0.005</v>
      </c>
      <c r="N367" s="203">
        <v>0.004</v>
      </c>
      <c r="O367" s="203">
        <v>0.001</v>
      </c>
      <c r="P367" s="174"/>
    </row>
    <row r="368" spans="1:16" ht="12">
      <c r="A368" s="1"/>
      <c r="B368" s="175"/>
      <c r="C368" s="84" t="s">
        <v>242</v>
      </c>
      <c r="D368" s="84" t="s">
        <v>243</v>
      </c>
      <c r="E368" s="168">
        <v>0.004</v>
      </c>
      <c r="F368" s="168">
        <v>0.004</v>
      </c>
      <c r="G368" s="85">
        <v>0</v>
      </c>
      <c r="H368" s="174"/>
      <c r="J368" s="175"/>
      <c r="K368" s="201" t="s">
        <v>136</v>
      </c>
      <c r="L368" s="201" t="s">
        <v>137</v>
      </c>
      <c r="M368" s="203">
        <v>0.004</v>
      </c>
      <c r="N368" s="203">
        <v>0.004</v>
      </c>
      <c r="O368" s="203">
        <v>0</v>
      </c>
      <c r="P368" s="174"/>
    </row>
    <row r="369" spans="1:16" ht="12">
      <c r="A369" s="1"/>
      <c r="B369" s="175"/>
      <c r="C369" s="84" t="s">
        <v>246</v>
      </c>
      <c r="D369" s="84" t="s">
        <v>247</v>
      </c>
      <c r="E369" s="85">
        <v>0</v>
      </c>
      <c r="F369" s="85">
        <v>0</v>
      </c>
      <c r="G369" s="85">
        <v>0</v>
      </c>
      <c r="H369" s="174"/>
      <c r="J369" s="175"/>
      <c r="K369" s="201" t="s">
        <v>234</v>
      </c>
      <c r="L369" s="201" t="s">
        <v>235</v>
      </c>
      <c r="M369" s="203">
        <v>0.004</v>
      </c>
      <c r="N369" s="203">
        <v>0.002</v>
      </c>
      <c r="O369" s="203">
        <v>0.003</v>
      </c>
      <c r="P369" s="174"/>
    </row>
    <row r="370" spans="1:16" ht="12">
      <c r="A370" s="1"/>
      <c r="B370" s="175"/>
      <c r="C370" s="84" t="s">
        <v>248</v>
      </c>
      <c r="D370" s="84" t="s">
        <v>249</v>
      </c>
      <c r="E370" s="168">
        <v>0.016</v>
      </c>
      <c r="F370" s="168">
        <v>0.016</v>
      </c>
      <c r="G370" s="85">
        <v>0</v>
      </c>
      <c r="H370" s="174"/>
      <c r="J370" s="175"/>
      <c r="K370" s="201" t="s">
        <v>242</v>
      </c>
      <c r="L370" s="201" t="s">
        <v>243</v>
      </c>
      <c r="M370" s="203">
        <v>0.004</v>
      </c>
      <c r="N370" s="203">
        <v>0.004</v>
      </c>
      <c r="O370" s="203">
        <v>0</v>
      </c>
      <c r="P370" s="174"/>
    </row>
    <row r="371" spans="1:16" ht="12">
      <c r="A371" s="1"/>
      <c r="B371" s="175"/>
      <c r="C371" s="84" t="s">
        <v>244</v>
      </c>
      <c r="D371" s="84" t="s">
        <v>245</v>
      </c>
      <c r="E371" s="168">
        <v>0.005</v>
      </c>
      <c r="F371" s="168">
        <v>0.004</v>
      </c>
      <c r="G371" s="168">
        <v>0.001</v>
      </c>
      <c r="H371" s="174"/>
      <c r="J371" s="175"/>
      <c r="K371" s="201" t="s">
        <v>132</v>
      </c>
      <c r="L371" s="201" t="s">
        <v>133</v>
      </c>
      <c r="M371" s="203">
        <v>0.003</v>
      </c>
      <c r="N371" s="203">
        <v>0.002</v>
      </c>
      <c r="O371" s="203">
        <v>0.001</v>
      </c>
      <c r="P371" s="174"/>
    </row>
    <row r="372" spans="1:16" ht="12">
      <c r="A372" s="1"/>
      <c r="B372" s="175"/>
      <c r="C372" s="84" t="s">
        <v>146</v>
      </c>
      <c r="D372" s="84" t="s">
        <v>147</v>
      </c>
      <c r="E372" s="168">
        <v>0.054</v>
      </c>
      <c r="F372" s="168">
        <v>0.054</v>
      </c>
      <c r="G372" s="85">
        <v>0</v>
      </c>
      <c r="H372" s="174"/>
      <c r="J372" s="175"/>
      <c r="K372" s="201" t="s">
        <v>176</v>
      </c>
      <c r="L372" s="201" t="s">
        <v>177</v>
      </c>
      <c r="M372" s="203">
        <v>0.003</v>
      </c>
      <c r="N372" s="203">
        <v>0</v>
      </c>
      <c r="O372" s="203">
        <v>0.003</v>
      </c>
      <c r="P372" s="174"/>
    </row>
    <row r="373" spans="1:16" ht="12">
      <c r="A373" s="1"/>
      <c r="B373" s="175"/>
      <c r="C373" s="84" t="s">
        <v>192</v>
      </c>
      <c r="D373" s="84" t="s">
        <v>193</v>
      </c>
      <c r="E373" s="168">
        <v>0.043</v>
      </c>
      <c r="F373" s="168">
        <v>0.043</v>
      </c>
      <c r="G373" s="85">
        <v>0</v>
      </c>
      <c r="H373" s="174"/>
      <c r="J373" s="175"/>
      <c r="K373" s="201" t="s">
        <v>204</v>
      </c>
      <c r="L373" s="201" t="s">
        <v>205</v>
      </c>
      <c r="M373" s="203">
        <v>0.003</v>
      </c>
      <c r="N373" s="203">
        <v>0.005</v>
      </c>
      <c r="O373" s="203">
        <v>-0.001</v>
      </c>
      <c r="P373" s="174"/>
    </row>
    <row r="374" spans="1:16" ht="12">
      <c r="A374" s="1"/>
      <c r="B374" s="175"/>
      <c r="C374" s="84" t="s">
        <v>168</v>
      </c>
      <c r="D374" s="84" t="s">
        <v>169</v>
      </c>
      <c r="E374" s="168">
        <v>0.076</v>
      </c>
      <c r="F374" s="168">
        <v>0.076</v>
      </c>
      <c r="G374" s="85">
        <v>0</v>
      </c>
      <c r="H374" s="174"/>
      <c r="J374" s="175"/>
      <c r="K374" s="201" t="s">
        <v>240</v>
      </c>
      <c r="L374" s="201" t="s">
        <v>241</v>
      </c>
      <c r="M374" s="203">
        <v>0.002</v>
      </c>
      <c r="N374" s="203">
        <v>0.002</v>
      </c>
      <c r="O374" s="203">
        <v>0</v>
      </c>
      <c r="P374" s="174"/>
    </row>
    <row r="375" spans="1:16" ht="12">
      <c r="A375" s="1"/>
      <c r="B375" s="175"/>
      <c r="C375" s="84" t="s">
        <v>200</v>
      </c>
      <c r="D375" s="84" t="s">
        <v>201</v>
      </c>
      <c r="E375" s="168">
        <v>0.03</v>
      </c>
      <c r="F375" s="168">
        <v>0.03</v>
      </c>
      <c r="G375" s="85">
        <v>0</v>
      </c>
      <c r="H375" s="174"/>
      <c r="J375" s="175"/>
      <c r="K375" s="201" t="s">
        <v>250</v>
      </c>
      <c r="L375" s="201" t="s">
        <v>251</v>
      </c>
      <c r="M375" s="203">
        <v>0.002</v>
      </c>
      <c r="N375" s="203">
        <v>0.002</v>
      </c>
      <c r="O375" s="203">
        <v>0</v>
      </c>
      <c r="P375" s="174"/>
    </row>
    <row r="376" spans="1:16" ht="12">
      <c r="A376" s="1"/>
      <c r="B376" s="175"/>
      <c r="C376" s="84" t="s">
        <v>216</v>
      </c>
      <c r="D376" s="84" t="s">
        <v>217</v>
      </c>
      <c r="E376" s="168">
        <v>0.013</v>
      </c>
      <c r="F376" s="168">
        <v>0.013</v>
      </c>
      <c r="G376" s="168">
        <v>0.001</v>
      </c>
      <c r="H376" s="174"/>
      <c r="J376" s="175"/>
      <c r="K376" s="201" t="s">
        <v>156</v>
      </c>
      <c r="L376" s="201" t="s">
        <v>157</v>
      </c>
      <c r="M376" s="203">
        <v>0.001</v>
      </c>
      <c r="N376" s="203">
        <v>0.002</v>
      </c>
      <c r="O376" s="203">
        <v>-0.001</v>
      </c>
      <c r="P376" s="174"/>
    </row>
    <row r="377" spans="1:16" ht="12">
      <c r="A377" s="1"/>
      <c r="B377" s="175"/>
      <c r="C377" s="84" t="s">
        <v>226</v>
      </c>
      <c r="D377" s="84" t="s">
        <v>227</v>
      </c>
      <c r="E377" s="168">
        <v>0.011</v>
      </c>
      <c r="F377" s="168">
        <v>0.011</v>
      </c>
      <c r="G377" s="85">
        <v>0</v>
      </c>
      <c r="H377" s="174"/>
      <c r="J377" s="175"/>
      <c r="K377" s="201" t="s">
        <v>214</v>
      </c>
      <c r="L377" s="201" t="s">
        <v>215</v>
      </c>
      <c r="M377" s="203">
        <v>0.001</v>
      </c>
      <c r="N377" s="203">
        <v>0.001</v>
      </c>
      <c r="O377" s="203">
        <v>0</v>
      </c>
      <c r="P377" s="174"/>
    </row>
    <row r="378" spans="1:16" ht="12">
      <c r="A378" s="1"/>
      <c r="B378" s="175"/>
      <c r="C378" s="84" t="s">
        <v>232</v>
      </c>
      <c r="D378" s="84" t="s">
        <v>233</v>
      </c>
      <c r="E378" s="168">
        <v>0.009</v>
      </c>
      <c r="F378" s="168">
        <v>0.009</v>
      </c>
      <c r="G378" s="85">
        <v>0</v>
      </c>
      <c r="H378" s="174"/>
      <c r="J378" s="175"/>
      <c r="K378" s="201" t="s">
        <v>230</v>
      </c>
      <c r="L378" s="201" t="s">
        <v>231</v>
      </c>
      <c r="M378" s="203">
        <v>0.001</v>
      </c>
      <c r="N378" s="203">
        <v>0.001</v>
      </c>
      <c r="O378" s="203">
        <v>0</v>
      </c>
      <c r="P378" s="174"/>
    </row>
    <row r="379" spans="1:16" ht="12">
      <c r="A379" s="1"/>
      <c r="B379" s="175"/>
      <c r="C379" s="84" t="s">
        <v>250</v>
      </c>
      <c r="D379" s="84" t="s">
        <v>251</v>
      </c>
      <c r="E379" s="168">
        <v>0.002</v>
      </c>
      <c r="F379" s="168">
        <v>0.002</v>
      </c>
      <c r="G379" s="85">
        <v>0</v>
      </c>
      <c r="H379" s="174"/>
      <c r="J379" s="175"/>
      <c r="K379" s="201" t="s">
        <v>238</v>
      </c>
      <c r="L379" s="201" t="s">
        <v>239</v>
      </c>
      <c r="M379" s="203">
        <v>0</v>
      </c>
      <c r="N379" s="203">
        <v>0</v>
      </c>
      <c r="O379" s="203">
        <v>0</v>
      </c>
      <c r="P379" s="174"/>
    </row>
    <row r="380" spans="1:16" ht="12">
      <c r="A380" s="1"/>
      <c r="B380" s="175"/>
      <c r="C380" s="84" t="s">
        <v>224</v>
      </c>
      <c r="D380" s="84" t="s">
        <v>225</v>
      </c>
      <c r="E380" s="168">
        <v>0.018</v>
      </c>
      <c r="F380" s="168">
        <v>0.018</v>
      </c>
      <c r="G380" s="85">
        <v>0</v>
      </c>
      <c r="H380" s="174"/>
      <c r="J380" s="175"/>
      <c r="K380" s="201" t="s">
        <v>246</v>
      </c>
      <c r="L380" s="201" t="s">
        <v>247</v>
      </c>
      <c r="M380" s="203">
        <v>0</v>
      </c>
      <c r="N380" s="203">
        <v>0</v>
      </c>
      <c r="O380" s="203">
        <v>0</v>
      </c>
      <c r="P380" s="174"/>
    </row>
    <row r="381" spans="1:16" ht="12">
      <c r="A381" s="1"/>
      <c r="B381" s="175"/>
      <c r="C381" s="84" t="s">
        <v>252</v>
      </c>
      <c r="D381" s="84" t="s">
        <v>253</v>
      </c>
      <c r="E381" s="85">
        <v>0</v>
      </c>
      <c r="F381" s="85">
        <v>0</v>
      </c>
      <c r="G381" s="85">
        <v>0</v>
      </c>
      <c r="H381" s="174"/>
      <c r="J381" s="175"/>
      <c r="K381" s="201" t="s">
        <v>252</v>
      </c>
      <c r="L381" s="201" t="s">
        <v>253</v>
      </c>
      <c r="M381" s="203">
        <v>0</v>
      </c>
      <c r="N381" s="203">
        <v>0</v>
      </c>
      <c r="O381" s="203">
        <v>0</v>
      </c>
      <c r="P381" s="174"/>
    </row>
    <row r="382" spans="1:16" ht="12">
      <c r="A382" s="1"/>
      <c r="B382" s="175"/>
      <c r="C382" s="173"/>
      <c r="D382" s="173"/>
      <c r="E382" s="173"/>
      <c r="F382" s="173"/>
      <c r="G382" s="173"/>
      <c r="H382" s="174"/>
      <c r="J382" s="175"/>
      <c r="K382" s="173"/>
      <c r="L382" s="173"/>
      <c r="M382" s="173"/>
      <c r="N382" s="173"/>
      <c r="O382" s="173"/>
      <c r="P382" s="174"/>
    </row>
    <row r="383" spans="1:16" ht="12">
      <c r="A383" s="1"/>
      <c r="B383" s="175"/>
      <c r="C383" s="11" t="s">
        <v>38</v>
      </c>
      <c r="D383" s="173"/>
      <c r="E383" s="173"/>
      <c r="F383" s="173"/>
      <c r="G383" s="173"/>
      <c r="H383" s="174"/>
      <c r="J383" s="175"/>
      <c r="K383" s="11" t="s">
        <v>38</v>
      </c>
      <c r="L383" s="173"/>
      <c r="M383" s="173"/>
      <c r="N383" s="173"/>
      <c r="O383" s="173"/>
      <c r="P383" s="174"/>
    </row>
    <row r="384" spans="1:16" ht="12">
      <c r="A384" s="1"/>
      <c r="B384" s="175"/>
      <c r="C384" s="11" t="s">
        <v>36</v>
      </c>
      <c r="D384" s="11" t="s">
        <v>39</v>
      </c>
      <c r="E384" s="173"/>
      <c r="F384" s="173"/>
      <c r="G384" s="173"/>
      <c r="H384" s="174"/>
      <c r="J384" s="175"/>
      <c r="K384" s="11" t="s">
        <v>36</v>
      </c>
      <c r="L384" s="11" t="s">
        <v>39</v>
      </c>
      <c r="M384" s="173"/>
      <c r="N384" s="173"/>
      <c r="O384" s="173"/>
      <c r="P384" s="174"/>
    </row>
    <row r="385" spans="2:16" ht="15.75" thickBot="1">
      <c r="B385" s="176"/>
      <c r="C385" s="177"/>
      <c r="D385" s="177"/>
      <c r="E385" s="177"/>
      <c r="F385" s="177"/>
      <c r="G385" s="177"/>
      <c r="H385" s="178"/>
      <c r="J385" s="180"/>
      <c r="K385" s="177"/>
      <c r="L385" s="177"/>
      <c r="M385" s="177"/>
      <c r="N385" s="177"/>
      <c r="O385" s="177"/>
      <c r="P385" s="178"/>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4"/>
  <sheetViews>
    <sheetView showGridLines="0" workbookViewId="0" topLeftCell="A1"/>
  </sheetViews>
  <sheetFormatPr defaultColWidth="8.8515625" defaultRowHeight="15"/>
  <cols>
    <col min="1" max="2" width="4.7109375" style="3" customWidth="1"/>
    <col min="3" max="3" width="11.28125" style="3" customWidth="1"/>
    <col min="4" max="4" width="28.00390625" style="3" customWidth="1"/>
    <col min="5" max="5" width="8.421875" style="3" customWidth="1"/>
    <col min="6" max="6" width="33.00390625" style="3" bestFit="1" customWidth="1"/>
    <col min="7" max="8" width="8.8515625" style="3" customWidth="1"/>
    <col min="9" max="9" width="10.140625" style="3" bestFit="1" customWidth="1"/>
    <col min="10" max="24" width="8.8515625" style="3" customWidth="1"/>
    <col min="25" max="16384" width="8.8515625" style="3" customWidth="1"/>
  </cols>
  <sheetData>
    <row r="1" ht="15.75">
      <c r="A1" s="222" t="s">
        <v>49</v>
      </c>
    </row>
    <row r="2" ht="12.75" thickBot="1"/>
    <row r="3" spans="2:28" ht="15">
      <c r="B3" s="116" t="s">
        <v>51</v>
      </c>
      <c r="C3" s="19"/>
      <c r="D3" s="19"/>
      <c r="E3" s="19"/>
      <c r="F3" s="19" t="s">
        <v>97</v>
      </c>
      <c r="G3" s="117" t="s">
        <v>302</v>
      </c>
      <c r="H3" s="19"/>
      <c r="I3" s="19"/>
      <c r="J3" s="19"/>
      <c r="K3" s="19"/>
      <c r="L3" s="19"/>
      <c r="M3" s="19"/>
      <c r="N3" s="19"/>
      <c r="O3" s="19"/>
      <c r="P3" s="19"/>
      <c r="Q3" s="19"/>
      <c r="R3" s="19"/>
      <c r="S3" s="19"/>
      <c r="T3" s="19"/>
      <c r="U3" s="19"/>
      <c r="V3" s="19"/>
      <c r="W3" s="19"/>
      <c r="X3" s="19"/>
      <c r="Y3" s="19"/>
      <c r="Z3" s="19"/>
      <c r="AA3" s="19"/>
      <c r="AB3" s="20"/>
    </row>
    <row r="4" spans="2:28" ht="15">
      <c r="B4" s="13"/>
      <c r="C4" s="15"/>
      <c r="D4" s="15"/>
      <c r="E4" s="15"/>
      <c r="F4" s="15"/>
      <c r="G4" s="15"/>
      <c r="H4" s="15"/>
      <c r="I4" s="15"/>
      <c r="J4" s="15"/>
      <c r="K4" s="15"/>
      <c r="L4" s="15"/>
      <c r="M4" s="15"/>
      <c r="N4" s="15"/>
      <c r="O4" s="15"/>
      <c r="P4" s="15"/>
      <c r="Q4" s="15"/>
      <c r="R4" s="15"/>
      <c r="S4" s="15"/>
      <c r="T4" s="15"/>
      <c r="U4" s="15"/>
      <c r="V4" s="15"/>
      <c r="W4" s="15"/>
      <c r="X4" s="15"/>
      <c r="Y4" s="15"/>
      <c r="Z4" s="15"/>
      <c r="AA4" s="15"/>
      <c r="AB4" s="14"/>
    </row>
    <row r="5" spans="2:28" ht="15">
      <c r="B5" s="13"/>
      <c r="C5" s="11" t="s">
        <v>30</v>
      </c>
      <c r="D5" s="11"/>
      <c r="E5" s="11"/>
      <c r="F5" s="15"/>
      <c r="G5" s="155"/>
      <c r="H5" s="15"/>
      <c r="I5" s="15"/>
      <c r="J5" s="15"/>
      <c r="K5" s="15"/>
      <c r="L5" s="15"/>
      <c r="M5" s="15"/>
      <c r="N5" s="15"/>
      <c r="O5" s="15"/>
      <c r="P5" s="15"/>
      <c r="Q5" s="15"/>
      <c r="R5" s="15"/>
      <c r="S5" s="15"/>
      <c r="T5" s="15"/>
      <c r="U5" s="15"/>
      <c r="V5" s="15"/>
      <c r="W5" s="15"/>
      <c r="X5" s="15"/>
      <c r="Y5" s="15"/>
      <c r="Z5" s="15"/>
      <c r="AA5" s="15"/>
      <c r="AB5" s="14"/>
    </row>
    <row r="6" spans="2:28" ht="15">
      <c r="B6" s="13"/>
      <c r="C6" s="15"/>
      <c r="D6" s="15"/>
      <c r="E6" s="15"/>
      <c r="F6" s="15"/>
      <c r="G6" s="15"/>
      <c r="H6" s="15"/>
      <c r="I6" s="15"/>
      <c r="J6" s="15"/>
      <c r="K6" s="15"/>
      <c r="L6" s="15"/>
      <c r="M6" s="15"/>
      <c r="N6" s="15"/>
      <c r="O6" s="15"/>
      <c r="P6" s="15"/>
      <c r="Q6" s="15"/>
      <c r="R6" s="15"/>
      <c r="S6" s="15"/>
      <c r="T6" s="15"/>
      <c r="U6" s="15"/>
      <c r="V6" s="15"/>
      <c r="W6" s="15"/>
      <c r="X6" s="15"/>
      <c r="Y6" s="15"/>
      <c r="Z6" s="15"/>
      <c r="AA6" s="15"/>
      <c r="AB6" s="14"/>
    </row>
    <row r="7" spans="2:28" ht="15">
      <c r="B7" s="13"/>
      <c r="C7" s="11" t="s">
        <v>9</v>
      </c>
      <c r="D7" s="166">
        <v>44377.472604166665</v>
      </c>
      <c r="G7" s="15"/>
      <c r="H7" s="15"/>
      <c r="I7" s="15"/>
      <c r="J7" s="15"/>
      <c r="K7" s="15"/>
      <c r="L7" s="15"/>
      <c r="M7" s="15"/>
      <c r="N7" s="15"/>
      <c r="O7" s="15"/>
      <c r="P7" s="15"/>
      <c r="Q7" s="15"/>
      <c r="R7" s="15"/>
      <c r="S7" s="15"/>
      <c r="T7" s="15"/>
      <c r="U7" s="15"/>
      <c r="V7" s="15"/>
      <c r="W7" s="15"/>
      <c r="X7" s="15"/>
      <c r="Y7" s="15"/>
      <c r="Z7" s="15"/>
      <c r="AA7" s="15"/>
      <c r="AB7" s="14"/>
    </row>
    <row r="8" spans="2:28" ht="15">
      <c r="B8" s="13"/>
      <c r="C8" s="11" t="s">
        <v>10</v>
      </c>
      <c r="D8" s="166">
        <v>44439.6499334375</v>
      </c>
      <c r="G8" s="15"/>
      <c r="H8" s="15"/>
      <c r="I8" s="15"/>
      <c r="J8" s="15"/>
      <c r="K8" s="15"/>
      <c r="L8" s="15"/>
      <c r="M8" s="15"/>
      <c r="N8" s="15"/>
      <c r="O8" s="15"/>
      <c r="P8" s="15"/>
      <c r="Q8" s="15"/>
      <c r="R8" s="15"/>
      <c r="S8" s="15"/>
      <c r="T8" s="15"/>
      <c r="U8" s="15"/>
      <c r="V8" s="15"/>
      <c r="W8" s="15"/>
      <c r="X8" s="15"/>
      <c r="Y8" s="15"/>
      <c r="Z8" s="15"/>
      <c r="AA8" s="15"/>
      <c r="AB8" s="14"/>
    </row>
    <row r="9" spans="2:28" ht="15">
      <c r="B9" s="13"/>
      <c r="C9" s="11" t="s">
        <v>11</v>
      </c>
      <c r="D9" s="11" t="s">
        <v>12</v>
      </c>
      <c r="G9" s="15"/>
      <c r="H9" s="15"/>
      <c r="I9" s="15"/>
      <c r="J9" s="15"/>
      <c r="K9" s="15"/>
      <c r="L9" s="15"/>
      <c r="M9" s="15"/>
      <c r="N9" s="15"/>
      <c r="O9" s="15"/>
      <c r="P9" s="15"/>
      <c r="Q9" s="15"/>
      <c r="R9" s="15"/>
      <c r="S9" s="15"/>
      <c r="T9" s="15"/>
      <c r="U9" s="15"/>
      <c r="V9" s="15"/>
      <c r="W9" s="15"/>
      <c r="X9" s="15"/>
      <c r="Y9" s="15"/>
      <c r="Z9" s="15"/>
      <c r="AA9" s="15"/>
      <c r="AB9" s="14"/>
    </row>
    <row r="10" spans="2:28" ht="15">
      <c r="B10" s="13"/>
      <c r="G10" s="15"/>
      <c r="H10" s="15"/>
      <c r="I10" s="15"/>
      <c r="J10" s="15"/>
      <c r="K10" s="15"/>
      <c r="L10" s="15"/>
      <c r="M10" s="15"/>
      <c r="N10" s="15"/>
      <c r="O10" s="15"/>
      <c r="P10" s="15"/>
      <c r="Q10" s="15"/>
      <c r="R10" s="15"/>
      <c r="S10" s="15"/>
      <c r="T10" s="15"/>
      <c r="U10" s="15"/>
      <c r="V10" s="15"/>
      <c r="W10" s="15"/>
      <c r="X10" s="15"/>
      <c r="Y10" s="15"/>
      <c r="Z10" s="15"/>
      <c r="AA10" s="15"/>
      <c r="AB10" s="14"/>
    </row>
    <row r="11" spans="2:28" ht="15">
      <c r="B11" s="13"/>
      <c r="C11" s="11" t="s">
        <v>13</v>
      </c>
      <c r="D11" s="11" t="s">
        <v>90</v>
      </c>
      <c r="G11" s="15"/>
      <c r="H11" s="15"/>
      <c r="I11" s="15"/>
      <c r="J11" s="15"/>
      <c r="K11" s="15"/>
      <c r="L11" s="15"/>
      <c r="M11" s="15"/>
      <c r="N11" s="15"/>
      <c r="O11" s="15"/>
      <c r="P11" s="15"/>
      <c r="Q11" s="15"/>
      <c r="R11" s="15"/>
      <c r="S11" s="15"/>
      <c r="T11" s="15"/>
      <c r="U11" s="15"/>
      <c r="V11" s="15"/>
      <c r="W11" s="15"/>
      <c r="X11" s="15"/>
      <c r="Y11" s="15"/>
      <c r="Z11" s="15"/>
      <c r="AA11" s="15"/>
      <c r="AB11" s="14"/>
    </row>
    <row r="12" spans="2:28" ht="15">
      <c r="B12" s="13"/>
      <c r="C12" s="11" t="s">
        <v>15</v>
      </c>
      <c r="D12" s="11" t="s">
        <v>303</v>
      </c>
      <c r="G12" s="15"/>
      <c r="H12" s="15"/>
      <c r="I12" s="15"/>
      <c r="J12" s="15"/>
      <c r="K12" s="15"/>
      <c r="L12" s="15"/>
      <c r="M12" s="15"/>
      <c r="N12" s="15"/>
      <c r="O12" s="15"/>
      <c r="P12" s="15"/>
      <c r="Q12" s="15"/>
      <c r="R12" s="15"/>
      <c r="S12" s="15"/>
      <c r="T12" s="15"/>
      <c r="U12" s="15"/>
      <c r="V12" s="15"/>
      <c r="W12" s="15"/>
      <c r="X12" s="15"/>
      <c r="Y12" s="15"/>
      <c r="Z12" s="15"/>
      <c r="AA12" s="15"/>
      <c r="AB12" s="14"/>
    </row>
    <row r="13" spans="2:28" ht="15">
      <c r="B13" s="13"/>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4"/>
    </row>
    <row r="14" spans="2:28" ht="15">
      <c r="B14" s="13"/>
      <c r="C14" s="84" t="s">
        <v>42</v>
      </c>
      <c r="D14" s="84" t="s">
        <v>77</v>
      </c>
      <c r="E14" s="84" t="s">
        <v>78</v>
      </c>
      <c r="F14" s="84" t="s">
        <v>79</v>
      </c>
      <c r="G14" s="84" t="s">
        <v>16</v>
      </c>
      <c r="H14" s="84" t="s">
        <v>17</v>
      </c>
      <c r="I14" s="84" t="s">
        <v>18</v>
      </c>
      <c r="J14" s="84" t="s">
        <v>19</v>
      </c>
      <c r="K14" s="84" t="s">
        <v>20</v>
      </c>
      <c r="L14" s="84" t="s">
        <v>21</v>
      </c>
      <c r="M14" s="84" t="s">
        <v>22</v>
      </c>
      <c r="N14" s="84" t="s">
        <v>23</v>
      </c>
      <c r="O14" s="84" t="s">
        <v>24</v>
      </c>
      <c r="P14" s="84" t="s">
        <v>25</v>
      </c>
      <c r="Q14" s="84" t="s">
        <v>26</v>
      </c>
      <c r="R14" s="84" t="s">
        <v>27</v>
      </c>
      <c r="S14" s="84" t="s">
        <v>28</v>
      </c>
      <c r="T14" s="84" t="s">
        <v>48</v>
      </c>
      <c r="U14" s="84" t="s">
        <v>76</v>
      </c>
      <c r="V14" s="84" t="s">
        <v>101</v>
      </c>
      <c r="W14" s="84" t="s">
        <v>106</v>
      </c>
      <c r="X14" s="84" t="s">
        <v>289</v>
      </c>
      <c r="Y14" s="84" t="s">
        <v>291</v>
      </c>
      <c r="Z14" s="84" t="s">
        <v>300</v>
      </c>
      <c r="AA14" s="84" t="s">
        <v>326</v>
      </c>
      <c r="AB14" s="14"/>
    </row>
    <row r="15" spans="2:28" ht="15">
      <c r="B15" s="13"/>
      <c r="C15" s="84" t="s">
        <v>80</v>
      </c>
      <c r="D15" s="84" t="s">
        <v>1</v>
      </c>
      <c r="E15" s="84" t="s">
        <v>82</v>
      </c>
      <c r="F15" s="84" t="s">
        <v>14</v>
      </c>
      <c r="G15" s="118">
        <v>5553779.4</v>
      </c>
      <c r="H15" s="118">
        <v>5599114.69</v>
      </c>
      <c r="I15" s="118">
        <v>5617192.715</v>
      </c>
      <c r="J15" s="118">
        <v>5610321.413</v>
      </c>
      <c r="K15" s="118">
        <v>5894589.726</v>
      </c>
      <c r="L15" s="118">
        <v>5954486.431</v>
      </c>
      <c r="M15" s="118">
        <v>6108004.301</v>
      </c>
      <c r="N15" s="118">
        <v>6366184.885</v>
      </c>
      <c r="O15" s="118">
        <v>6253011.802</v>
      </c>
      <c r="P15" s="118">
        <v>5582862.738</v>
      </c>
      <c r="Q15" s="118">
        <v>5338869.052</v>
      </c>
      <c r="R15" s="118">
        <v>5666757.071</v>
      </c>
      <c r="S15" s="118">
        <v>5248892.092</v>
      </c>
      <c r="T15" s="118">
        <v>5136596.113</v>
      </c>
      <c r="U15" s="118">
        <v>5190920.168</v>
      </c>
      <c r="V15" s="118">
        <v>5123302.915</v>
      </c>
      <c r="W15" s="118">
        <v>5117857.117</v>
      </c>
      <c r="X15" s="118">
        <v>5297903.218</v>
      </c>
      <c r="Y15" s="118">
        <v>5335027.581</v>
      </c>
      <c r="Z15" s="118">
        <v>5325644.723</v>
      </c>
      <c r="AA15" s="118">
        <v>5169007.154</v>
      </c>
      <c r="AB15" s="14"/>
    </row>
    <row r="16" spans="2:28" ht="15">
      <c r="B16" s="13"/>
      <c r="C16" s="84" t="s">
        <v>80</v>
      </c>
      <c r="D16" s="84" t="s">
        <v>1</v>
      </c>
      <c r="E16" s="84" t="s">
        <v>83</v>
      </c>
      <c r="F16" s="84" t="s">
        <v>31</v>
      </c>
      <c r="G16" s="118">
        <v>1467311.808</v>
      </c>
      <c r="H16" s="118">
        <v>1446969.068</v>
      </c>
      <c r="I16" s="118">
        <v>1447957.721</v>
      </c>
      <c r="J16" s="118">
        <v>1341056.286</v>
      </c>
      <c r="K16" s="118">
        <v>1534428.284</v>
      </c>
      <c r="L16" s="118">
        <v>1470233.296</v>
      </c>
      <c r="M16" s="118">
        <v>1394602.774</v>
      </c>
      <c r="N16" s="118">
        <v>1443096.161</v>
      </c>
      <c r="O16" s="118">
        <v>1485963.087</v>
      </c>
      <c r="P16" s="118">
        <v>1457148.828</v>
      </c>
      <c r="Q16" s="118">
        <v>1421195.196</v>
      </c>
      <c r="R16" s="118">
        <v>1489082.052</v>
      </c>
      <c r="S16" s="118">
        <v>1430291.466</v>
      </c>
      <c r="T16" s="118">
        <v>1475221.145</v>
      </c>
      <c r="U16" s="118">
        <v>1576154.817</v>
      </c>
      <c r="V16" s="118">
        <v>1469058.874</v>
      </c>
      <c r="W16" s="118">
        <v>1495265.486</v>
      </c>
      <c r="X16" s="118">
        <v>1538468.273</v>
      </c>
      <c r="Y16" s="118">
        <v>1480654.019</v>
      </c>
      <c r="Z16" s="118">
        <v>1477742.837</v>
      </c>
      <c r="AA16" s="118">
        <v>1485398.537</v>
      </c>
      <c r="AB16" s="14"/>
    </row>
    <row r="17" spans="2:28" ht="15">
      <c r="B17" s="13"/>
      <c r="C17" s="84" t="s">
        <v>80</v>
      </c>
      <c r="D17" s="84" t="s">
        <v>1</v>
      </c>
      <c r="E17" s="84" t="s">
        <v>84</v>
      </c>
      <c r="F17" s="84" t="s">
        <v>32</v>
      </c>
      <c r="G17" s="118">
        <v>150368.732</v>
      </c>
      <c r="H17" s="118">
        <v>144623.53</v>
      </c>
      <c r="I17" s="118">
        <v>139896.083</v>
      </c>
      <c r="J17" s="118">
        <v>137859.369</v>
      </c>
      <c r="K17" s="118">
        <v>139829.241</v>
      </c>
      <c r="L17" s="118">
        <v>139280.423</v>
      </c>
      <c r="M17" s="118">
        <v>142836.173</v>
      </c>
      <c r="N17" s="118">
        <v>139590.361</v>
      </c>
      <c r="O17" s="118">
        <v>140095.794</v>
      </c>
      <c r="P17" s="118">
        <v>136529.194</v>
      </c>
      <c r="Q17" s="118">
        <v>163922.162</v>
      </c>
      <c r="R17" s="118">
        <v>170654.262</v>
      </c>
      <c r="S17" s="118">
        <v>184468.835</v>
      </c>
      <c r="T17" s="118">
        <v>213604.232</v>
      </c>
      <c r="U17" s="118">
        <v>189156.081</v>
      </c>
      <c r="V17" s="118">
        <v>189361.392</v>
      </c>
      <c r="W17" s="118">
        <v>206501.599</v>
      </c>
      <c r="X17" s="118">
        <v>211449.819</v>
      </c>
      <c r="Y17" s="118">
        <v>218695.397</v>
      </c>
      <c r="Z17" s="118">
        <v>219624.382</v>
      </c>
      <c r="AA17" s="118">
        <v>220234.797</v>
      </c>
      <c r="AB17" s="14"/>
    </row>
    <row r="18" spans="2:28" ht="15">
      <c r="B18" s="13"/>
      <c r="C18" s="84" t="s">
        <v>80</v>
      </c>
      <c r="D18" s="84" t="s">
        <v>1</v>
      </c>
      <c r="E18" s="84" t="s">
        <v>85</v>
      </c>
      <c r="F18" s="84" t="s">
        <v>33</v>
      </c>
      <c r="G18" s="118">
        <v>3155112.592</v>
      </c>
      <c r="H18" s="118">
        <v>3217608.903</v>
      </c>
      <c r="I18" s="118">
        <v>3242184.078</v>
      </c>
      <c r="J18" s="118">
        <v>3342932.196</v>
      </c>
      <c r="K18" s="118">
        <v>3432871.206</v>
      </c>
      <c r="L18" s="118">
        <v>3574957.323</v>
      </c>
      <c r="M18" s="118">
        <v>3811375.207</v>
      </c>
      <c r="N18" s="118">
        <v>4041946.875</v>
      </c>
      <c r="O18" s="118">
        <v>3903512.066</v>
      </c>
      <c r="P18" s="118">
        <v>3303250.142</v>
      </c>
      <c r="Q18" s="118">
        <v>3068830.149</v>
      </c>
      <c r="R18" s="118">
        <v>3303752.384</v>
      </c>
      <c r="S18" s="118">
        <v>2934908.707</v>
      </c>
      <c r="T18" s="118">
        <v>2773384.281</v>
      </c>
      <c r="U18" s="118">
        <v>2785731.111</v>
      </c>
      <c r="V18" s="118">
        <v>2848366.985</v>
      </c>
      <c r="W18" s="118">
        <v>2842182.24</v>
      </c>
      <c r="X18" s="118">
        <v>2973242.244</v>
      </c>
      <c r="Y18" s="118">
        <v>3074023.077</v>
      </c>
      <c r="Z18" s="118">
        <v>3150037.696</v>
      </c>
      <c r="AA18" s="118">
        <v>3079075.25</v>
      </c>
      <c r="AB18" s="14"/>
    </row>
    <row r="19" spans="2:28" ht="15">
      <c r="B19" s="13"/>
      <c r="C19" s="84" t="s">
        <v>80</v>
      </c>
      <c r="D19" s="84" t="s">
        <v>1</v>
      </c>
      <c r="E19" s="84" t="s">
        <v>86</v>
      </c>
      <c r="F19" s="84" t="s">
        <v>34</v>
      </c>
      <c r="G19" s="118">
        <v>780986.268</v>
      </c>
      <c r="H19" s="118">
        <v>789913.189</v>
      </c>
      <c r="I19" s="118">
        <v>787154.834</v>
      </c>
      <c r="J19" s="118">
        <v>788473.561</v>
      </c>
      <c r="K19" s="118">
        <v>787460.995</v>
      </c>
      <c r="L19" s="118">
        <v>770015.388</v>
      </c>
      <c r="M19" s="118">
        <v>759190.147</v>
      </c>
      <c r="N19" s="118">
        <v>741551.488</v>
      </c>
      <c r="O19" s="118">
        <v>723440.855</v>
      </c>
      <c r="P19" s="118">
        <v>685934.575</v>
      </c>
      <c r="Q19" s="118">
        <v>684921.545</v>
      </c>
      <c r="R19" s="118">
        <v>703268.373</v>
      </c>
      <c r="S19" s="118">
        <v>699223.084</v>
      </c>
      <c r="T19" s="118">
        <v>674386.455</v>
      </c>
      <c r="U19" s="118">
        <v>639878.159</v>
      </c>
      <c r="V19" s="118">
        <v>616515.664</v>
      </c>
      <c r="W19" s="118">
        <v>573907.792</v>
      </c>
      <c r="X19" s="118">
        <v>574742.883</v>
      </c>
      <c r="Y19" s="118">
        <v>561655.088</v>
      </c>
      <c r="Z19" s="118">
        <v>478239.809</v>
      </c>
      <c r="AA19" s="118">
        <v>384298.57</v>
      </c>
      <c r="AB19" s="14"/>
    </row>
    <row r="20" spans="2:28" ht="15">
      <c r="B20" s="13"/>
      <c r="C20" s="84" t="s">
        <v>80</v>
      </c>
      <c r="D20" s="84" t="s">
        <v>1</v>
      </c>
      <c r="E20" s="84" t="s">
        <v>87</v>
      </c>
      <c r="F20" s="84" t="s">
        <v>35</v>
      </c>
      <c r="G20" s="119" t="s">
        <v>36</v>
      </c>
      <c r="H20" s="119" t="s">
        <v>36</v>
      </c>
      <c r="I20" s="119" t="s">
        <v>36</v>
      </c>
      <c r="J20" s="119" t="s">
        <v>36</v>
      </c>
      <c r="K20" s="119" t="s">
        <v>36</v>
      </c>
      <c r="L20" s="119" t="s">
        <v>36</v>
      </c>
      <c r="M20" s="119" t="s">
        <v>36</v>
      </c>
      <c r="N20" s="119" t="s">
        <v>36</v>
      </c>
      <c r="O20" s="119" t="s">
        <v>36</v>
      </c>
      <c r="P20" s="119" t="s">
        <v>36</v>
      </c>
      <c r="Q20" s="119" t="s">
        <v>36</v>
      </c>
      <c r="R20" s="119" t="s">
        <v>36</v>
      </c>
      <c r="S20" s="119" t="s">
        <v>36</v>
      </c>
      <c r="T20" s="119" t="s">
        <v>36</v>
      </c>
      <c r="U20" s="119" t="s">
        <v>36</v>
      </c>
      <c r="V20" s="119" t="s">
        <v>36</v>
      </c>
      <c r="W20" s="119" t="s">
        <v>36</v>
      </c>
      <c r="X20" s="119" t="s">
        <v>36</v>
      </c>
      <c r="Y20" s="119" t="s">
        <v>36</v>
      </c>
      <c r="Z20" s="119" t="s">
        <v>36</v>
      </c>
      <c r="AA20" s="119" t="s">
        <v>36</v>
      </c>
      <c r="AB20" s="14"/>
    </row>
    <row r="21" spans="2:28" ht="15">
      <c r="B21" s="13"/>
      <c r="C21" s="84" t="s">
        <v>80</v>
      </c>
      <c r="D21" s="84" t="s">
        <v>1</v>
      </c>
      <c r="E21" s="84" t="s">
        <v>88</v>
      </c>
      <c r="F21" s="84" t="s">
        <v>37</v>
      </c>
      <c r="G21" s="119" t="s">
        <v>36</v>
      </c>
      <c r="H21" s="119" t="s">
        <v>36</v>
      </c>
      <c r="I21" s="119" t="s">
        <v>36</v>
      </c>
      <c r="J21" s="119" t="s">
        <v>36</v>
      </c>
      <c r="K21" s="119" t="s">
        <v>36</v>
      </c>
      <c r="L21" s="119" t="s">
        <v>36</v>
      </c>
      <c r="M21" s="119" t="s">
        <v>36</v>
      </c>
      <c r="N21" s="119" t="s">
        <v>36</v>
      </c>
      <c r="O21" s="119" t="s">
        <v>36</v>
      </c>
      <c r="P21" s="119" t="s">
        <v>36</v>
      </c>
      <c r="Q21" s="119" t="s">
        <v>36</v>
      </c>
      <c r="R21" s="119" t="s">
        <v>36</v>
      </c>
      <c r="S21" s="119" t="s">
        <v>36</v>
      </c>
      <c r="T21" s="119" t="s">
        <v>36</v>
      </c>
      <c r="U21" s="119" t="s">
        <v>36</v>
      </c>
      <c r="V21" s="119" t="s">
        <v>36</v>
      </c>
      <c r="W21" s="119" t="s">
        <v>36</v>
      </c>
      <c r="X21" s="119" t="s">
        <v>36</v>
      </c>
      <c r="Y21" s="119" t="s">
        <v>36</v>
      </c>
      <c r="Z21" s="119" t="s">
        <v>36</v>
      </c>
      <c r="AA21" s="119" t="s">
        <v>36</v>
      </c>
      <c r="AB21" s="14"/>
    </row>
    <row r="22" spans="2:28" ht="15">
      <c r="B22" s="13"/>
      <c r="C22" s="84" t="s">
        <v>286</v>
      </c>
      <c r="D22" s="84" t="s">
        <v>287</v>
      </c>
      <c r="E22" s="84" t="s">
        <v>82</v>
      </c>
      <c r="F22" s="84" t="s">
        <v>14</v>
      </c>
      <c r="G22" s="118">
        <v>1484124.557</v>
      </c>
      <c r="H22" s="118">
        <v>1462513</v>
      </c>
      <c r="I22" s="118">
        <v>1531347.951</v>
      </c>
      <c r="J22" s="118">
        <v>1615654.633</v>
      </c>
      <c r="K22" s="118">
        <v>1669336.278</v>
      </c>
      <c r="L22" s="118">
        <v>1694677.041</v>
      </c>
      <c r="M22" s="118">
        <v>1738933.582</v>
      </c>
      <c r="N22" s="118">
        <v>1769391.143</v>
      </c>
      <c r="O22" s="118">
        <v>1750439.183</v>
      </c>
      <c r="P22" s="118">
        <v>1479750.017</v>
      </c>
      <c r="Q22" s="118">
        <v>1589116.191</v>
      </c>
      <c r="R22" s="118">
        <v>1615363.109</v>
      </c>
      <c r="S22" s="118">
        <v>1564667.726</v>
      </c>
      <c r="T22" s="118">
        <v>1550740.616</v>
      </c>
      <c r="U22" s="118">
        <v>1569952.039</v>
      </c>
      <c r="V22" s="118">
        <v>1636369.311</v>
      </c>
      <c r="W22" s="118">
        <v>1654547.724</v>
      </c>
      <c r="X22" s="118">
        <v>1697163.921</v>
      </c>
      <c r="Y22" s="118">
        <v>1732481.277</v>
      </c>
      <c r="Z22" s="118">
        <v>1698846.43</v>
      </c>
      <c r="AA22" s="118">
        <v>1525218.821</v>
      </c>
      <c r="AB22" s="14"/>
    </row>
    <row r="23" spans="2:28" ht="15">
      <c r="B23" s="13"/>
      <c r="C23" s="84" t="s">
        <v>286</v>
      </c>
      <c r="D23" s="84" t="s">
        <v>287</v>
      </c>
      <c r="E23" s="84" t="s">
        <v>83</v>
      </c>
      <c r="F23" s="84" t="s">
        <v>31</v>
      </c>
      <c r="G23" s="118">
        <v>153475.16</v>
      </c>
      <c r="H23" s="118">
        <v>157756.472</v>
      </c>
      <c r="I23" s="118">
        <v>166907.828</v>
      </c>
      <c r="J23" s="118">
        <v>166472.522</v>
      </c>
      <c r="K23" s="118">
        <v>168786.683</v>
      </c>
      <c r="L23" s="118">
        <v>170715.197</v>
      </c>
      <c r="M23" s="118">
        <v>172267.438</v>
      </c>
      <c r="N23" s="118">
        <v>185618.916</v>
      </c>
      <c r="O23" s="118">
        <v>181229.377</v>
      </c>
      <c r="P23" s="118">
        <v>152465.285</v>
      </c>
      <c r="Q23" s="118">
        <v>160900.563</v>
      </c>
      <c r="R23" s="118">
        <v>168496.093</v>
      </c>
      <c r="S23" s="118">
        <v>166818.485</v>
      </c>
      <c r="T23" s="118">
        <v>170848.581</v>
      </c>
      <c r="U23" s="118">
        <v>184874.329</v>
      </c>
      <c r="V23" s="118">
        <v>184576.48</v>
      </c>
      <c r="W23" s="118">
        <v>190095.714</v>
      </c>
      <c r="X23" s="118">
        <v>195473.547</v>
      </c>
      <c r="Y23" s="118">
        <v>207666.925</v>
      </c>
      <c r="Z23" s="118">
        <v>211620.768</v>
      </c>
      <c r="AA23" s="118">
        <v>200966.591</v>
      </c>
      <c r="AB23" s="14"/>
    </row>
    <row r="24" spans="2:28" ht="15">
      <c r="B24" s="13"/>
      <c r="C24" s="84" t="s">
        <v>286</v>
      </c>
      <c r="D24" s="84" t="s">
        <v>287</v>
      </c>
      <c r="E24" s="84" t="s">
        <v>84</v>
      </c>
      <c r="F24" s="84" t="s">
        <v>32</v>
      </c>
      <c r="G24" s="118">
        <v>238689.997</v>
      </c>
      <c r="H24" s="118">
        <v>225889.715</v>
      </c>
      <c r="I24" s="118">
        <v>227544.506</v>
      </c>
      <c r="J24" s="118">
        <v>244952.841</v>
      </c>
      <c r="K24" s="118">
        <v>268834.318</v>
      </c>
      <c r="L24" s="118">
        <v>278542.144</v>
      </c>
      <c r="M24" s="118">
        <v>284984.053</v>
      </c>
      <c r="N24" s="118">
        <v>291978.26</v>
      </c>
      <c r="O24" s="118">
        <v>281870.04</v>
      </c>
      <c r="P24" s="118">
        <v>167965.637</v>
      </c>
      <c r="Q24" s="118">
        <v>228036.241</v>
      </c>
      <c r="R24" s="118">
        <v>239713.175</v>
      </c>
      <c r="S24" s="118">
        <v>214252.554</v>
      </c>
      <c r="T24" s="118">
        <v>226256.132</v>
      </c>
      <c r="U24" s="118">
        <v>233734.92</v>
      </c>
      <c r="V24" s="118">
        <v>245623.83</v>
      </c>
      <c r="W24" s="118">
        <v>240139.457</v>
      </c>
      <c r="X24" s="118">
        <v>245761.863</v>
      </c>
      <c r="Y24" s="118">
        <v>259304.152</v>
      </c>
      <c r="Z24" s="118">
        <v>243802.43</v>
      </c>
      <c r="AA24" s="118">
        <v>212452.488</v>
      </c>
      <c r="AB24" s="14"/>
    </row>
    <row r="25" spans="2:28" ht="15">
      <c r="B25" s="13"/>
      <c r="C25" s="84" t="s">
        <v>286</v>
      </c>
      <c r="D25" s="84" t="s">
        <v>287</v>
      </c>
      <c r="E25" s="84" t="s">
        <v>85</v>
      </c>
      <c r="F25" s="84" t="s">
        <v>33</v>
      </c>
      <c r="G25" s="118">
        <v>87072.405</v>
      </c>
      <c r="H25" s="118">
        <v>89692.692</v>
      </c>
      <c r="I25" s="118">
        <v>93185.09</v>
      </c>
      <c r="J25" s="118">
        <v>99641.681</v>
      </c>
      <c r="K25" s="118">
        <v>104625.273</v>
      </c>
      <c r="L25" s="118">
        <v>107342.105</v>
      </c>
      <c r="M25" s="118">
        <v>109911.495</v>
      </c>
      <c r="N25" s="118">
        <v>121036.224</v>
      </c>
      <c r="O25" s="118">
        <v>107992.117</v>
      </c>
      <c r="P25" s="118">
        <v>81954.986</v>
      </c>
      <c r="Q25" s="118">
        <v>95234.462</v>
      </c>
      <c r="R25" s="118">
        <v>100131.915</v>
      </c>
      <c r="S25" s="118">
        <v>84354.655</v>
      </c>
      <c r="T25" s="118">
        <v>81594.42</v>
      </c>
      <c r="U25" s="118">
        <v>84325.018</v>
      </c>
      <c r="V25" s="118">
        <v>82590.889</v>
      </c>
      <c r="W25" s="118">
        <v>86854.888</v>
      </c>
      <c r="X25" s="118">
        <v>96726.977</v>
      </c>
      <c r="Y25" s="118">
        <v>101347.1</v>
      </c>
      <c r="Z25" s="118">
        <v>105810.895</v>
      </c>
      <c r="AA25" s="118">
        <v>102540.586</v>
      </c>
      <c r="AB25" s="14"/>
    </row>
    <row r="26" spans="2:28" ht="15">
      <c r="B26" s="13"/>
      <c r="C26" s="84" t="s">
        <v>286</v>
      </c>
      <c r="D26" s="84" t="s">
        <v>287</v>
      </c>
      <c r="E26" s="84" t="s">
        <v>86</v>
      </c>
      <c r="F26" s="84" t="s">
        <v>34</v>
      </c>
      <c r="G26" s="118">
        <v>971914.899</v>
      </c>
      <c r="H26" s="118">
        <v>957938.841</v>
      </c>
      <c r="I26" s="118">
        <v>1007257.159</v>
      </c>
      <c r="J26" s="118">
        <v>1063340.917</v>
      </c>
      <c r="K26" s="118">
        <v>1078591.864</v>
      </c>
      <c r="L26" s="118">
        <v>1095780.223</v>
      </c>
      <c r="M26" s="118">
        <v>1128534.146</v>
      </c>
      <c r="N26" s="118">
        <v>1122462.253</v>
      </c>
      <c r="O26" s="118">
        <v>1129043.696</v>
      </c>
      <c r="P26" s="118">
        <v>1033426.106</v>
      </c>
      <c r="Q26" s="118">
        <v>1055928.338</v>
      </c>
      <c r="R26" s="118">
        <v>1056690.197</v>
      </c>
      <c r="S26" s="118">
        <v>1051837.657</v>
      </c>
      <c r="T26" s="118">
        <v>1019606.78</v>
      </c>
      <c r="U26" s="118">
        <v>1013096.141</v>
      </c>
      <c r="V26" s="118">
        <v>1069945.235</v>
      </c>
      <c r="W26" s="118">
        <v>1079743.688</v>
      </c>
      <c r="X26" s="118">
        <v>1095843.34</v>
      </c>
      <c r="Y26" s="118">
        <v>1096691.84</v>
      </c>
      <c r="Z26" s="118">
        <v>1063332.934</v>
      </c>
      <c r="AA26" s="118">
        <v>939452.272</v>
      </c>
      <c r="AB26" s="14"/>
    </row>
    <row r="27" spans="2:28" ht="15">
      <c r="B27" s="13"/>
      <c r="C27" s="84" t="s">
        <v>286</v>
      </c>
      <c r="D27" s="84" t="s">
        <v>287</v>
      </c>
      <c r="E27" s="84" t="s">
        <v>87</v>
      </c>
      <c r="F27" s="84" t="s">
        <v>35</v>
      </c>
      <c r="G27" s="118">
        <v>32972</v>
      </c>
      <c r="H27" s="118">
        <v>31235</v>
      </c>
      <c r="I27" s="118">
        <v>36382</v>
      </c>
      <c r="J27" s="118">
        <v>41114</v>
      </c>
      <c r="K27" s="118">
        <v>48360.821</v>
      </c>
      <c r="L27" s="118">
        <v>42141.964</v>
      </c>
      <c r="M27" s="118">
        <v>43075.089</v>
      </c>
      <c r="N27" s="118">
        <v>48179.372</v>
      </c>
      <c r="O27" s="118">
        <v>50141.942</v>
      </c>
      <c r="P27" s="118">
        <v>43333.955</v>
      </c>
      <c r="Q27" s="118">
        <v>48233.316</v>
      </c>
      <c r="R27" s="118">
        <v>49542.994</v>
      </c>
      <c r="S27" s="118">
        <v>46592.891</v>
      </c>
      <c r="T27" s="118">
        <v>51554.322</v>
      </c>
      <c r="U27" s="118">
        <v>52775.418</v>
      </c>
      <c r="V27" s="118">
        <v>52464.441</v>
      </c>
      <c r="W27" s="118">
        <v>55202.616</v>
      </c>
      <c r="X27" s="118">
        <v>59433.997</v>
      </c>
      <c r="Y27" s="118">
        <v>66084.75</v>
      </c>
      <c r="Z27" s="118">
        <v>72954.123</v>
      </c>
      <c r="AA27" s="118">
        <v>68189.131</v>
      </c>
      <c r="AB27" s="14"/>
    </row>
    <row r="28" spans="2:28" ht="15">
      <c r="B28" s="13"/>
      <c r="C28" s="84" t="s">
        <v>286</v>
      </c>
      <c r="D28" s="84" t="s">
        <v>287</v>
      </c>
      <c r="E28" s="84" t="s">
        <v>88</v>
      </c>
      <c r="F28" s="84" t="s">
        <v>37</v>
      </c>
      <c r="G28" s="118">
        <v>0.097</v>
      </c>
      <c r="H28" s="118">
        <v>0.28</v>
      </c>
      <c r="I28" s="118">
        <v>71.368</v>
      </c>
      <c r="J28" s="118">
        <v>132.672</v>
      </c>
      <c r="K28" s="118">
        <v>137.319</v>
      </c>
      <c r="L28" s="118">
        <v>155.407</v>
      </c>
      <c r="M28" s="118">
        <v>161.361</v>
      </c>
      <c r="N28" s="118">
        <v>116.118</v>
      </c>
      <c r="O28" s="118">
        <v>162.011</v>
      </c>
      <c r="P28" s="118">
        <v>604.048</v>
      </c>
      <c r="Q28" s="118">
        <v>783.271</v>
      </c>
      <c r="R28" s="118">
        <v>788.734</v>
      </c>
      <c r="S28" s="118">
        <v>811.484</v>
      </c>
      <c r="T28" s="118">
        <v>880.38</v>
      </c>
      <c r="U28" s="118">
        <v>1146.213</v>
      </c>
      <c r="V28" s="118">
        <v>1168.436</v>
      </c>
      <c r="W28" s="118">
        <v>2511.36</v>
      </c>
      <c r="X28" s="118">
        <v>3924.196</v>
      </c>
      <c r="Y28" s="118">
        <v>1386.51</v>
      </c>
      <c r="Z28" s="118">
        <v>1325.28</v>
      </c>
      <c r="AA28" s="118">
        <v>1617.754</v>
      </c>
      <c r="AB28" s="14"/>
    </row>
    <row r="29" spans="2:28" ht="15">
      <c r="B29" s="13"/>
      <c r="C29" s="84" t="s">
        <v>288</v>
      </c>
      <c r="D29" s="84" t="s">
        <v>4</v>
      </c>
      <c r="E29" s="84" t="s">
        <v>82</v>
      </c>
      <c r="F29" s="84" t="s">
        <v>14</v>
      </c>
      <c r="G29" s="118">
        <v>442422.393</v>
      </c>
      <c r="H29" s="118">
        <v>441252.553</v>
      </c>
      <c r="I29" s="118">
        <v>467876.368</v>
      </c>
      <c r="J29" s="118">
        <v>479623.024</v>
      </c>
      <c r="K29" s="118">
        <v>505228.866</v>
      </c>
      <c r="L29" s="118">
        <v>532029.179</v>
      </c>
      <c r="M29" s="118">
        <v>555701.73</v>
      </c>
      <c r="N29" s="118">
        <v>569602.154</v>
      </c>
      <c r="O29" s="118">
        <v>581778.821</v>
      </c>
      <c r="P29" s="118">
        <v>546869.292</v>
      </c>
      <c r="Q29" s="118">
        <v>604251.406</v>
      </c>
      <c r="R29" s="118">
        <v>624715.422</v>
      </c>
      <c r="S29" s="118">
        <v>669893.347</v>
      </c>
      <c r="T29" s="118">
        <v>700460.314</v>
      </c>
      <c r="U29" s="118">
        <v>710366.945</v>
      </c>
      <c r="V29" s="118">
        <v>716760.043</v>
      </c>
      <c r="W29" s="118">
        <v>738911.088</v>
      </c>
      <c r="X29" s="118">
        <v>764934.202</v>
      </c>
      <c r="Y29" s="118">
        <v>745693.946</v>
      </c>
      <c r="Z29" s="118">
        <v>745534.407</v>
      </c>
      <c r="AA29" s="118">
        <v>718274.287</v>
      </c>
      <c r="AB29" s="14"/>
    </row>
    <row r="30" spans="2:28" ht="15">
      <c r="B30" s="13"/>
      <c r="C30" s="84" t="s">
        <v>288</v>
      </c>
      <c r="D30" s="84" t="s">
        <v>4</v>
      </c>
      <c r="E30" s="84" t="s">
        <v>83</v>
      </c>
      <c r="F30" s="84" t="s">
        <v>31</v>
      </c>
      <c r="G30" s="118">
        <v>124670.239</v>
      </c>
      <c r="H30" s="118">
        <v>120272.523</v>
      </c>
      <c r="I30" s="118">
        <v>125846.358</v>
      </c>
      <c r="J30" s="118">
        <v>129918.512</v>
      </c>
      <c r="K30" s="118">
        <v>127866.86</v>
      </c>
      <c r="L30" s="118">
        <v>142229.895</v>
      </c>
      <c r="M30" s="118">
        <v>148443.103</v>
      </c>
      <c r="N30" s="118">
        <v>137871.264</v>
      </c>
      <c r="O30" s="118">
        <v>147961.282</v>
      </c>
      <c r="P30" s="118">
        <v>144618.547</v>
      </c>
      <c r="Q30" s="118">
        <v>160273.609</v>
      </c>
      <c r="R30" s="118">
        <v>161582.595</v>
      </c>
      <c r="S30" s="118">
        <v>166124.389</v>
      </c>
      <c r="T30" s="118">
        <v>184717.957</v>
      </c>
      <c r="U30" s="118">
        <v>192178.381</v>
      </c>
      <c r="V30" s="118">
        <v>201992.081</v>
      </c>
      <c r="W30" s="118">
        <v>203232.752</v>
      </c>
      <c r="X30" s="118">
        <v>199837.937</v>
      </c>
      <c r="Y30" s="118">
        <v>195697.715</v>
      </c>
      <c r="Z30" s="118">
        <v>215188.243</v>
      </c>
      <c r="AA30" s="118">
        <v>228873.868</v>
      </c>
      <c r="AB30" s="14"/>
    </row>
    <row r="31" spans="2:28" ht="15">
      <c r="B31" s="13"/>
      <c r="C31" s="84" t="s">
        <v>288</v>
      </c>
      <c r="D31" s="84" t="s">
        <v>4</v>
      </c>
      <c r="E31" s="84" t="s">
        <v>84</v>
      </c>
      <c r="F31" s="84" t="s">
        <v>32</v>
      </c>
      <c r="G31" s="118">
        <v>84913.947</v>
      </c>
      <c r="H31" s="118">
        <v>83596.851</v>
      </c>
      <c r="I31" s="118">
        <v>93760.067</v>
      </c>
      <c r="J31" s="118">
        <v>96901.953</v>
      </c>
      <c r="K31" s="118">
        <v>105990.823</v>
      </c>
      <c r="L31" s="118">
        <v>108157.291</v>
      </c>
      <c r="M31" s="118">
        <v>111460.225</v>
      </c>
      <c r="N31" s="118">
        <v>115313.529</v>
      </c>
      <c r="O31" s="118">
        <v>118640.368</v>
      </c>
      <c r="P31" s="118">
        <v>104879.078</v>
      </c>
      <c r="Q31" s="118">
        <v>119889.249</v>
      </c>
      <c r="R31" s="118">
        <v>133381.09</v>
      </c>
      <c r="S31" s="118">
        <v>139136.12</v>
      </c>
      <c r="T31" s="118">
        <v>134641.566</v>
      </c>
      <c r="U31" s="118">
        <v>134018.654</v>
      </c>
      <c r="V31" s="118">
        <v>122059.714</v>
      </c>
      <c r="W31" s="118">
        <v>123863.045</v>
      </c>
      <c r="X31" s="118">
        <v>130546.369</v>
      </c>
      <c r="Y31" s="118">
        <v>127707.565</v>
      </c>
      <c r="Z31" s="118">
        <v>130033.437</v>
      </c>
      <c r="AA31" s="118">
        <v>120846.223</v>
      </c>
      <c r="AB31" s="14"/>
    </row>
    <row r="32" spans="2:28" ht="15">
      <c r="B32" s="13"/>
      <c r="C32" s="84" t="s">
        <v>288</v>
      </c>
      <c r="D32" s="84" t="s">
        <v>4</v>
      </c>
      <c r="E32" s="84" t="s">
        <v>85</v>
      </c>
      <c r="F32" s="84" t="s">
        <v>33</v>
      </c>
      <c r="G32" s="118">
        <v>66457.57</v>
      </c>
      <c r="H32" s="118">
        <v>66973.605</v>
      </c>
      <c r="I32" s="118">
        <v>69352.207</v>
      </c>
      <c r="J32" s="118">
        <v>70994.688</v>
      </c>
      <c r="K32" s="118">
        <v>72895.69</v>
      </c>
      <c r="L32" s="118">
        <v>77791.18</v>
      </c>
      <c r="M32" s="118">
        <v>74529.813</v>
      </c>
      <c r="N32" s="118">
        <v>75067.542</v>
      </c>
      <c r="O32" s="118">
        <v>74750.589</v>
      </c>
      <c r="P32" s="118">
        <v>67325.259</v>
      </c>
      <c r="Q32" s="118">
        <v>79047.166</v>
      </c>
      <c r="R32" s="118">
        <v>80694.358</v>
      </c>
      <c r="S32" s="118">
        <v>89451.351</v>
      </c>
      <c r="T32" s="118">
        <v>96538.394</v>
      </c>
      <c r="U32" s="118">
        <v>102171.728</v>
      </c>
      <c r="V32" s="118">
        <v>102923.536</v>
      </c>
      <c r="W32" s="118">
        <v>103283.063</v>
      </c>
      <c r="X32" s="118">
        <v>103905.95</v>
      </c>
      <c r="Y32" s="118">
        <v>101736.999</v>
      </c>
      <c r="Z32" s="118">
        <v>94779.74</v>
      </c>
      <c r="AA32" s="118">
        <v>89447.091</v>
      </c>
      <c r="AB32" s="14"/>
    </row>
    <row r="33" spans="2:28" ht="15">
      <c r="B33" s="13"/>
      <c r="C33" s="84" t="s">
        <v>288</v>
      </c>
      <c r="D33" s="84" t="s">
        <v>4</v>
      </c>
      <c r="E33" s="84" t="s">
        <v>86</v>
      </c>
      <c r="F33" s="84" t="s">
        <v>34</v>
      </c>
      <c r="G33" s="118">
        <v>127971.976</v>
      </c>
      <c r="H33" s="118">
        <v>129338.963</v>
      </c>
      <c r="I33" s="118">
        <v>136178.399</v>
      </c>
      <c r="J33" s="118">
        <v>142864.035</v>
      </c>
      <c r="K33" s="118">
        <v>155997.38</v>
      </c>
      <c r="L33" s="118">
        <v>162457.663</v>
      </c>
      <c r="M33" s="118">
        <v>177997.224</v>
      </c>
      <c r="N33" s="118">
        <v>196351.27</v>
      </c>
      <c r="O33" s="118">
        <v>194067.589</v>
      </c>
      <c r="P33" s="118">
        <v>188400.794</v>
      </c>
      <c r="Q33" s="118">
        <v>197166.16</v>
      </c>
      <c r="R33" s="118">
        <v>199553.095</v>
      </c>
      <c r="S33" s="118">
        <v>224687.578</v>
      </c>
      <c r="T33" s="118">
        <v>231609.599</v>
      </c>
      <c r="U33" s="118">
        <v>227050.199</v>
      </c>
      <c r="V33" s="118">
        <v>235597.269</v>
      </c>
      <c r="W33" s="118">
        <v>253651.64</v>
      </c>
      <c r="X33" s="118">
        <v>271281.475</v>
      </c>
      <c r="Y33" s="118">
        <v>261705.373</v>
      </c>
      <c r="Z33" s="118">
        <v>246182.248</v>
      </c>
      <c r="AA33" s="118">
        <v>222155.522</v>
      </c>
      <c r="AB33" s="14"/>
    </row>
    <row r="34" spans="2:28" ht="15">
      <c r="B34" s="13"/>
      <c r="C34" s="84" t="s">
        <v>288</v>
      </c>
      <c r="D34" s="84" t="s">
        <v>4</v>
      </c>
      <c r="E34" s="84" t="s">
        <v>87</v>
      </c>
      <c r="F34" s="84" t="s">
        <v>35</v>
      </c>
      <c r="G34" s="118">
        <v>38408.123</v>
      </c>
      <c r="H34" s="118">
        <v>41070.156</v>
      </c>
      <c r="I34" s="118">
        <v>42714.761</v>
      </c>
      <c r="J34" s="118">
        <v>38875.138</v>
      </c>
      <c r="K34" s="118">
        <v>42401.421</v>
      </c>
      <c r="L34" s="118">
        <v>41338.857</v>
      </c>
      <c r="M34" s="118">
        <v>43054.619</v>
      </c>
      <c r="N34" s="118">
        <v>44817.556</v>
      </c>
      <c r="O34" s="118">
        <v>46188.387</v>
      </c>
      <c r="P34" s="118">
        <v>41466.722</v>
      </c>
      <c r="Q34" s="118">
        <v>47438.951</v>
      </c>
      <c r="R34" s="118">
        <v>48916.874</v>
      </c>
      <c r="S34" s="118">
        <v>49860.546</v>
      </c>
      <c r="T34" s="118">
        <v>52349.961</v>
      </c>
      <c r="U34" s="118">
        <v>54361.04</v>
      </c>
      <c r="V34" s="118">
        <v>53582.451</v>
      </c>
      <c r="W34" s="118">
        <v>54412.093</v>
      </c>
      <c r="X34" s="118">
        <v>58878.525</v>
      </c>
      <c r="Y34" s="118">
        <v>58366.804</v>
      </c>
      <c r="Z34" s="118">
        <v>58777.214</v>
      </c>
      <c r="AA34" s="118">
        <v>56395.421</v>
      </c>
      <c r="AB34" s="14"/>
    </row>
    <row r="35" spans="2:28" ht="15">
      <c r="B35" s="13"/>
      <c r="C35" s="84" t="s">
        <v>288</v>
      </c>
      <c r="D35" s="84" t="s">
        <v>4</v>
      </c>
      <c r="E35" s="84" t="s">
        <v>88</v>
      </c>
      <c r="F35" s="84" t="s">
        <v>37</v>
      </c>
      <c r="G35" s="118">
        <v>0.538</v>
      </c>
      <c r="H35" s="118">
        <v>0.456</v>
      </c>
      <c r="I35" s="118">
        <v>24.575</v>
      </c>
      <c r="J35" s="118">
        <v>68.699</v>
      </c>
      <c r="K35" s="118">
        <v>76.692</v>
      </c>
      <c r="L35" s="118">
        <v>54.292</v>
      </c>
      <c r="M35" s="118">
        <v>216.746</v>
      </c>
      <c r="N35" s="118">
        <v>180.992</v>
      </c>
      <c r="O35" s="118">
        <v>170.605</v>
      </c>
      <c r="P35" s="118">
        <v>178.892</v>
      </c>
      <c r="Q35" s="118">
        <v>436.271</v>
      </c>
      <c r="R35" s="118">
        <v>587.411</v>
      </c>
      <c r="S35" s="118">
        <v>633.363</v>
      </c>
      <c r="T35" s="118">
        <v>602.837</v>
      </c>
      <c r="U35" s="118">
        <v>586.943</v>
      </c>
      <c r="V35" s="118">
        <v>604.991</v>
      </c>
      <c r="W35" s="118">
        <v>468.495</v>
      </c>
      <c r="X35" s="118">
        <v>483.947</v>
      </c>
      <c r="Y35" s="118">
        <v>479.489</v>
      </c>
      <c r="Z35" s="118">
        <v>573.525</v>
      </c>
      <c r="AA35" s="118">
        <v>556.162</v>
      </c>
      <c r="AB35" s="14"/>
    </row>
    <row r="36" spans="2:28" ht="15">
      <c r="B36" s="13"/>
      <c r="C36" s="120" t="s">
        <v>72</v>
      </c>
      <c r="D36" s="120" t="s">
        <v>109</v>
      </c>
      <c r="E36" s="120" t="s">
        <v>82</v>
      </c>
      <c r="F36" s="120" t="s">
        <v>14</v>
      </c>
      <c r="G36" s="118">
        <v>6595481.564</v>
      </c>
      <c r="H36" s="118">
        <v>6620375.136</v>
      </c>
      <c r="I36" s="118">
        <v>6680664.297</v>
      </c>
      <c r="J36" s="118">
        <v>6746353.021</v>
      </c>
      <c r="K36" s="118">
        <v>7058697.139</v>
      </c>
      <c r="L36" s="118">
        <v>7117134.293</v>
      </c>
      <c r="M36" s="118">
        <v>7291236.154</v>
      </c>
      <c r="N36" s="118">
        <v>7565973.875</v>
      </c>
      <c r="O36" s="118">
        <v>7421672.164</v>
      </c>
      <c r="P36" s="118">
        <v>6515743.463</v>
      </c>
      <c r="Q36" s="118">
        <v>6323733.837</v>
      </c>
      <c r="R36" s="118">
        <v>6657404.758</v>
      </c>
      <c r="S36" s="118">
        <v>6143666.471</v>
      </c>
      <c r="T36" s="118">
        <v>5986876.415</v>
      </c>
      <c r="U36" s="118">
        <v>6050505.262</v>
      </c>
      <c r="V36" s="118">
        <v>6042912.183</v>
      </c>
      <c r="W36" s="118">
        <v>6033493.753</v>
      </c>
      <c r="X36" s="118">
        <v>6230132.937</v>
      </c>
      <c r="Y36" s="118">
        <v>6321814.912</v>
      </c>
      <c r="Z36" s="118">
        <v>6278956.746</v>
      </c>
      <c r="AA36" s="118">
        <v>5975951.688</v>
      </c>
      <c r="AB36" s="14"/>
    </row>
    <row r="37" spans="2:28" ht="15">
      <c r="B37" s="13"/>
      <c r="C37" s="120" t="s">
        <v>72</v>
      </c>
      <c r="D37" s="120" t="s">
        <v>109</v>
      </c>
      <c r="E37" s="120" t="s">
        <v>83</v>
      </c>
      <c r="F37" s="120" t="s">
        <v>31</v>
      </c>
      <c r="G37" s="118">
        <v>1496116.73</v>
      </c>
      <c r="H37" s="118">
        <v>1484453.017</v>
      </c>
      <c r="I37" s="118">
        <v>1489019.191</v>
      </c>
      <c r="J37" s="118">
        <v>1377610.297</v>
      </c>
      <c r="K37" s="118">
        <v>1575348.108</v>
      </c>
      <c r="L37" s="118">
        <v>1498718.599</v>
      </c>
      <c r="M37" s="118">
        <v>1418427.11</v>
      </c>
      <c r="N37" s="118">
        <v>1490843.813</v>
      </c>
      <c r="O37" s="118">
        <v>1519231.182</v>
      </c>
      <c r="P37" s="118">
        <v>1464995.566</v>
      </c>
      <c r="Q37" s="118">
        <v>1421822.149</v>
      </c>
      <c r="R37" s="118">
        <v>1495995.55</v>
      </c>
      <c r="S37" s="118">
        <v>1430985.563</v>
      </c>
      <c r="T37" s="118">
        <v>1461351.768</v>
      </c>
      <c r="U37" s="118">
        <v>1568850.765</v>
      </c>
      <c r="V37" s="118">
        <v>1451643.273</v>
      </c>
      <c r="W37" s="118">
        <v>1482128.448</v>
      </c>
      <c r="X37" s="118">
        <v>1534103.883</v>
      </c>
      <c r="Y37" s="118">
        <v>1492623.229</v>
      </c>
      <c r="Z37" s="118">
        <v>1474175.362</v>
      </c>
      <c r="AA37" s="118">
        <v>1457491.26</v>
      </c>
      <c r="AB37" s="14"/>
    </row>
    <row r="38" spans="2:28" ht="15">
      <c r="B38" s="13"/>
      <c r="C38" s="120" t="s">
        <v>72</v>
      </c>
      <c r="D38" s="120" t="s">
        <v>109</v>
      </c>
      <c r="E38" s="120" t="s">
        <v>84</v>
      </c>
      <c r="F38" s="120" t="s">
        <v>32</v>
      </c>
      <c r="G38" s="118">
        <v>304144.782</v>
      </c>
      <c r="H38" s="118">
        <v>286916.394</v>
      </c>
      <c r="I38" s="118">
        <v>273680.522</v>
      </c>
      <c r="J38" s="118">
        <v>285910.257</v>
      </c>
      <c r="K38" s="118">
        <v>302672.736</v>
      </c>
      <c r="L38" s="118">
        <v>309665.276</v>
      </c>
      <c r="M38" s="118">
        <v>316360.001</v>
      </c>
      <c r="N38" s="118">
        <v>316255.092</v>
      </c>
      <c r="O38" s="118">
        <v>303325.466</v>
      </c>
      <c r="P38" s="118">
        <v>199615.753</v>
      </c>
      <c r="Q38" s="118">
        <v>272069.155</v>
      </c>
      <c r="R38" s="118">
        <v>276986.347</v>
      </c>
      <c r="S38" s="118">
        <v>259585.268</v>
      </c>
      <c r="T38" s="118">
        <v>305218.799</v>
      </c>
      <c r="U38" s="118">
        <v>288872.348</v>
      </c>
      <c r="V38" s="118">
        <v>312925.508</v>
      </c>
      <c r="W38" s="118">
        <v>322778.011</v>
      </c>
      <c r="X38" s="118">
        <v>326665.313</v>
      </c>
      <c r="Y38" s="118">
        <v>350291.984</v>
      </c>
      <c r="Z38" s="118">
        <v>333393.375</v>
      </c>
      <c r="AA38" s="118">
        <v>311841.062</v>
      </c>
      <c r="AB38" s="14"/>
    </row>
    <row r="39" spans="2:28" ht="15">
      <c r="B39" s="13"/>
      <c r="C39" s="120" t="s">
        <v>72</v>
      </c>
      <c r="D39" s="120" t="s">
        <v>109</v>
      </c>
      <c r="E39" s="120" t="s">
        <v>85</v>
      </c>
      <c r="F39" s="120" t="s">
        <v>33</v>
      </c>
      <c r="G39" s="118">
        <v>3175727.427</v>
      </c>
      <c r="H39" s="118">
        <v>3240327.99</v>
      </c>
      <c r="I39" s="118">
        <v>3266016.96</v>
      </c>
      <c r="J39" s="118">
        <v>3371579.19</v>
      </c>
      <c r="K39" s="118">
        <v>3464600.79</v>
      </c>
      <c r="L39" s="118">
        <v>3604508.248</v>
      </c>
      <c r="M39" s="118">
        <v>3846756.889</v>
      </c>
      <c r="N39" s="118">
        <v>4087915.557</v>
      </c>
      <c r="O39" s="118">
        <v>3936753.594</v>
      </c>
      <c r="P39" s="118">
        <v>3317879.869</v>
      </c>
      <c r="Q39" s="118">
        <v>3085017.445</v>
      </c>
      <c r="R39" s="118">
        <v>3323189.942</v>
      </c>
      <c r="S39" s="118">
        <v>2929812.011</v>
      </c>
      <c r="T39" s="118">
        <v>2758440.307</v>
      </c>
      <c r="U39" s="118">
        <v>2767884.4</v>
      </c>
      <c r="V39" s="118">
        <v>2828034.338</v>
      </c>
      <c r="W39" s="118">
        <v>2825754.065</v>
      </c>
      <c r="X39" s="118">
        <v>2966063.271</v>
      </c>
      <c r="Y39" s="118">
        <v>3073633.178</v>
      </c>
      <c r="Z39" s="118">
        <v>3161068.851</v>
      </c>
      <c r="AA39" s="118">
        <v>3092168.745</v>
      </c>
      <c r="AB39" s="14"/>
    </row>
    <row r="40" spans="2:28" ht="15">
      <c r="B40" s="13"/>
      <c r="C40" s="120" t="s">
        <v>72</v>
      </c>
      <c r="D40" s="120" t="s">
        <v>109</v>
      </c>
      <c r="E40" s="120" t="s">
        <v>86</v>
      </c>
      <c r="F40" s="120" t="s">
        <v>34</v>
      </c>
      <c r="G40" s="118">
        <v>1624929.191</v>
      </c>
      <c r="H40" s="118">
        <v>1618513.067</v>
      </c>
      <c r="I40" s="118">
        <v>1658233.593</v>
      </c>
      <c r="J40" s="118">
        <v>1708950.442</v>
      </c>
      <c r="K40" s="118">
        <v>1710055.478</v>
      </c>
      <c r="L40" s="118">
        <v>1703337.949</v>
      </c>
      <c r="M40" s="118">
        <v>1709727.07</v>
      </c>
      <c r="N40" s="118">
        <v>1667662.471</v>
      </c>
      <c r="O40" s="118">
        <v>1658416.962</v>
      </c>
      <c r="P40" s="118">
        <v>1530959.887</v>
      </c>
      <c r="Q40" s="118">
        <v>1543683.723</v>
      </c>
      <c r="R40" s="118">
        <v>1560405.476</v>
      </c>
      <c r="S40" s="118">
        <v>1526373.163</v>
      </c>
      <c r="T40" s="118">
        <v>1462383.636</v>
      </c>
      <c r="U40" s="118">
        <v>1425924.1</v>
      </c>
      <c r="V40" s="118">
        <v>1450863.63</v>
      </c>
      <c r="W40" s="118">
        <v>1399999.84</v>
      </c>
      <c r="X40" s="118">
        <v>1399304.748</v>
      </c>
      <c r="Y40" s="118">
        <v>1396641.555</v>
      </c>
      <c r="Z40" s="118">
        <v>1295390.494</v>
      </c>
      <c r="AA40" s="118">
        <v>1101595.319</v>
      </c>
      <c r="AB40" s="14"/>
    </row>
    <row r="41" spans="2:28" ht="15">
      <c r="B41" s="13"/>
      <c r="C41" s="120" t="s">
        <v>72</v>
      </c>
      <c r="D41" s="120" t="s">
        <v>109</v>
      </c>
      <c r="E41" s="120" t="s">
        <v>87</v>
      </c>
      <c r="F41" s="120" t="s">
        <v>35</v>
      </c>
      <c r="G41" s="118">
        <v>-5436.123</v>
      </c>
      <c r="H41" s="118">
        <v>-9835.156</v>
      </c>
      <c r="I41" s="118">
        <v>-6332.761</v>
      </c>
      <c r="J41" s="118">
        <v>2238.862</v>
      </c>
      <c r="K41" s="118">
        <v>5959.4</v>
      </c>
      <c r="L41" s="118">
        <v>803.107</v>
      </c>
      <c r="M41" s="118">
        <v>20.47</v>
      </c>
      <c r="N41" s="118">
        <v>3361.816</v>
      </c>
      <c r="O41" s="118">
        <v>3953.555</v>
      </c>
      <c r="P41" s="118">
        <v>1867.232</v>
      </c>
      <c r="Q41" s="118">
        <v>794.365</v>
      </c>
      <c r="R41" s="118">
        <v>626.12</v>
      </c>
      <c r="S41" s="118">
        <v>-3267.655</v>
      </c>
      <c r="T41" s="118">
        <v>-795.639</v>
      </c>
      <c r="U41" s="118">
        <v>-1585.622</v>
      </c>
      <c r="V41" s="118">
        <v>-1118.01</v>
      </c>
      <c r="W41" s="118">
        <v>790.524</v>
      </c>
      <c r="X41" s="118">
        <v>555.472</v>
      </c>
      <c r="Y41" s="118">
        <v>7717.946</v>
      </c>
      <c r="Z41" s="118">
        <v>14176.909</v>
      </c>
      <c r="AA41" s="118">
        <v>11793.71</v>
      </c>
      <c r="AB41" s="14"/>
    </row>
    <row r="42" spans="2:28" ht="15">
      <c r="B42" s="13"/>
      <c r="C42" s="120" t="s">
        <v>72</v>
      </c>
      <c r="D42" s="120" t="s">
        <v>109</v>
      </c>
      <c r="E42" s="120" t="s">
        <v>88</v>
      </c>
      <c r="F42" s="120" t="s">
        <v>37</v>
      </c>
      <c r="G42" s="118">
        <v>-0.441</v>
      </c>
      <c r="H42" s="118">
        <v>-0.175</v>
      </c>
      <c r="I42" s="118">
        <v>46.793</v>
      </c>
      <c r="J42" s="118">
        <v>63.973</v>
      </c>
      <c r="K42" s="118">
        <v>60.627</v>
      </c>
      <c r="L42" s="118">
        <v>101.115</v>
      </c>
      <c r="M42" s="118">
        <v>-55.385</v>
      </c>
      <c r="N42" s="118">
        <v>-64.874</v>
      </c>
      <c r="O42" s="118">
        <v>-8.594</v>
      </c>
      <c r="P42" s="118">
        <v>425.157</v>
      </c>
      <c r="Q42" s="118">
        <v>347</v>
      </c>
      <c r="R42" s="118">
        <v>201.323</v>
      </c>
      <c r="S42" s="118">
        <v>178.121</v>
      </c>
      <c r="T42" s="118">
        <v>277.544</v>
      </c>
      <c r="U42" s="118">
        <v>559.27</v>
      </c>
      <c r="V42" s="118">
        <v>563.445</v>
      </c>
      <c r="W42" s="118">
        <v>2042.865</v>
      </c>
      <c r="X42" s="118">
        <v>3440.25</v>
      </c>
      <c r="Y42" s="118">
        <v>907.021</v>
      </c>
      <c r="Z42" s="118">
        <v>751.755</v>
      </c>
      <c r="AA42" s="118">
        <v>1061.592</v>
      </c>
      <c r="AB42" s="14"/>
    </row>
    <row r="43" spans="2:28" ht="15">
      <c r="B43" s="13"/>
      <c r="C43" s="120" t="s">
        <v>81</v>
      </c>
      <c r="D43" s="120" t="s">
        <v>110</v>
      </c>
      <c r="E43" s="120" t="s">
        <v>82</v>
      </c>
      <c r="F43" s="120" t="s">
        <v>14</v>
      </c>
      <c r="G43" s="118">
        <v>7037903.957</v>
      </c>
      <c r="H43" s="118">
        <v>7061627.689</v>
      </c>
      <c r="I43" s="118">
        <v>7148540.665</v>
      </c>
      <c r="J43" s="118">
        <v>7225976.046</v>
      </c>
      <c r="K43" s="118">
        <v>7563926.005</v>
      </c>
      <c r="L43" s="118">
        <v>7649163.472</v>
      </c>
      <c r="M43" s="118">
        <v>7846937.883</v>
      </c>
      <c r="N43" s="118">
        <v>8135576.028</v>
      </c>
      <c r="O43" s="118">
        <v>8003450.986</v>
      </c>
      <c r="P43" s="118">
        <v>7062612.755</v>
      </c>
      <c r="Q43" s="118">
        <v>6927985.243</v>
      </c>
      <c r="R43" s="118">
        <v>7282120.18</v>
      </c>
      <c r="S43" s="118">
        <v>6813559.818</v>
      </c>
      <c r="T43" s="118">
        <v>6687336.729</v>
      </c>
      <c r="U43" s="118">
        <v>6760872.207</v>
      </c>
      <c r="V43" s="118">
        <v>6759672.226</v>
      </c>
      <c r="W43" s="118">
        <v>6772404.841</v>
      </c>
      <c r="X43" s="118">
        <v>6995067.14</v>
      </c>
      <c r="Y43" s="118">
        <v>7067508.858</v>
      </c>
      <c r="Z43" s="118">
        <v>7024491.153</v>
      </c>
      <c r="AA43" s="118">
        <v>6694225.975</v>
      </c>
      <c r="AB43" s="14"/>
    </row>
    <row r="44" spans="2:28" ht="15">
      <c r="B44" s="13"/>
      <c r="C44" s="120" t="s">
        <v>81</v>
      </c>
      <c r="D44" s="120" t="s">
        <v>110</v>
      </c>
      <c r="E44" s="120" t="s">
        <v>83</v>
      </c>
      <c r="F44" s="120" t="s">
        <v>31</v>
      </c>
      <c r="G44" s="118">
        <v>1620786.968</v>
      </c>
      <c r="H44" s="118">
        <v>1604725.54</v>
      </c>
      <c r="I44" s="118">
        <v>1614865.549</v>
      </c>
      <c r="J44" s="118">
        <v>1507528.808</v>
      </c>
      <c r="K44" s="118">
        <v>1703214.967</v>
      </c>
      <c r="L44" s="118">
        <v>1640948.494</v>
      </c>
      <c r="M44" s="118">
        <v>1566870.212</v>
      </c>
      <c r="N44" s="118">
        <v>1628715.077</v>
      </c>
      <c r="O44" s="118">
        <v>1667192.464</v>
      </c>
      <c r="P44" s="118">
        <v>1609614.113</v>
      </c>
      <c r="Q44" s="118">
        <v>1582095.759</v>
      </c>
      <c r="R44" s="118">
        <v>1657578.145</v>
      </c>
      <c r="S44" s="118">
        <v>1597109.952</v>
      </c>
      <c r="T44" s="118">
        <v>1646069.725</v>
      </c>
      <c r="U44" s="118">
        <v>1761029.146</v>
      </c>
      <c r="V44" s="118">
        <v>1653635.354</v>
      </c>
      <c r="W44" s="118">
        <v>1685361.2</v>
      </c>
      <c r="X44" s="118">
        <v>1733941.82</v>
      </c>
      <c r="Y44" s="118">
        <v>1688320.944</v>
      </c>
      <c r="Z44" s="118">
        <v>1689363.605</v>
      </c>
      <c r="AA44" s="118">
        <v>1686365.128</v>
      </c>
      <c r="AB44" s="14"/>
    </row>
    <row r="45" spans="2:28" ht="15">
      <c r="B45" s="13"/>
      <c r="C45" s="120" t="s">
        <v>81</v>
      </c>
      <c r="D45" s="120" t="s">
        <v>110</v>
      </c>
      <c r="E45" s="120" t="s">
        <v>84</v>
      </c>
      <c r="F45" s="120" t="s">
        <v>32</v>
      </c>
      <c r="G45" s="118">
        <v>389058.729</v>
      </c>
      <c r="H45" s="118">
        <v>370513.245</v>
      </c>
      <c r="I45" s="118">
        <v>367440.589</v>
      </c>
      <c r="J45" s="118">
        <v>382812.21</v>
      </c>
      <c r="K45" s="118">
        <v>408663.559</v>
      </c>
      <c r="L45" s="118">
        <v>417822.567</v>
      </c>
      <c r="M45" s="118">
        <v>427820.226</v>
      </c>
      <c r="N45" s="118">
        <v>431568.621</v>
      </c>
      <c r="O45" s="118">
        <v>421965.834</v>
      </c>
      <c r="P45" s="118">
        <v>304494.83</v>
      </c>
      <c r="Q45" s="118">
        <v>391958.403</v>
      </c>
      <c r="R45" s="118">
        <v>410367.437</v>
      </c>
      <c r="S45" s="118">
        <v>398721.388</v>
      </c>
      <c r="T45" s="118">
        <v>439860.365</v>
      </c>
      <c r="U45" s="118">
        <v>422891.002</v>
      </c>
      <c r="V45" s="118">
        <v>434985.222</v>
      </c>
      <c r="W45" s="118">
        <v>446641.056</v>
      </c>
      <c r="X45" s="118">
        <v>457211.682</v>
      </c>
      <c r="Y45" s="118">
        <v>477999.549</v>
      </c>
      <c r="Z45" s="118">
        <v>463426.812</v>
      </c>
      <c r="AA45" s="118">
        <v>432687.285</v>
      </c>
      <c r="AB45" s="14"/>
    </row>
    <row r="46" spans="2:28" ht="15">
      <c r="B46" s="13"/>
      <c r="C46" s="120" t="s">
        <v>81</v>
      </c>
      <c r="D46" s="120" t="s">
        <v>110</v>
      </c>
      <c r="E46" s="120" t="s">
        <v>85</v>
      </c>
      <c r="F46" s="120" t="s">
        <v>33</v>
      </c>
      <c r="G46" s="118">
        <v>3242184.996</v>
      </c>
      <c r="H46" s="118">
        <v>3307301.595</v>
      </c>
      <c r="I46" s="118">
        <v>3335369.167</v>
      </c>
      <c r="J46" s="118">
        <v>3442573.877</v>
      </c>
      <c r="K46" s="118">
        <v>3537496.48</v>
      </c>
      <c r="L46" s="118">
        <v>3682299.428</v>
      </c>
      <c r="M46" s="118">
        <v>3921286.702</v>
      </c>
      <c r="N46" s="118">
        <v>4162983.099</v>
      </c>
      <c r="O46" s="118">
        <v>4011504.183</v>
      </c>
      <c r="P46" s="118">
        <v>3385205.128</v>
      </c>
      <c r="Q46" s="118">
        <v>3164064.611</v>
      </c>
      <c r="R46" s="118">
        <v>3403884.3</v>
      </c>
      <c r="S46" s="118">
        <v>3019263.362</v>
      </c>
      <c r="T46" s="118">
        <v>2854978.701</v>
      </c>
      <c r="U46" s="118">
        <v>2870056.128</v>
      </c>
      <c r="V46" s="118">
        <v>2930957.874</v>
      </c>
      <c r="W46" s="118">
        <v>2929037.129</v>
      </c>
      <c r="X46" s="118">
        <v>3069969.222</v>
      </c>
      <c r="Y46" s="118">
        <v>3175370.177</v>
      </c>
      <c r="Z46" s="118">
        <v>3255848.591</v>
      </c>
      <c r="AA46" s="118">
        <v>3181615.836</v>
      </c>
      <c r="AB46" s="14"/>
    </row>
    <row r="47" spans="2:28" ht="15">
      <c r="B47" s="13"/>
      <c r="C47" s="120" t="s">
        <v>81</v>
      </c>
      <c r="D47" s="120" t="s">
        <v>110</v>
      </c>
      <c r="E47" s="120" t="s">
        <v>86</v>
      </c>
      <c r="F47" s="120" t="s">
        <v>34</v>
      </c>
      <c r="G47" s="118">
        <v>1752901.167</v>
      </c>
      <c r="H47" s="118">
        <v>1747852.03</v>
      </c>
      <c r="I47" s="118">
        <v>1794411.992</v>
      </c>
      <c r="J47" s="118">
        <v>1851814.477</v>
      </c>
      <c r="K47" s="118">
        <v>1866052.859</v>
      </c>
      <c r="L47" s="118">
        <v>1865795.612</v>
      </c>
      <c r="M47" s="118">
        <v>1887724.293</v>
      </c>
      <c r="N47" s="118">
        <v>1864013.741</v>
      </c>
      <c r="O47" s="118">
        <v>1852484.551</v>
      </c>
      <c r="P47" s="118">
        <v>1719360.681</v>
      </c>
      <c r="Q47" s="118">
        <v>1740849.883</v>
      </c>
      <c r="R47" s="118">
        <v>1759958.571</v>
      </c>
      <c r="S47" s="118">
        <v>1751060.741</v>
      </c>
      <c r="T47" s="118">
        <v>1693993.235</v>
      </c>
      <c r="U47" s="118">
        <v>1652974.3</v>
      </c>
      <c r="V47" s="118">
        <v>1686460.899</v>
      </c>
      <c r="W47" s="118">
        <v>1653651.48</v>
      </c>
      <c r="X47" s="118">
        <v>1670586.223</v>
      </c>
      <c r="Y47" s="118">
        <v>1658346.928</v>
      </c>
      <c r="Z47" s="118">
        <v>1541572.742</v>
      </c>
      <c r="AA47" s="118">
        <v>1323750.841</v>
      </c>
      <c r="AB47" s="14"/>
    </row>
    <row r="48" spans="2:28" ht="15">
      <c r="B48" s="13"/>
      <c r="C48" s="120" t="s">
        <v>81</v>
      </c>
      <c r="D48" s="120" t="s">
        <v>110</v>
      </c>
      <c r="E48" s="120" t="s">
        <v>87</v>
      </c>
      <c r="F48" s="120" t="s">
        <v>35</v>
      </c>
      <c r="G48" s="118">
        <v>32972</v>
      </c>
      <c r="H48" s="118">
        <v>31235</v>
      </c>
      <c r="I48" s="118">
        <v>36382</v>
      </c>
      <c r="J48" s="118">
        <v>41114</v>
      </c>
      <c r="K48" s="118">
        <v>48360.821</v>
      </c>
      <c r="L48" s="118">
        <v>42141.964</v>
      </c>
      <c r="M48" s="118">
        <v>43075.089</v>
      </c>
      <c r="N48" s="118">
        <v>48179.372</v>
      </c>
      <c r="O48" s="118">
        <v>50141.942</v>
      </c>
      <c r="P48" s="118">
        <v>43333.955</v>
      </c>
      <c r="Q48" s="118">
        <v>48233.316</v>
      </c>
      <c r="R48" s="118">
        <v>49542.994</v>
      </c>
      <c r="S48" s="118">
        <v>46592.891</v>
      </c>
      <c r="T48" s="118">
        <v>51554.322</v>
      </c>
      <c r="U48" s="118">
        <v>52775.418</v>
      </c>
      <c r="V48" s="118">
        <v>52464.441</v>
      </c>
      <c r="W48" s="118">
        <v>55202.616</v>
      </c>
      <c r="X48" s="118">
        <v>59433.997</v>
      </c>
      <c r="Y48" s="118">
        <v>66084.75</v>
      </c>
      <c r="Z48" s="118">
        <v>72954.123</v>
      </c>
      <c r="AA48" s="118">
        <v>68189.131</v>
      </c>
      <c r="AB48" s="14"/>
    </row>
    <row r="49" spans="2:28" ht="15">
      <c r="B49" s="13"/>
      <c r="C49" s="120" t="s">
        <v>81</v>
      </c>
      <c r="D49" s="120" t="s">
        <v>110</v>
      </c>
      <c r="E49" s="120" t="s">
        <v>88</v>
      </c>
      <c r="F49" s="120" t="s">
        <v>37</v>
      </c>
      <c r="G49" s="118">
        <v>0.097</v>
      </c>
      <c r="H49" s="118">
        <v>0.28</v>
      </c>
      <c r="I49" s="118">
        <v>71.368</v>
      </c>
      <c r="J49" s="118">
        <v>132.672</v>
      </c>
      <c r="K49" s="118">
        <v>137.319</v>
      </c>
      <c r="L49" s="118">
        <v>155.407</v>
      </c>
      <c r="M49" s="118">
        <v>161.361</v>
      </c>
      <c r="N49" s="118">
        <v>116.118</v>
      </c>
      <c r="O49" s="118">
        <v>162.011</v>
      </c>
      <c r="P49" s="118">
        <v>604.048</v>
      </c>
      <c r="Q49" s="118">
        <v>783.271</v>
      </c>
      <c r="R49" s="118">
        <v>788.734</v>
      </c>
      <c r="S49" s="118">
        <v>811.484</v>
      </c>
      <c r="T49" s="118">
        <v>880.38</v>
      </c>
      <c r="U49" s="118">
        <v>1146.213</v>
      </c>
      <c r="V49" s="118">
        <v>1168.436</v>
      </c>
      <c r="W49" s="118">
        <v>2511.36</v>
      </c>
      <c r="X49" s="118">
        <v>3924.196</v>
      </c>
      <c r="Y49" s="118">
        <v>1386.51</v>
      </c>
      <c r="Z49" s="118">
        <v>1325.28</v>
      </c>
      <c r="AA49" s="118">
        <v>1617.754</v>
      </c>
      <c r="AB49" s="14"/>
    </row>
    <row r="50" spans="2:28" ht="15">
      <c r="B50" s="13"/>
      <c r="C50" s="154"/>
      <c r="D50" s="154"/>
      <c r="E50" s="154"/>
      <c r="F50" s="154"/>
      <c r="G50" s="153"/>
      <c r="H50" s="153"/>
      <c r="I50" s="153"/>
      <c r="J50" s="153"/>
      <c r="K50" s="153"/>
      <c r="L50" s="153"/>
      <c r="M50" s="153"/>
      <c r="N50" s="153"/>
      <c r="O50" s="153"/>
      <c r="P50" s="153"/>
      <c r="Q50" s="153"/>
      <c r="R50" s="153"/>
      <c r="S50" s="153"/>
      <c r="T50" s="153"/>
      <c r="U50" s="153"/>
      <c r="V50" s="153"/>
      <c r="W50" s="153"/>
      <c r="X50" s="153"/>
      <c r="Y50" s="153"/>
      <c r="Z50" s="153"/>
      <c r="AA50" s="153"/>
      <c r="AB50" s="14"/>
    </row>
    <row r="51" spans="2:28" ht="15">
      <c r="B51" s="13"/>
      <c r="C51" s="11" t="s">
        <v>38</v>
      </c>
      <c r="D51" s="11"/>
      <c r="E51" s="11"/>
      <c r="F51" s="15"/>
      <c r="G51" s="153"/>
      <c r="H51" s="153"/>
      <c r="I51" s="153"/>
      <c r="J51" s="153"/>
      <c r="K51" s="153"/>
      <c r="L51" s="153"/>
      <c r="M51" s="153"/>
      <c r="N51" s="153"/>
      <c r="O51" s="153"/>
      <c r="P51" s="153"/>
      <c r="Q51" s="153"/>
      <c r="R51" s="153"/>
      <c r="S51" s="153"/>
      <c r="T51" s="153"/>
      <c r="U51" s="153"/>
      <c r="V51" s="153"/>
      <c r="W51" s="153"/>
      <c r="X51" s="153"/>
      <c r="Y51" s="153"/>
      <c r="Z51" s="153"/>
      <c r="AA51" s="153"/>
      <c r="AB51" s="14"/>
    </row>
    <row r="52" spans="2:28" ht="15">
      <c r="B52" s="13"/>
      <c r="C52" s="11" t="s">
        <v>36</v>
      </c>
      <c r="D52" s="11"/>
      <c r="E52" s="11"/>
      <c r="F52" s="11" t="s">
        <v>39</v>
      </c>
      <c r="G52" s="153"/>
      <c r="H52" s="153"/>
      <c r="I52" s="153"/>
      <c r="J52" s="153"/>
      <c r="K52" s="153"/>
      <c r="L52" s="153"/>
      <c r="M52" s="153"/>
      <c r="N52" s="153"/>
      <c r="O52" s="153"/>
      <c r="P52" s="153"/>
      <c r="Q52" s="153"/>
      <c r="R52" s="153"/>
      <c r="S52" s="153"/>
      <c r="T52" s="153"/>
      <c r="U52" s="153"/>
      <c r="V52" s="153"/>
      <c r="W52" s="153"/>
      <c r="X52" s="153"/>
      <c r="Y52" s="153"/>
      <c r="Z52" s="153"/>
      <c r="AA52" s="153"/>
      <c r="AB52" s="14"/>
    </row>
    <row r="53" spans="2:28" ht="15">
      <c r="B53" s="13"/>
      <c r="C53" s="11"/>
      <c r="D53" s="11"/>
      <c r="E53" s="11"/>
      <c r="F53" s="11"/>
      <c r="G53" s="153"/>
      <c r="H53" s="153"/>
      <c r="I53" s="153"/>
      <c r="J53" s="153"/>
      <c r="K53" s="153"/>
      <c r="L53" s="153"/>
      <c r="M53" s="153"/>
      <c r="N53" s="153"/>
      <c r="O53" s="153"/>
      <c r="P53" s="153"/>
      <c r="Q53" s="153"/>
      <c r="R53" s="153"/>
      <c r="S53" s="153"/>
      <c r="T53" s="153"/>
      <c r="U53" s="153"/>
      <c r="V53" s="153"/>
      <c r="W53" s="153"/>
      <c r="X53" s="153"/>
      <c r="Y53" s="153"/>
      <c r="Z53" s="153"/>
      <c r="AA53" s="153"/>
      <c r="AB53" s="14"/>
    </row>
    <row r="54" spans="2:28" ht="15">
      <c r="B54" s="13"/>
      <c r="C54" s="11" t="s">
        <v>13</v>
      </c>
      <c r="D54" s="11" t="s">
        <v>307</v>
      </c>
      <c r="E54" s="11"/>
      <c r="F54" s="11"/>
      <c r="G54" s="153"/>
      <c r="H54" s="153"/>
      <c r="I54" s="153"/>
      <c r="J54" s="153"/>
      <c r="K54" s="153"/>
      <c r="L54" s="153"/>
      <c r="M54" s="153"/>
      <c r="N54" s="153"/>
      <c r="O54" s="153"/>
      <c r="P54" s="153"/>
      <c r="Q54" s="153"/>
      <c r="R54" s="153"/>
      <c r="S54" s="153"/>
      <c r="T54" s="153"/>
      <c r="U54" s="153"/>
      <c r="V54" s="153"/>
      <c r="W54" s="153"/>
      <c r="X54" s="153"/>
      <c r="Y54" s="153"/>
      <c r="Z54" s="153"/>
      <c r="AA54" s="153"/>
      <c r="AB54" s="14"/>
    </row>
    <row r="55" spans="2:28" ht="15">
      <c r="B55" s="13"/>
      <c r="C55" s="11" t="s">
        <v>15</v>
      </c>
      <c r="D55" s="11" t="s">
        <v>303</v>
      </c>
      <c r="E55" s="11"/>
      <c r="F55" s="11"/>
      <c r="G55" s="153"/>
      <c r="H55" s="153"/>
      <c r="I55" s="153"/>
      <c r="J55" s="153"/>
      <c r="K55" s="153"/>
      <c r="L55" s="153"/>
      <c r="M55" s="153"/>
      <c r="N55" s="153"/>
      <c r="O55" s="153"/>
      <c r="P55" s="153"/>
      <c r="Q55" s="153"/>
      <c r="R55" s="153"/>
      <c r="S55" s="153"/>
      <c r="T55" s="153"/>
      <c r="U55" s="153"/>
      <c r="V55" s="153"/>
      <c r="W55" s="153"/>
      <c r="X55" s="153"/>
      <c r="Y55" s="153"/>
      <c r="Z55" s="153"/>
      <c r="AA55" s="153"/>
      <c r="AB55" s="14"/>
    </row>
    <row r="56" spans="2:28" ht="15">
      <c r="B56" s="13"/>
      <c r="C56" s="11"/>
      <c r="D56" s="11"/>
      <c r="E56" s="11"/>
      <c r="F56" s="11"/>
      <c r="G56" s="153"/>
      <c r="H56" s="153"/>
      <c r="I56" s="153"/>
      <c r="J56" s="153"/>
      <c r="K56" s="153"/>
      <c r="L56" s="153"/>
      <c r="M56" s="153"/>
      <c r="N56" s="153"/>
      <c r="O56" s="153"/>
      <c r="P56" s="153"/>
      <c r="Q56" s="153"/>
      <c r="R56" s="153"/>
      <c r="S56" s="153"/>
      <c r="T56" s="153"/>
      <c r="U56" s="153"/>
      <c r="V56" s="153"/>
      <c r="W56" s="153"/>
      <c r="X56" s="153"/>
      <c r="Y56" s="153"/>
      <c r="Z56" s="153"/>
      <c r="AA56" s="153"/>
      <c r="AB56" s="14"/>
    </row>
    <row r="57" spans="2:28" ht="15">
      <c r="B57" s="13"/>
      <c r="C57" s="84" t="s">
        <v>115</v>
      </c>
      <c r="D57" s="84" t="s">
        <v>116</v>
      </c>
      <c r="E57" s="84" t="s">
        <v>78</v>
      </c>
      <c r="F57" s="84" t="s">
        <v>79</v>
      </c>
      <c r="G57" s="84" t="s">
        <v>16</v>
      </c>
      <c r="H57" s="84" t="s">
        <v>17</v>
      </c>
      <c r="I57" s="84" t="s">
        <v>18</v>
      </c>
      <c r="J57" s="84" t="s">
        <v>19</v>
      </c>
      <c r="K57" s="84" t="s">
        <v>20</v>
      </c>
      <c r="L57" s="84" t="s">
        <v>21</v>
      </c>
      <c r="M57" s="84" t="s">
        <v>22</v>
      </c>
      <c r="N57" s="84" t="s">
        <v>23</v>
      </c>
      <c r="O57" s="84" t="s">
        <v>24</v>
      </c>
      <c r="P57" s="84" t="s">
        <v>25</v>
      </c>
      <c r="Q57" s="84" t="s">
        <v>26</v>
      </c>
      <c r="R57" s="84" t="s">
        <v>27</v>
      </c>
      <c r="S57" s="84" t="s">
        <v>28</v>
      </c>
      <c r="T57" s="84" t="s">
        <v>48</v>
      </c>
      <c r="U57" s="84" t="s">
        <v>76</v>
      </c>
      <c r="V57" s="84" t="s">
        <v>101</v>
      </c>
      <c r="W57" s="84" t="s">
        <v>106</v>
      </c>
      <c r="X57" s="84" t="s">
        <v>289</v>
      </c>
      <c r="Y57" s="84" t="s">
        <v>291</v>
      </c>
      <c r="Z57" s="84" t="s">
        <v>300</v>
      </c>
      <c r="AA57" s="84" t="s">
        <v>326</v>
      </c>
      <c r="AB57" s="14"/>
    </row>
    <row r="58" spans="2:28" ht="15">
      <c r="B58" s="13"/>
      <c r="C58" s="84" t="s">
        <v>80</v>
      </c>
      <c r="D58" s="84" t="s">
        <v>1</v>
      </c>
      <c r="E58" s="84" t="s">
        <v>82</v>
      </c>
      <c r="F58" s="84" t="s">
        <v>14</v>
      </c>
      <c r="G58" s="118">
        <v>12.948</v>
      </c>
      <c r="H58" s="118">
        <v>13.037</v>
      </c>
      <c r="I58" s="118">
        <v>13.049</v>
      </c>
      <c r="J58" s="118">
        <v>12.988</v>
      </c>
      <c r="K58" s="118">
        <v>13.595</v>
      </c>
      <c r="L58" s="118">
        <v>13.685</v>
      </c>
      <c r="M58" s="118">
        <v>13.992</v>
      </c>
      <c r="N58" s="118">
        <v>14.535</v>
      </c>
      <c r="O58" s="118">
        <v>14.231</v>
      </c>
      <c r="P58" s="118">
        <v>12.676</v>
      </c>
      <c r="Q58" s="118">
        <v>12.105</v>
      </c>
      <c r="R58" s="118">
        <v>12.871</v>
      </c>
      <c r="S58" s="118">
        <v>11.905</v>
      </c>
      <c r="T58" s="118">
        <v>11.622</v>
      </c>
      <c r="U58" s="118">
        <v>11.71</v>
      </c>
      <c r="V58" s="118">
        <v>11.533</v>
      </c>
      <c r="W58" s="118">
        <v>11.496</v>
      </c>
      <c r="X58" s="118">
        <v>11.882</v>
      </c>
      <c r="Y58" s="118">
        <v>11.946</v>
      </c>
      <c r="Z58" s="118">
        <v>11.917</v>
      </c>
      <c r="AA58" s="118">
        <v>11.556</v>
      </c>
      <c r="AB58" s="14"/>
    </row>
    <row r="59" spans="2:28" ht="15">
      <c r="B59" s="13"/>
      <c r="C59" s="84" t="s">
        <v>80</v>
      </c>
      <c r="D59" s="84" t="s">
        <v>1</v>
      </c>
      <c r="E59" s="84" t="s">
        <v>83</v>
      </c>
      <c r="F59" s="84" t="s">
        <v>31</v>
      </c>
      <c r="G59" s="118">
        <v>3.421</v>
      </c>
      <c r="H59" s="118">
        <v>3.369</v>
      </c>
      <c r="I59" s="118">
        <v>3.364</v>
      </c>
      <c r="J59" s="118">
        <v>3.104</v>
      </c>
      <c r="K59" s="118">
        <v>3.539</v>
      </c>
      <c r="L59" s="118">
        <v>3.379</v>
      </c>
      <c r="M59" s="118">
        <v>3.195</v>
      </c>
      <c r="N59" s="118">
        <v>3.295</v>
      </c>
      <c r="O59" s="118">
        <v>3.382</v>
      </c>
      <c r="P59" s="118">
        <v>3.308</v>
      </c>
      <c r="Q59" s="118">
        <v>3.222</v>
      </c>
      <c r="R59" s="118">
        <v>3.382</v>
      </c>
      <c r="S59" s="118">
        <v>3.244</v>
      </c>
      <c r="T59" s="118">
        <v>3.338</v>
      </c>
      <c r="U59" s="118">
        <v>3.556</v>
      </c>
      <c r="V59" s="118">
        <v>3.307</v>
      </c>
      <c r="W59" s="118">
        <v>3.359</v>
      </c>
      <c r="X59" s="118">
        <v>3.45</v>
      </c>
      <c r="Y59" s="118">
        <v>3.315</v>
      </c>
      <c r="Z59" s="118">
        <v>3.307</v>
      </c>
      <c r="AA59" s="118">
        <v>3.321</v>
      </c>
      <c r="AB59" s="14"/>
    </row>
    <row r="60" spans="2:28" ht="15">
      <c r="B60" s="13"/>
      <c r="C60" s="84" t="s">
        <v>80</v>
      </c>
      <c r="D60" s="84" t="s">
        <v>1</v>
      </c>
      <c r="E60" s="84" t="s">
        <v>84</v>
      </c>
      <c r="F60" s="84" t="s">
        <v>32</v>
      </c>
      <c r="G60" s="118">
        <v>0.351</v>
      </c>
      <c r="H60" s="118">
        <v>0.337</v>
      </c>
      <c r="I60" s="118">
        <v>0.325</v>
      </c>
      <c r="J60" s="118">
        <v>0.319</v>
      </c>
      <c r="K60" s="118">
        <v>0.322</v>
      </c>
      <c r="L60" s="118">
        <v>0.32</v>
      </c>
      <c r="M60" s="118">
        <v>0.327</v>
      </c>
      <c r="N60" s="118">
        <v>0.319</v>
      </c>
      <c r="O60" s="118">
        <v>0.319</v>
      </c>
      <c r="P60" s="118">
        <v>0.31</v>
      </c>
      <c r="Q60" s="118">
        <v>0.372</v>
      </c>
      <c r="R60" s="118">
        <v>0.388</v>
      </c>
      <c r="S60" s="118">
        <v>0.418</v>
      </c>
      <c r="T60" s="118">
        <v>0.483</v>
      </c>
      <c r="U60" s="118">
        <v>0.427</v>
      </c>
      <c r="V60" s="118">
        <v>0.426</v>
      </c>
      <c r="W60" s="118">
        <v>0.464</v>
      </c>
      <c r="X60" s="118">
        <v>0.474</v>
      </c>
      <c r="Y60" s="118">
        <v>0.49</v>
      </c>
      <c r="Z60" s="118">
        <v>0.491</v>
      </c>
      <c r="AA60" s="118">
        <v>0.492</v>
      </c>
      <c r="AB60" s="14"/>
    </row>
    <row r="61" spans="2:28" ht="15">
      <c r="B61" s="13"/>
      <c r="C61" s="84" t="s">
        <v>80</v>
      </c>
      <c r="D61" s="84" t="s">
        <v>1</v>
      </c>
      <c r="E61" s="84" t="s">
        <v>85</v>
      </c>
      <c r="F61" s="84" t="s">
        <v>33</v>
      </c>
      <c r="G61" s="118">
        <v>7.356</v>
      </c>
      <c r="H61" s="118">
        <v>7.492</v>
      </c>
      <c r="I61" s="118">
        <v>7.532</v>
      </c>
      <c r="J61" s="118">
        <v>7.739</v>
      </c>
      <c r="K61" s="118">
        <v>7.917</v>
      </c>
      <c r="L61" s="118">
        <v>8.216</v>
      </c>
      <c r="M61" s="118">
        <v>8.731</v>
      </c>
      <c r="N61" s="118">
        <v>9.229</v>
      </c>
      <c r="O61" s="118">
        <v>8.884</v>
      </c>
      <c r="P61" s="118">
        <v>7.5</v>
      </c>
      <c r="Q61" s="118">
        <v>6.958</v>
      </c>
      <c r="R61" s="118">
        <v>7.504</v>
      </c>
      <c r="S61" s="118">
        <v>6.657</v>
      </c>
      <c r="T61" s="118">
        <v>6.275</v>
      </c>
      <c r="U61" s="118">
        <v>6.284</v>
      </c>
      <c r="V61" s="118">
        <v>6.412</v>
      </c>
      <c r="W61" s="118">
        <v>6.385</v>
      </c>
      <c r="X61" s="118">
        <v>6.668</v>
      </c>
      <c r="Y61" s="118">
        <v>6.883</v>
      </c>
      <c r="Z61" s="118">
        <v>7.049</v>
      </c>
      <c r="AA61" s="118">
        <v>6.883</v>
      </c>
      <c r="AB61" s="14"/>
    </row>
    <row r="62" spans="2:28" ht="15">
      <c r="B62" s="13"/>
      <c r="C62" s="84" t="s">
        <v>80</v>
      </c>
      <c r="D62" s="84" t="s">
        <v>1</v>
      </c>
      <c r="E62" s="84" t="s">
        <v>86</v>
      </c>
      <c r="F62" s="84" t="s">
        <v>34</v>
      </c>
      <c r="G62" s="118">
        <v>1.821</v>
      </c>
      <c r="H62" s="118">
        <v>1.839</v>
      </c>
      <c r="I62" s="118">
        <v>1.829</v>
      </c>
      <c r="J62" s="118">
        <v>1.825</v>
      </c>
      <c r="K62" s="118">
        <v>1.816</v>
      </c>
      <c r="L62" s="118">
        <v>1.77</v>
      </c>
      <c r="M62" s="118">
        <v>1.739</v>
      </c>
      <c r="N62" s="118">
        <v>1.693</v>
      </c>
      <c r="O62" s="118">
        <v>1.646</v>
      </c>
      <c r="P62" s="118">
        <v>1.557</v>
      </c>
      <c r="Q62" s="118">
        <v>1.553</v>
      </c>
      <c r="R62" s="118">
        <v>1.597</v>
      </c>
      <c r="S62" s="118">
        <v>1.586</v>
      </c>
      <c r="T62" s="118">
        <v>1.526</v>
      </c>
      <c r="U62" s="118">
        <v>1.444</v>
      </c>
      <c r="V62" s="118">
        <v>1.388</v>
      </c>
      <c r="W62" s="118">
        <v>1.289</v>
      </c>
      <c r="X62" s="118">
        <v>1.289</v>
      </c>
      <c r="Y62" s="118">
        <v>1.258</v>
      </c>
      <c r="Z62" s="118">
        <v>1.07</v>
      </c>
      <c r="AA62" s="118">
        <v>0.859</v>
      </c>
      <c r="AB62" s="14"/>
    </row>
    <row r="63" spans="2:28" ht="15">
      <c r="B63" s="13"/>
      <c r="C63" s="84" t="s">
        <v>80</v>
      </c>
      <c r="D63" s="84" t="s">
        <v>1</v>
      </c>
      <c r="E63" s="84" t="s">
        <v>87</v>
      </c>
      <c r="F63" s="84" t="s">
        <v>35</v>
      </c>
      <c r="G63" s="119" t="s">
        <v>36</v>
      </c>
      <c r="H63" s="119" t="s">
        <v>36</v>
      </c>
      <c r="I63" s="119" t="s">
        <v>36</v>
      </c>
      <c r="J63" s="119" t="s">
        <v>36</v>
      </c>
      <c r="K63" s="119" t="s">
        <v>36</v>
      </c>
      <c r="L63" s="119" t="s">
        <v>36</v>
      </c>
      <c r="M63" s="119" t="s">
        <v>36</v>
      </c>
      <c r="N63" s="119" t="s">
        <v>36</v>
      </c>
      <c r="O63" s="119" t="s">
        <v>36</v>
      </c>
      <c r="P63" s="119" t="s">
        <v>36</v>
      </c>
      <c r="Q63" s="119" t="s">
        <v>36</v>
      </c>
      <c r="R63" s="119" t="s">
        <v>36</v>
      </c>
      <c r="S63" s="119" t="s">
        <v>36</v>
      </c>
      <c r="T63" s="119" t="s">
        <v>36</v>
      </c>
      <c r="U63" s="119" t="s">
        <v>36</v>
      </c>
      <c r="V63" s="119" t="s">
        <v>36</v>
      </c>
      <c r="W63" s="119" t="s">
        <v>36</v>
      </c>
      <c r="X63" s="119" t="s">
        <v>36</v>
      </c>
      <c r="Y63" s="119" t="s">
        <v>36</v>
      </c>
      <c r="Z63" s="119" t="s">
        <v>36</v>
      </c>
      <c r="AA63" s="119" t="s">
        <v>36</v>
      </c>
      <c r="AB63" s="14"/>
    </row>
    <row r="64" spans="2:28" ht="15">
      <c r="B64" s="13"/>
      <c r="C64" s="84" t="s">
        <v>80</v>
      </c>
      <c r="D64" s="84" t="s">
        <v>1</v>
      </c>
      <c r="E64" s="84" t="s">
        <v>88</v>
      </c>
      <c r="F64" s="84" t="s">
        <v>37</v>
      </c>
      <c r="G64" s="119" t="s">
        <v>36</v>
      </c>
      <c r="H64" s="119" t="s">
        <v>36</v>
      </c>
      <c r="I64" s="119" t="s">
        <v>36</v>
      </c>
      <c r="J64" s="119" t="s">
        <v>36</v>
      </c>
      <c r="K64" s="119" t="s">
        <v>36</v>
      </c>
      <c r="L64" s="119" t="s">
        <v>36</v>
      </c>
      <c r="M64" s="119" t="s">
        <v>36</v>
      </c>
      <c r="N64" s="119" t="s">
        <v>36</v>
      </c>
      <c r="O64" s="119" t="s">
        <v>36</v>
      </c>
      <c r="P64" s="119" t="s">
        <v>36</v>
      </c>
      <c r="Q64" s="119" t="s">
        <v>36</v>
      </c>
      <c r="R64" s="119" t="s">
        <v>36</v>
      </c>
      <c r="S64" s="119" t="s">
        <v>36</v>
      </c>
      <c r="T64" s="119" t="s">
        <v>36</v>
      </c>
      <c r="U64" s="119" t="s">
        <v>36</v>
      </c>
      <c r="V64" s="119" t="s">
        <v>36</v>
      </c>
      <c r="W64" s="119" t="s">
        <v>36</v>
      </c>
      <c r="X64" s="119" t="s">
        <v>36</v>
      </c>
      <c r="Y64" s="119" t="s">
        <v>36</v>
      </c>
      <c r="Z64" s="119" t="s">
        <v>36</v>
      </c>
      <c r="AA64" s="119" t="s">
        <v>36</v>
      </c>
      <c r="AB64" s="14"/>
    </row>
    <row r="65" spans="2:28" ht="15">
      <c r="B65" s="13"/>
      <c r="C65" s="84" t="s">
        <v>286</v>
      </c>
      <c r="D65" s="84" t="s">
        <v>287</v>
      </c>
      <c r="E65" s="84" t="s">
        <v>82</v>
      </c>
      <c r="F65" s="84" t="s">
        <v>14</v>
      </c>
      <c r="G65" s="118">
        <v>3.46</v>
      </c>
      <c r="H65" s="118">
        <v>3.405</v>
      </c>
      <c r="I65" s="118">
        <v>3.557</v>
      </c>
      <c r="J65" s="118">
        <v>3.74</v>
      </c>
      <c r="K65" s="118">
        <v>3.85</v>
      </c>
      <c r="L65" s="118">
        <v>3.895</v>
      </c>
      <c r="M65" s="118">
        <v>3.984</v>
      </c>
      <c r="N65" s="118">
        <v>4.04</v>
      </c>
      <c r="O65" s="118">
        <v>3.984</v>
      </c>
      <c r="P65" s="118">
        <v>3.36</v>
      </c>
      <c r="Q65" s="118">
        <v>3.603</v>
      </c>
      <c r="R65" s="118">
        <v>3.669</v>
      </c>
      <c r="S65" s="118">
        <v>3.549</v>
      </c>
      <c r="T65" s="118">
        <v>3.509</v>
      </c>
      <c r="U65" s="118">
        <v>3.542</v>
      </c>
      <c r="V65" s="118">
        <v>3.684</v>
      </c>
      <c r="W65" s="118">
        <v>3.717</v>
      </c>
      <c r="X65" s="118">
        <v>3.806</v>
      </c>
      <c r="Y65" s="118">
        <v>3.879</v>
      </c>
      <c r="Z65" s="118">
        <v>3.802</v>
      </c>
      <c r="AA65" s="118">
        <v>3.41</v>
      </c>
      <c r="AB65" s="14"/>
    </row>
    <row r="66" spans="2:28" ht="15">
      <c r="B66" s="13"/>
      <c r="C66" s="84" t="s">
        <v>286</v>
      </c>
      <c r="D66" s="84" t="s">
        <v>287</v>
      </c>
      <c r="E66" s="84" t="s">
        <v>83</v>
      </c>
      <c r="F66" s="84" t="s">
        <v>31</v>
      </c>
      <c r="G66" s="118">
        <v>0.358</v>
      </c>
      <c r="H66" s="118">
        <v>0.367</v>
      </c>
      <c r="I66" s="118">
        <v>0.388</v>
      </c>
      <c r="J66" s="118">
        <v>0.385</v>
      </c>
      <c r="K66" s="118">
        <v>0.389</v>
      </c>
      <c r="L66" s="118">
        <v>0.392</v>
      </c>
      <c r="M66" s="118">
        <v>0.395</v>
      </c>
      <c r="N66" s="118">
        <v>0.424</v>
      </c>
      <c r="O66" s="118">
        <v>0.412</v>
      </c>
      <c r="P66" s="118">
        <v>0.346</v>
      </c>
      <c r="Q66" s="118">
        <v>0.365</v>
      </c>
      <c r="R66" s="118">
        <v>0.383</v>
      </c>
      <c r="S66" s="118">
        <v>0.378</v>
      </c>
      <c r="T66" s="118">
        <v>0.387</v>
      </c>
      <c r="U66" s="118">
        <v>0.417</v>
      </c>
      <c r="V66" s="118">
        <v>0.415</v>
      </c>
      <c r="W66" s="118">
        <v>0.427</v>
      </c>
      <c r="X66" s="118">
        <v>0.438</v>
      </c>
      <c r="Y66" s="118">
        <v>0.465</v>
      </c>
      <c r="Z66" s="118">
        <v>0.474</v>
      </c>
      <c r="AA66" s="118">
        <v>0.449</v>
      </c>
      <c r="AB66" s="14"/>
    </row>
    <row r="67" spans="2:28" ht="15">
      <c r="B67" s="13"/>
      <c r="C67" s="84" t="s">
        <v>286</v>
      </c>
      <c r="D67" s="84" t="s">
        <v>287</v>
      </c>
      <c r="E67" s="84" t="s">
        <v>84</v>
      </c>
      <c r="F67" s="84" t="s">
        <v>32</v>
      </c>
      <c r="G67" s="118">
        <v>0.556</v>
      </c>
      <c r="H67" s="118">
        <v>0.526</v>
      </c>
      <c r="I67" s="118">
        <v>0.529</v>
      </c>
      <c r="J67" s="118">
        <v>0.567</v>
      </c>
      <c r="K67" s="118">
        <v>0.62</v>
      </c>
      <c r="L67" s="118">
        <v>0.64</v>
      </c>
      <c r="M67" s="118">
        <v>0.653</v>
      </c>
      <c r="N67" s="118">
        <v>0.667</v>
      </c>
      <c r="O67" s="118">
        <v>0.642</v>
      </c>
      <c r="P67" s="118">
        <v>0.381</v>
      </c>
      <c r="Q67" s="118">
        <v>0.517</v>
      </c>
      <c r="R67" s="118">
        <v>0.544</v>
      </c>
      <c r="S67" s="118">
        <v>0.486</v>
      </c>
      <c r="T67" s="118">
        <v>0.512</v>
      </c>
      <c r="U67" s="118">
        <v>0.527</v>
      </c>
      <c r="V67" s="118">
        <v>0.553</v>
      </c>
      <c r="W67" s="118">
        <v>0.539</v>
      </c>
      <c r="X67" s="118">
        <v>0.551</v>
      </c>
      <c r="Y67" s="118">
        <v>0.581</v>
      </c>
      <c r="Z67" s="118">
        <v>0.546</v>
      </c>
      <c r="AA67" s="118">
        <v>0.475</v>
      </c>
      <c r="AB67" s="14"/>
    </row>
    <row r="68" spans="2:28" ht="15">
      <c r="B68" s="13"/>
      <c r="C68" s="84" t="s">
        <v>286</v>
      </c>
      <c r="D68" s="84" t="s">
        <v>287</v>
      </c>
      <c r="E68" s="84" t="s">
        <v>85</v>
      </c>
      <c r="F68" s="84" t="s">
        <v>33</v>
      </c>
      <c r="G68" s="118">
        <v>0.203</v>
      </c>
      <c r="H68" s="118">
        <v>0.209</v>
      </c>
      <c r="I68" s="118">
        <v>0.216</v>
      </c>
      <c r="J68" s="118">
        <v>0.231</v>
      </c>
      <c r="K68" s="118">
        <v>0.241</v>
      </c>
      <c r="L68" s="118">
        <v>0.247</v>
      </c>
      <c r="M68" s="118">
        <v>0.252</v>
      </c>
      <c r="N68" s="118">
        <v>0.276</v>
      </c>
      <c r="O68" s="118">
        <v>0.246</v>
      </c>
      <c r="P68" s="118">
        <v>0.186</v>
      </c>
      <c r="Q68" s="118">
        <v>0.216</v>
      </c>
      <c r="R68" s="118">
        <v>0.227</v>
      </c>
      <c r="S68" s="118">
        <v>0.191</v>
      </c>
      <c r="T68" s="118">
        <v>0.185</v>
      </c>
      <c r="U68" s="118">
        <v>0.19</v>
      </c>
      <c r="V68" s="118">
        <v>0.186</v>
      </c>
      <c r="W68" s="118">
        <v>0.195</v>
      </c>
      <c r="X68" s="118">
        <v>0.217</v>
      </c>
      <c r="Y68" s="118">
        <v>0.227</v>
      </c>
      <c r="Z68" s="118">
        <v>0.237</v>
      </c>
      <c r="AA68" s="118">
        <v>0.229</v>
      </c>
      <c r="AB68" s="14"/>
    </row>
    <row r="69" spans="2:28" ht="15">
      <c r="B69" s="13"/>
      <c r="C69" s="84" t="s">
        <v>286</v>
      </c>
      <c r="D69" s="84" t="s">
        <v>287</v>
      </c>
      <c r="E69" s="84" t="s">
        <v>86</v>
      </c>
      <c r="F69" s="84" t="s">
        <v>34</v>
      </c>
      <c r="G69" s="118">
        <v>2.266</v>
      </c>
      <c r="H69" s="118">
        <v>2.23</v>
      </c>
      <c r="I69" s="118">
        <v>2.34</v>
      </c>
      <c r="J69" s="118">
        <v>2.462</v>
      </c>
      <c r="K69" s="118">
        <v>2.488</v>
      </c>
      <c r="L69" s="118">
        <v>2.518</v>
      </c>
      <c r="M69" s="118">
        <v>2.585</v>
      </c>
      <c r="N69" s="118">
        <v>2.563</v>
      </c>
      <c r="O69" s="118">
        <v>2.57</v>
      </c>
      <c r="P69" s="118">
        <v>2.346</v>
      </c>
      <c r="Q69" s="118">
        <v>2.394</v>
      </c>
      <c r="R69" s="118">
        <v>2.4</v>
      </c>
      <c r="S69" s="118">
        <v>2.386</v>
      </c>
      <c r="T69" s="118">
        <v>2.307</v>
      </c>
      <c r="U69" s="118">
        <v>2.285</v>
      </c>
      <c r="V69" s="118">
        <v>2.409</v>
      </c>
      <c r="W69" s="118">
        <v>2.425</v>
      </c>
      <c r="X69" s="118">
        <v>2.458</v>
      </c>
      <c r="Y69" s="118">
        <v>2.456</v>
      </c>
      <c r="Z69" s="118">
        <v>2.379</v>
      </c>
      <c r="AA69" s="118">
        <v>2.1</v>
      </c>
      <c r="AB69" s="14"/>
    </row>
    <row r="70" spans="2:28" ht="15">
      <c r="B70" s="13"/>
      <c r="C70" s="84" t="s">
        <v>286</v>
      </c>
      <c r="D70" s="84" t="s">
        <v>287</v>
      </c>
      <c r="E70" s="84" t="s">
        <v>87</v>
      </c>
      <c r="F70" s="84" t="s">
        <v>35</v>
      </c>
      <c r="G70" s="118">
        <v>0.077</v>
      </c>
      <c r="H70" s="118">
        <v>0.073</v>
      </c>
      <c r="I70" s="118">
        <v>0.085</v>
      </c>
      <c r="J70" s="118">
        <v>0.095</v>
      </c>
      <c r="K70" s="118">
        <v>0.112</v>
      </c>
      <c r="L70" s="118">
        <v>0.097</v>
      </c>
      <c r="M70" s="118">
        <v>0.099</v>
      </c>
      <c r="N70" s="118">
        <v>0.11</v>
      </c>
      <c r="O70" s="118">
        <v>0.114</v>
      </c>
      <c r="P70" s="118">
        <v>0.098</v>
      </c>
      <c r="Q70" s="118">
        <v>0.109</v>
      </c>
      <c r="R70" s="118">
        <v>0.113</v>
      </c>
      <c r="S70" s="118">
        <v>0.106</v>
      </c>
      <c r="T70" s="118">
        <v>0.117</v>
      </c>
      <c r="U70" s="118">
        <v>0.119</v>
      </c>
      <c r="V70" s="118">
        <v>0.118</v>
      </c>
      <c r="W70" s="118">
        <v>0.124</v>
      </c>
      <c r="X70" s="118">
        <v>0.133</v>
      </c>
      <c r="Y70" s="118">
        <v>0.148</v>
      </c>
      <c r="Z70" s="118">
        <v>0.163</v>
      </c>
      <c r="AA70" s="118">
        <v>0.152</v>
      </c>
      <c r="AB70" s="14"/>
    </row>
    <row r="71" spans="2:28" ht="15">
      <c r="B71" s="13"/>
      <c r="C71" s="84" t="s">
        <v>286</v>
      </c>
      <c r="D71" s="84" t="s">
        <v>287</v>
      </c>
      <c r="E71" s="84" t="s">
        <v>88</v>
      </c>
      <c r="F71" s="84" t="s">
        <v>37</v>
      </c>
      <c r="G71" s="118">
        <v>0</v>
      </c>
      <c r="H71" s="118">
        <v>0</v>
      </c>
      <c r="I71" s="118">
        <v>0</v>
      </c>
      <c r="J71" s="118">
        <v>0</v>
      </c>
      <c r="K71" s="118">
        <v>0</v>
      </c>
      <c r="L71" s="118">
        <v>0</v>
      </c>
      <c r="M71" s="118">
        <v>0</v>
      </c>
      <c r="N71" s="118">
        <v>0</v>
      </c>
      <c r="O71" s="118">
        <v>0</v>
      </c>
      <c r="P71" s="118">
        <v>0.001</v>
      </c>
      <c r="Q71" s="118">
        <v>0.002</v>
      </c>
      <c r="R71" s="118">
        <v>0.002</v>
      </c>
      <c r="S71" s="118">
        <v>0.002</v>
      </c>
      <c r="T71" s="118">
        <v>0.002</v>
      </c>
      <c r="U71" s="118">
        <v>0.003</v>
      </c>
      <c r="V71" s="118">
        <v>0.003</v>
      </c>
      <c r="W71" s="118">
        <v>0.006</v>
      </c>
      <c r="X71" s="118">
        <v>0.009</v>
      </c>
      <c r="Y71" s="118">
        <v>0.003</v>
      </c>
      <c r="Z71" s="118">
        <v>0.003</v>
      </c>
      <c r="AA71" s="118">
        <v>0.004</v>
      </c>
      <c r="AB71" s="14"/>
    </row>
    <row r="72" spans="2:28" ht="15">
      <c r="B72" s="13"/>
      <c r="C72" s="84" t="s">
        <v>288</v>
      </c>
      <c r="D72" s="84" t="s">
        <v>4</v>
      </c>
      <c r="E72" s="84" t="s">
        <v>82</v>
      </c>
      <c r="F72" s="84" t="s">
        <v>14</v>
      </c>
      <c r="G72" s="118">
        <v>1.031</v>
      </c>
      <c r="H72" s="118">
        <v>1.027</v>
      </c>
      <c r="I72" s="118">
        <v>1.087</v>
      </c>
      <c r="J72" s="118">
        <v>1.11</v>
      </c>
      <c r="K72" s="118">
        <v>1.165</v>
      </c>
      <c r="L72" s="118">
        <v>1.223</v>
      </c>
      <c r="M72" s="118">
        <v>1.273</v>
      </c>
      <c r="N72" s="118">
        <v>1.301</v>
      </c>
      <c r="O72" s="118">
        <v>1.324</v>
      </c>
      <c r="P72" s="118">
        <v>1.242</v>
      </c>
      <c r="Q72" s="118">
        <v>1.37</v>
      </c>
      <c r="R72" s="118">
        <v>1.419</v>
      </c>
      <c r="S72" s="118">
        <v>1.519</v>
      </c>
      <c r="T72" s="118">
        <v>1.585</v>
      </c>
      <c r="U72" s="118">
        <v>1.603</v>
      </c>
      <c r="V72" s="118">
        <v>1.613</v>
      </c>
      <c r="W72" s="118">
        <v>1.66</v>
      </c>
      <c r="X72" s="118">
        <v>1.716</v>
      </c>
      <c r="Y72" s="118">
        <v>1.67</v>
      </c>
      <c r="Z72" s="118">
        <v>1.668</v>
      </c>
      <c r="AA72" s="118">
        <v>1.606</v>
      </c>
      <c r="AB72" s="14"/>
    </row>
    <row r="73" spans="2:28" ht="15">
      <c r="B73" s="13"/>
      <c r="C73" s="84" t="s">
        <v>288</v>
      </c>
      <c r="D73" s="84" t="s">
        <v>4</v>
      </c>
      <c r="E73" s="84" t="s">
        <v>83</v>
      </c>
      <c r="F73" s="84" t="s">
        <v>31</v>
      </c>
      <c r="G73" s="118">
        <v>0.291</v>
      </c>
      <c r="H73" s="118">
        <v>0.28</v>
      </c>
      <c r="I73" s="118">
        <v>0.292</v>
      </c>
      <c r="J73" s="118">
        <v>0.301</v>
      </c>
      <c r="K73" s="118">
        <v>0.295</v>
      </c>
      <c r="L73" s="118">
        <v>0.327</v>
      </c>
      <c r="M73" s="118">
        <v>0.34</v>
      </c>
      <c r="N73" s="118">
        <v>0.315</v>
      </c>
      <c r="O73" s="118">
        <v>0.337</v>
      </c>
      <c r="P73" s="118">
        <v>0.328</v>
      </c>
      <c r="Q73" s="118">
        <v>0.363</v>
      </c>
      <c r="R73" s="118">
        <v>0.367</v>
      </c>
      <c r="S73" s="118">
        <v>0.377</v>
      </c>
      <c r="T73" s="118">
        <v>0.418</v>
      </c>
      <c r="U73" s="118">
        <v>0.434</v>
      </c>
      <c r="V73" s="118">
        <v>0.455</v>
      </c>
      <c r="W73" s="118">
        <v>0.457</v>
      </c>
      <c r="X73" s="118">
        <v>0.448</v>
      </c>
      <c r="Y73" s="118">
        <v>0.438</v>
      </c>
      <c r="Z73" s="118">
        <v>0.482</v>
      </c>
      <c r="AA73" s="118">
        <v>0.512</v>
      </c>
      <c r="AB73" s="14"/>
    </row>
    <row r="74" spans="2:28" ht="15">
      <c r="B74" s="13"/>
      <c r="C74" s="84" t="s">
        <v>288</v>
      </c>
      <c r="D74" s="84" t="s">
        <v>4</v>
      </c>
      <c r="E74" s="84" t="s">
        <v>84</v>
      </c>
      <c r="F74" s="84" t="s">
        <v>32</v>
      </c>
      <c r="G74" s="118">
        <v>0.198</v>
      </c>
      <c r="H74" s="118">
        <v>0.195</v>
      </c>
      <c r="I74" s="118">
        <v>0.218</v>
      </c>
      <c r="J74" s="118">
        <v>0.224</v>
      </c>
      <c r="K74" s="118">
        <v>0.244</v>
      </c>
      <c r="L74" s="118">
        <v>0.249</v>
      </c>
      <c r="M74" s="118">
        <v>0.255</v>
      </c>
      <c r="N74" s="118">
        <v>0.263</v>
      </c>
      <c r="O74" s="118">
        <v>0.27</v>
      </c>
      <c r="P74" s="118">
        <v>0.238</v>
      </c>
      <c r="Q74" s="118">
        <v>0.272</v>
      </c>
      <c r="R74" s="118">
        <v>0.303</v>
      </c>
      <c r="S74" s="118">
        <v>0.316</v>
      </c>
      <c r="T74" s="118">
        <v>0.305</v>
      </c>
      <c r="U74" s="118">
        <v>0.302</v>
      </c>
      <c r="V74" s="118">
        <v>0.275</v>
      </c>
      <c r="W74" s="118">
        <v>0.278</v>
      </c>
      <c r="X74" s="118">
        <v>0.293</v>
      </c>
      <c r="Y74" s="118">
        <v>0.286</v>
      </c>
      <c r="Z74" s="118">
        <v>0.291</v>
      </c>
      <c r="AA74" s="118">
        <v>0.27</v>
      </c>
      <c r="AB74" s="14"/>
    </row>
    <row r="75" spans="2:28" ht="15">
      <c r="B75" s="13"/>
      <c r="C75" s="84" t="s">
        <v>288</v>
      </c>
      <c r="D75" s="84" t="s">
        <v>4</v>
      </c>
      <c r="E75" s="84" t="s">
        <v>85</v>
      </c>
      <c r="F75" s="84" t="s">
        <v>33</v>
      </c>
      <c r="G75" s="118">
        <v>0.155</v>
      </c>
      <c r="H75" s="118">
        <v>0.156</v>
      </c>
      <c r="I75" s="118">
        <v>0.161</v>
      </c>
      <c r="J75" s="118">
        <v>0.164</v>
      </c>
      <c r="K75" s="118">
        <v>0.168</v>
      </c>
      <c r="L75" s="118">
        <v>0.179</v>
      </c>
      <c r="M75" s="118">
        <v>0.171</v>
      </c>
      <c r="N75" s="118">
        <v>0.171</v>
      </c>
      <c r="O75" s="118">
        <v>0.17</v>
      </c>
      <c r="P75" s="118">
        <v>0.153</v>
      </c>
      <c r="Q75" s="118">
        <v>0.179</v>
      </c>
      <c r="R75" s="118">
        <v>0.183</v>
      </c>
      <c r="S75" s="118">
        <v>0.203</v>
      </c>
      <c r="T75" s="118">
        <v>0.218</v>
      </c>
      <c r="U75" s="118">
        <v>0.23</v>
      </c>
      <c r="V75" s="118">
        <v>0.232</v>
      </c>
      <c r="W75" s="118">
        <v>0.232</v>
      </c>
      <c r="X75" s="118">
        <v>0.233</v>
      </c>
      <c r="Y75" s="118">
        <v>0.228</v>
      </c>
      <c r="Z75" s="118">
        <v>0.212</v>
      </c>
      <c r="AA75" s="118">
        <v>0.2</v>
      </c>
      <c r="AB75" s="14"/>
    </row>
    <row r="76" spans="2:28" ht="15">
      <c r="B76" s="13"/>
      <c r="C76" s="84" t="s">
        <v>288</v>
      </c>
      <c r="D76" s="84" t="s">
        <v>4</v>
      </c>
      <c r="E76" s="84" t="s">
        <v>86</v>
      </c>
      <c r="F76" s="84" t="s">
        <v>34</v>
      </c>
      <c r="G76" s="118">
        <v>0.298</v>
      </c>
      <c r="H76" s="118">
        <v>0.301</v>
      </c>
      <c r="I76" s="118">
        <v>0.316</v>
      </c>
      <c r="J76" s="118">
        <v>0.331</v>
      </c>
      <c r="K76" s="118">
        <v>0.36</v>
      </c>
      <c r="L76" s="118">
        <v>0.373</v>
      </c>
      <c r="M76" s="118">
        <v>0.408</v>
      </c>
      <c r="N76" s="118">
        <v>0.448</v>
      </c>
      <c r="O76" s="118">
        <v>0.442</v>
      </c>
      <c r="P76" s="118">
        <v>0.428</v>
      </c>
      <c r="Q76" s="118">
        <v>0.447</v>
      </c>
      <c r="R76" s="118">
        <v>0.453</v>
      </c>
      <c r="S76" s="118">
        <v>0.51</v>
      </c>
      <c r="T76" s="118">
        <v>0.524</v>
      </c>
      <c r="U76" s="118">
        <v>0.512</v>
      </c>
      <c r="V76" s="118">
        <v>0.53</v>
      </c>
      <c r="W76" s="118">
        <v>0.57</v>
      </c>
      <c r="X76" s="118">
        <v>0.608</v>
      </c>
      <c r="Y76" s="118">
        <v>0.586</v>
      </c>
      <c r="Z76" s="118">
        <v>0.551</v>
      </c>
      <c r="AA76" s="118">
        <v>0.497</v>
      </c>
      <c r="AB76" s="14"/>
    </row>
    <row r="77" spans="2:28" ht="15">
      <c r="B77" s="13"/>
      <c r="C77" s="84" t="s">
        <v>288</v>
      </c>
      <c r="D77" s="84" t="s">
        <v>4</v>
      </c>
      <c r="E77" s="84" t="s">
        <v>87</v>
      </c>
      <c r="F77" s="84" t="s">
        <v>35</v>
      </c>
      <c r="G77" s="118">
        <v>0.09</v>
      </c>
      <c r="H77" s="118">
        <v>0.096</v>
      </c>
      <c r="I77" s="118">
        <v>0.099</v>
      </c>
      <c r="J77" s="118">
        <v>0.09</v>
      </c>
      <c r="K77" s="118">
        <v>0.098</v>
      </c>
      <c r="L77" s="118">
        <v>0.095</v>
      </c>
      <c r="M77" s="118">
        <v>0.099</v>
      </c>
      <c r="N77" s="118">
        <v>0.102</v>
      </c>
      <c r="O77" s="118">
        <v>0.105</v>
      </c>
      <c r="P77" s="118">
        <v>0.094</v>
      </c>
      <c r="Q77" s="118">
        <v>0.108</v>
      </c>
      <c r="R77" s="118">
        <v>0.111</v>
      </c>
      <c r="S77" s="118">
        <v>0.113</v>
      </c>
      <c r="T77" s="118">
        <v>0.118</v>
      </c>
      <c r="U77" s="118">
        <v>0.123</v>
      </c>
      <c r="V77" s="118">
        <v>0.121</v>
      </c>
      <c r="W77" s="118">
        <v>0.122</v>
      </c>
      <c r="X77" s="118">
        <v>0.132</v>
      </c>
      <c r="Y77" s="118">
        <v>0.131</v>
      </c>
      <c r="Z77" s="118">
        <v>0.132</v>
      </c>
      <c r="AA77" s="118">
        <v>0.126</v>
      </c>
      <c r="AB77" s="14"/>
    </row>
    <row r="78" spans="2:28" ht="15">
      <c r="B78" s="13"/>
      <c r="C78" s="84" t="s">
        <v>288</v>
      </c>
      <c r="D78" s="84" t="s">
        <v>4</v>
      </c>
      <c r="E78" s="84" t="s">
        <v>88</v>
      </c>
      <c r="F78" s="84" t="s">
        <v>37</v>
      </c>
      <c r="G78" s="118">
        <v>0</v>
      </c>
      <c r="H78" s="118">
        <v>0</v>
      </c>
      <c r="I78" s="118">
        <v>0</v>
      </c>
      <c r="J78" s="118">
        <v>0</v>
      </c>
      <c r="K78" s="118">
        <v>0</v>
      </c>
      <c r="L78" s="118">
        <v>0</v>
      </c>
      <c r="M78" s="118">
        <v>0</v>
      </c>
      <c r="N78" s="118">
        <v>0</v>
      </c>
      <c r="O78" s="118">
        <v>0</v>
      </c>
      <c r="P78" s="118">
        <v>0</v>
      </c>
      <c r="Q78" s="118">
        <v>0.001</v>
      </c>
      <c r="R78" s="118">
        <v>0.001</v>
      </c>
      <c r="S78" s="118">
        <v>0.001</v>
      </c>
      <c r="T78" s="118">
        <v>0.001</v>
      </c>
      <c r="U78" s="118">
        <v>0.001</v>
      </c>
      <c r="V78" s="118">
        <v>0.001</v>
      </c>
      <c r="W78" s="118">
        <v>0.001</v>
      </c>
      <c r="X78" s="118">
        <v>0.001</v>
      </c>
      <c r="Y78" s="118">
        <v>0.001</v>
      </c>
      <c r="Z78" s="118">
        <v>0.001</v>
      </c>
      <c r="AA78" s="118">
        <v>0.001</v>
      </c>
      <c r="AB78" s="14"/>
    </row>
    <row r="79" spans="2:28" ht="15">
      <c r="B79" s="13"/>
      <c r="C79" s="120" t="s">
        <v>72</v>
      </c>
      <c r="D79" s="120" t="s">
        <v>109</v>
      </c>
      <c r="E79" s="120" t="s">
        <v>82</v>
      </c>
      <c r="F79" s="120" t="s">
        <v>14</v>
      </c>
      <c r="G79" s="118">
        <v>15.377</v>
      </c>
      <c r="H79" s="118">
        <v>15.415</v>
      </c>
      <c r="I79" s="118">
        <v>15.52</v>
      </c>
      <c r="J79" s="118">
        <v>15.617</v>
      </c>
      <c r="K79" s="118">
        <v>16.28</v>
      </c>
      <c r="L79" s="118">
        <v>16.357</v>
      </c>
      <c r="M79" s="118">
        <v>16.703</v>
      </c>
      <c r="N79" s="118">
        <v>17.275</v>
      </c>
      <c r="O79" s="118">
        <v>16.891</v>
      </c>
      <c r="P79" s="118">
        <v>14.794</v>
      </c>
      <c r="Q79" s="118">
        <v>14.338</v>
      </c>
      <c r="R79" s="118">
        <v>15.122</v>
      </c>
      <c r="S79" s="118">
        <v>13.934</v>
      </c>
      <c r="T79" s="118">
        <v>13.546</v>
      </c>
      <c r="U79" s="118">
        <v>13.65</v>
      </c>
      <c r="V79" s="118">
        <v>13.603</v>
      </c>
      <c r="W79" s="118">
        <v>13.553</v>
      </c>
      <c r="X79" s="118">
        <v>13.973</v>
      </c>
      <c r="Y79" s="118">
        <v>14.155</v>
      </c>
      <c r="Z79" s="118">
        <v>14.051</v>
      </c>
      <c r="AA79" s="118">
        <v>13.359</v>
      </c>
      <c r="AB79" s="14"/>
    </row>
    <row r="80" spans="2:28" ht="15">
      <c r="B80" s="13"/>
      <c r="C80" s="120" t="s">
        <v>72</v>
      </c>
      <c r="D80" s="120" t="s">
        <v>109</v>
      </c>
      <c r="E80" s="120" t="s">
        <v>83</v>
      </c>
      <c r="F80" s="120" t="s">
        <v>31</v>
      </c>
      <c r="G80" s="118">
        <v>3.488</v>
      </c>
      <c r="H80" s="118">
        <v>3.456</v>
      </c>
      <c r="I80" s="118">
        <v>3.459</v>
      </c>
      <c r="J80" s="118">
        <v>3.189</v>
      </c>
      <c r="K80" s="118">
        <v>3.633</v>
      </c>
      <c r="L80" s="118">
        <v>3.444</v>
      </c>
      <c r="M80" s="118">
        <v>3.249</v>
      </c>
      <c r="N80" s="118">
        <v>3.404</v>
      </c>
      <c r="O80" s="118">
        <v>3.458</v>
      </c>
      <c r="P80" s="118">
        <v>3.326</v>
      </c>
      <c r="Q80" s="118">
        <v>3.224</v>
      </c>
      <c r="R80" s="118">
        <v>3.398</v>
      </c>
      <c r="S80" s="118">
        <v>3.246</v>
      </c>
      <c r="T80" s="118">
        <v>3.307</v>
      </c>
      <c r="U80" s="118">
        <v>3.539</v>
      </c>
      <c r="V80" s="118">
        <v>3.268</v>
      </c>
      <c r="W80" s="118">
        <v>3.329</v>
      </c>
      <c r="X80" s="118">
        <v>3.441</v>
      </c>
      <c r="Y80" s="118">
        <v>3.342</v>
      </c>
      <c r="Z80" s="118">
        <v>3.299</v>
      </c>
      <c r="AA80" s="118">
        <v>3.258</v>
      </c>
      <c r="AB80" s="14"/>
    </row>
    <row r="81" spans="2:28" ht="15">
      <c r="B81" s="13"/>
      <c r="C81" s="120" t="s">
        <v>72</v>
      </c>
      <c r="D81" s="120" t="s">
        <v>109</v>
      </c>
      <c r="E81" s="120" t="s">
        <v>84</v>
      </c>
      <c r="F81" s="120" t="s">
        <v>32</v>
      </c>
      <c r="G81" s="118">
        <v>0.709</v>
      </c>
      <c r="H81" s="118">
        <v>0.668</v>
      </c>
      <c r="I81" s="118">
        <v>0.636</v>
      </c>
      <c r="J81" s="118">
        <v>0.662</v>
      </c>
      <c r="K81" s="118">
        <v>0.698</v>
      </c>
      <c r="L81" s="118">
        <v>0.712</v>
      </c>
      <c r="M81" s="118">
        <v>0.725</v>
      </c>
      <c r="N81" s="118">
        <v>0.722</v>
      </c>
      <c r="O81" s="118">
        <v>0.69</v>
      </c>
      <c r="P81" s="118">
        <v>0.453</v>
      </c>
      <c r="Q81" s="118">
        <v>0.617</v>
      </c>
      <c r="R81" s="118">
        <v>0.629</v>
      </c>
      <c r="S81" s="118">
        <v>0.589</v>
      </c>
      <c r="T81" s="118">
        <v>0.691</v>
      </c>
      <c r="U81" s="118">
        <v>0.652</v>
      </c>
      <c r="V81" s="118">
        <v>0.704</v>
      </c>
      <c r="W81" s="118">
        <v>0.725</v>
      </c>
      <c r="X81" s="118">
        <v>0.733</v>
      </c>
      <c r="Y81" s="118">
        <v>0.784</v>
      </c>
      <c r="Z81" s="118">
        <v>0.746</v>
      </c>
      <c r="AA81" s="118">
        <v>0.697</v>
      </c>
      <c r="AB81" s="14"/>
    </row>
    <row r="82" spans="2:28" ht="15">
      <c r="B82" s="13"/>
      <c r="C82" s="120" t="s">
        <v>72</v>
      </c>
      <c r="D82" s="120" t="s">
        <v>109</v>
      </c>
      <c r="E82" s="120" t="s">
        <v>85</v>
      </c>
      <c r="F82" s="120" t="s">
        <v>33</v>
      </c>
      <c r="G82" s="118">
        <v>7.404</v>
      </c>
      <c r="H82" s="118">
        <v>7.545</v>
      </c>
      <c r="I82" s="118">
        <v>7.587</v>
      </c>
      <c r="J82" s="118">
        <v>7.805</v>
      </c>
      <c r="K82" s="118">
        <v>7.991</v>
      </c>
      <c r="L82" s="118">
        <v>8.284</v>
      </c>
      <c r="M82" s="118">
        <v>8.812</v>
      </c>
      <c r="N82" s="118">
        <v>9.333</v>
      </c>
      <c r="O82" s="118">
        <v>8.96</v>
      </c>
      <c r="P82" s="118">
        <v>7.533</v>
      </c>
      <c r="Q82" s="118">
        <v>6.995</v>
      </c>
      <c r="R82" s="118">
        <v>7.548</v>
      </c>
      <c r="S82" s="118">
        <v>6.645</v>
      </c>
      <c r="T82" s="118">
        <v>6.241</v>
      </c>
      <c r="U82" s="118">
        <v>6.244</v>
      </c>
      <c r="V82" s="118">
        <v>6.366</v>
      </c>
      <c r="W82" s="118">
        <v>6.348</v>
      </c>
      <c r="X82" s="118">
        <v>6.652</v>
      </c>
      <c r="Y82" s="118">
        <v>6.882</v>
      </c>
      <c r="Z82" s="118">
        <v>7.074</v>
      </c>
      <c r="AA82" s="118">
        <v>6.913</v>
      </c>
      <c r="AB82" s="14"/>
    </row>
    <row r="83" spans="2:28" ht="15">
      <c r="B83" s="13"/>
      <c r="C83" s="120" t="s">
        <v>72</v>
      </c>
      <c r="D83" s="120" t="s">
        <v>109</v>
      </c>
      <c r="E83" s="120" t="s">
        <v>86</v>
      </c>
      <c r="F83" s="120" t="s">
        <v>34</v>
      </c>
      <c r="G83" s="118">
        <v>3.788</v>
      </c>
      <c r="H83" s="118">
        <v>3.769</v>
      </c>
      <c r="I83" s="118">
        <v>3.852</v>
      </c>
      <c r="J83" s="118">
        <v>3.956</v>
      </c>
      <c r="K83" s="118">
        <v>3.944</v>
      </c>
      <c r="L83" s="118">
        <v>3.915</v>
      </c>
      <c r="M83" s="118">
        <v>3.917</v>
      </c>
      <c r="N83" s="118">
        <v>3.808</v>
      </c>
      <c r="O83" s="118">
        <v>3.774</v>
      </c>
      <c r="P83" s="118">
        <v>3.476</v>
      </c>
      <c r="Q83" s="118">
        <v>3.5</v>
      </c>
      <c r="R83" s="118">
        <v>3.544</v>
      </c>
      <c r="S83" s="118">
        <v>3.462</v>
      </c>
      <c r="T83" s="118">
        <v>3.309</v>
      </c>
      <c r="U83" s="118">
        <v>3.217</v>
      </c>
      <c r="V83" s="118">
        <v>3.266</v>
      </c>
      <c r="W83" s="118">
        <v>3.145</v>
      </c>
      <c r="X83" s="118">
        <v>3.138</v>
      </c>
      <c r="Y83" s="118">
        <v>3.127</v>
      </c>
      <c r="Z83" s="118">
        <v>2.899</v>
      </c>
      <c r="AA83" s="118">
        <v>2.463</v>
      </c>
      <c r="AB83" s="14"/>
    </row>
    <row r="84" spans="2:28" ht="15">
      <c r="B84" s="13"/>
      <c r="C84" s="120" t="s">
        <v>72</v>
      </c>
      <c r="D84" s="120" t="s">
        <v>109</v>
      </c>
      <c r="E84" s="120" t="s">
        <v>87</v>
      </c>
      <c r="F84" s="120" t="s">
        <v>35</v>
      </c>
      <c r="G84" s="118">
        <v>-0.013</v>
      </c>
      <c r="H84" s="118">
        <v>-0.023</v>
      </c>
      <c r="I84" s="118">
        <v>-0.015</v>
      </c>
      <c r="J84" s="118">
        <v>0.005</v>
      </c>
      <c r="K84" s="118">
        <v>0.014</v>
      </c>
      <c r="L84" s="118">
        <v>0.002</v>
      </c>
      <c r="M84" s="118">
        <v>0</v>
      </c>
      <c r="N84" s="118">
        <v>0.008</v>
      </c>
      <c r="O84" s="118">
        <v>0.009</v>
      </c>
      <c r="P84" s="118">
        <v>0.004</v>
      </c>
      <c r="Q84" s="118">
        <v>0.002</v>
      </c>
      <c r="R84" s="118">
        <v>0.001</v>
      </c>
      <c r="S84" s="118">
        <v>-0.007</v>
      </c>
      <c r="T84" s="118">
        <v>-0.002</v>
      </c>
      <c r="U84" s="118">
        <v>-0.004</v>
      </c>
      <c r="V84" s="118">
        <v>-0.003</v>
      </c>
      <c r="W84" s="118">
        <v>0.002</v>
      </c>
      <c r="X84" s="118">
        <v>0.001</v>
      </c>
      <c r="Y84" s="118">
        <v>0.017</v>
      </c>
      <c r="Z84" s="118">
        <v>0.032</v>
      </c>
      <c r="AA84" s="118">
        <v>0.026</v>
      </c>
      <c r="AB84" s="14"/>
    </row>
    <row r="85" spans="2:28" ht="15">
      <c r="B85" s="13"/>
      <c r="C85" s="120" t="s">
        <v>72</v>
      </c>
      <c r="D85" s="120" t="s">
        <v>109</v>
      </c>
      <c r="E85" s="120" t="s">
        <v>88</v>
      </c>
      <c r="F85" s="120" t="s">
        <v>37</v>
      </c>
      <c r="G85" s="118">
        <v>0</v>
      </c>
      <c r="H85" s="118">
        <v>0</v>
      </c>
      <c r="I85" s="118">
        <v>0</v>
      </c>
      <c r="J85" s="118">
        <v>0</v>
      </c>
      <c r="K85" s="118">
        <v>0</v>
      </c>
      <c r="L85" s="118">
        <v>0</v>
      </c>
      <c r="M85" s="118">
        <v>0</v>
      </c>
      <c r="N85" s="118">
        <v>0</v>
      </c>
      <c r="O85" s="118">
        <v>0</v>
      </c>
      <c r="P85" s="118">
        <v>0.001</v>
      </c>
      <c r="Q85" s="118">
        <v>0.001</v>
      </c>
      <c r="R85" s="118">
        <v>0</v>
      </c>
      <c r="S85" s="118">
        <v>0</v>
      </c>
      <c r="T85" s="118">
        <v>0.001</v>
      </c>
      <c r="U85" s="118">
        <v>0.001</v>
      </c>
      <c r="V85" s="118">
        <v>0.001</v>
      </c>
      <c r="W85" s="118">
        <v>0.005</v>
      </c>
      <c r="X85" s="118">
        <v>0.008</v>
      </c>
      <c r="Y85" s="118">
        <v>0.002</v>
      </c>
      <c r="Z85" s="118">
        <v>0.002</v>
      </c>
      <c r="AA85" s="118">
        <v>0.002</v>
      </c>
      <c r="AB85" s="14"/>
    </row>
    <row r="86" spans="2:28" ht="15">
      <c r="B86" s="13"/>
      <c r="C86" s="120" t="s">
        <v>81</v>
      </c>
      <c r="D86" s="120" t="s">
        <v>110</v>
      </c>
      <c r="E86" s="120" t="s">
        <v>82</v>
      </c>
      <c r="F86" s="120" t="s">
        <v>14</v>
      </c>
      <c r="G86" s="118">
        <v>16.408</v>
      </c>
      <c r="H86" s="118">
        <v>16.442</v>
      </c>
      <c r="I86" s="118">
        <v>16.607</v>
      </c>
      <c r="J86" s="118">
        <v>16.728</v>
      </c>
      <c r="K86" s="118">
        <v>17.445</v>
      </c>
      <c r="L86" s="118">
        <v>17.58</v>
      </c>
      <c r="M86" s="118">
        <v>17.976</v>
      </c>
      <c r="N86" s="118">
        <v>18.575</v>
      </c>
      <c r="O86" s="118">
        <v>18.215</v>
      </c>
      <c r="P86" s="118">
        <v>16.036</v>
      </c>
      <c r="Q86" s="118">
        <v>15.708</v>
      </c>
      <c r="R86" s="118">
        <v>16.54</v>
      </c>
      <c r="S86" s="118">
        <v>15.454</v>
      </c>
      <c r="T86" s="118">
        <v>15.131</v>
      </c>
      <c r="U86" s="118">
        <v>15.252</v>
      </c>
      <c r="V86" s="118">
        <v>15.216</v>
      </c>
      <c r="W86" s="118">
        <v>15.213</v>
      </c>
      <c r="X86" s="118">
        <v>15.689</v>
      </c>
      <c r="Y86" s="118">
        <v>15.825</v>
      </c>
      <c r="Z86" s="118">
        <v>15.719</v>
      </c>
      <c r="AA86" s="118">
        <v>14.965</v>
      </c>
      <c r="AB86" s="14"/>
    </row>
    <row r="87" spans="2:28" ht="15">
      <c r="B87" s="13"/>
      <c r="C87" s="120" t="s">
        <v>81</v>
      </c>
      <c r="D87" s="120" t="s">
        <v>110</v>
      </c>
      <c r="E87" s="120" t="s">
        <v>83</v>
      </c>
      <c r="F87" s="120" t="s">
        <v>31</v>
      </c>
      <c r="G87" s="118">
        <v>3.779</v>
      </c>
      <c r="H87" s="118">
        <v>3.736</v>
      </c>
      <c r="I87" s="118">
        <v>3.752</v>
      </c>
      <c r="J87" s="118">
        <v>3.49</v>
      </c>
      <c r="K87" s="118">
        <v>3.928</v>
      </c>
      <c r="L87" s="118">
        <v>3.771</v>
      </c>
      <c r="M87" s="118">
        <v>3.589</v>
      </c>
      <c r="N87" s="118">
        <v>3.719</v>
      </c>
      <c r="O87" s="118">
        <v>3.794</v>
      </c>
      <c r="P87" s="118">
        <v>3.655</v>
      </c>
      <c r="Q87" s="118">
        <v>3.587</v>
      </c>
      <c r="R87" s="118">
        <v>3.765</v>
      </c>
      <c r="S87" s="118">
        <v>3.622</v>
      </c>
      <c r="T87" s="118">
        <v>3.724</v>
      </c>
      <c r="U87" s="118">
        <v>3.973</v>
      </c>
      <c r="V87" s="118">
        <v>3.722</v>
      </c>
      <c r="W87" s="118">
        <v>3.786</v>
      </c>
      <c r="X87" s="118">
        <v>3.889</v>
      </c>
      <c r="Y87" s="118">
        <v>3.78</v>
      </c>
      <c r="Z87" s="118">
        <v>3.78</v>
      </c>
      <c r="AA87" s="118">
        <v>3.77</v>
      </c>
      <c r="AB87" s="14"/>
    </row>
    <row r="88" spans="2:28" ht="15">
      <c r="B88" s="13"/>
      <c r="C88" s="120" t="s">
        <v>81</v>
      </c>
      <c r="D88" s="120" t="s">
        <v>110</v>
      </c>
      <c r="E88" s="120" t="s">
        <v>84</v>
      </c>
      <c r="F88" s="120" t="s">
        <v>32</v>
      </c>
      <c r="G88" s="118">
        <v>0.907</v>
      </c>
      <c r="H88" s="118">
        <v>0.863</v>
      </c>
      <c r="I88" s="118">
        <v>0.854</v>
      </c>
      <c r="J88" s="118">
        <v>0.886</v>
      </c>
      <c r="K88" s="118">
        <v>0.943</v>
      </c>
      <c r="L88" s="118">
        <v>0.96</v>
      </c>
      <c r="M88" s="118">
        <v>0.98</v>
      </c>
      <c r="N88" s="118">
        <v>0.985</v>
      </c>
      <c r="O88" s="118">
        <v>0.96</v>
      </c>
      <c r="P88" s="118">
        <v>0.691</v>
      </c>
      <c r="Q88" s="118">
        <v>0.889</v>
      </c>
      <c r="R88" s="118">
        <v>0.932</v>
      </c>
      <c r="S88" s="118">
        <v>0.904</v>
      </c>
      <c r="T88" s="118">
        <v>0.995</v>
      </c>
      <c r="U88" s="118">
        <v>0.954</v>
      </c>
      <c r="V88" s="118">
        <v>0.979</v>
      </c>
      <c r="W88" s="118">
        <v>1.003</v>
      </c>
      <c r="X88" s="118">
        <v>1.025</v>
      </c>
      <c r="Y88" s="118">
        <v>1.07</v>
      </c>
      <c r="Z88" s="118">
        <v>1.037</v>
      </c>
      <c r="AA88" s="118">
        <v>0.967</v>
      </c>
      <c r="AB88" s="14"/>
    </row>
    <row r="89" spans="2:28" ht="15">
      <c r="B89" s="13"/>
      <c r="C89" s="120" t="s">
        <v>81</v>
      </c>
      <c r="D89" s="120" t="s">
        <v>110</v>
      </c>
      <c r="E89" s="120" t="s">
        <v>85</v>
      </c>
      <c r="F89" s="120" t="s">
        <v>33</v>
      </c>
      <c r="G89" s="118">
        <v>7.559</v>
      </c>
      <c r="H89" s="118">
        <v>7.701</v>
      </c>
      <c r="I89" s="118">
        <v>7.748</v>
      </c>
      <c r="J89" s="118">
        <v>7.969</v>
      </c>
      <c r="K89" s="118">
        <v>8.159</v>
      </c>
      <c r="L89" s="118">
        <v>8.463</v>
      </c>
      <c r="M89" s="118">
        <v>8.983</v>
      </c>
      <c r="N89" s="118">
        <v>9.505</v>
      </c>
      <c r="O89" s="118">
        <v>9.13</v>
      </c>
      <c r="P89" s="118">
        <v>7.686</v>
      </c>
      <c r="Q89" s="118">
        <v>7.174</v>
      </c>
      <c r="R89" s="118">
        <v>7.732</v>
      </c>
      <c r="S89" s="118">
        <v>6.848</v>
      </c>
      <c r="T89" s="118">
        <v>6.46</v>
      </c>
      <c r="U89" s="118">
        <v>6.475</v>
      </c>
      <c r="V89" s="118">
        <v>6.598</v>
      </c>
      <c r="W89" s="118">
        <v>6.58</v>
      </c>
      <c r="X89" s="118">
        <v>6.885</v>
      </c>
      <c r="Y89" s="118">
        <v>7.11</v>
      </c>
      <c r="Z89" s="118">
        <v>7.286</v>
      </c>
      <c r="AA89" s="118">
        <v>7.113</v>
      </c>
      <c r="AB89" s="14"/>
    </row>
    <row r="90" spans="2:28" ht="15">
      <c r="B90" s="13"/>
      <c r="C90" s="120" t="s">
        <v>81</v>
      </c>
      <c r="D90" s="120" t="s">
        <v>110</v>
      </c>
      <c r="E90" s="120" t="s">
        <v>86</v>
      </c>
      <c r="F90" s="120" t="s">
        <v>34</v>
      </c>
      <c r="G90" s="118">
        <v>4.087</v>
      </c>
      <c r="H90" s="118">
        <v>4.07</v>
      </c>
      <c r="I90" s="118">
        <v>4.169</v>
      </c>
      <c r="J90" s="118">
        <v>4.287</v>
      </c>
      <c r="K90" s="118">
        <v>4.304</v>
      </c>
      <c r="L90" s="118">
        <v>4.288</v>
      </c>
      <c r="M90" s="118">
        <v>4.324</v>
      </c>
      <c r="N90" s="118">
        <v>4.256</v>
      </c>
      <c r="O90" s="118">
        <v>4.216</v>
      </c>
      <c r="P90" s="118">
        <v>3.904</v>
      </c>
      <c r="Q90" s="118">
        <v>3.947</v>
      </c>
      <c r="R90" s="118">
        <v>3.998</v>
      </c>
      <c r="S90" s="118">
        <v>3.972</v>
      </c>
      <c r="T90" s="118">
        <v>3.833</v>
      </c>
      <c r="U90" s="118">
        <v>3.729</v>
      </c>
      <c r="V90" s="118">
        <v>3.796</v>
      </c>
      <c r="W90" s="118">
        <v>3.715</v>
      </c>
      <c r="X90" s="118">
        <v>3.747</v>
      </c>
      <c r="Y90" s="118">
        <v>3.713</v>
      </c>
      <c r="Z90" s="118">
        <v>3.45</v>
      </c>
      <c r="AA90" s="118">
        <v>2.959</v>
      </c>
      <c r="AB90" s="14"/>
    </row>
    <row r="91" spans="2:28" ht="15">
      <c r="B91" s="13"/>
      <c r="C91" s="120" t="s">
        <v>81</v>
      </c>
      <c r="D91" s="120" t="s">
        <v>110</v>
      </c>
      <c r="E91" s="120" t="s">
        <v>87</v>
      </c>
      <c r="F91" s="120" t="s">
        <v>35</v>
      </c>
      <c r="G91" s="118">
        <v>0.077</v>
      </c>
      <c r="H91" s="118">
        <v>0.073</v>
      </c>
      <c r="I91" s="118">
        <v>0.085</v>
      </c>
      <c r="J91" s="118">
        <v>0.095</v>
      </c>
      <c r="K91" s="118">
        <v>0.112</v>
      </c>
      <c r="L91" s="118">
        <v>0.097</v>
      </c>
      <c r="M91" s="118">
        <v>0.099</v>
      </c>
      <c r="N91" s="118">
        <v>0.11</v>
      </c>
      <c r="O91" s="118">
        <v>0.114</v>
      </c>
      <c r="P91" s="118">
        <v>0.098</v>
      </c>
      <c r="Q91" s="118">
        <v>0.109</v>
      </c>
      <c r="R91" s="118">
        <v>0.113</v>
      </c>
      <c r="S91" s="118">
        <v>0.106</v>
      </c>
      <c r="T91" s="118">
        <v>0.117</v>
      </c>
      <c r="U91" s="118">
        <v>0.119</v>
      </c>
      <c r="V91" s="118">
        <v>0.118</v>
      </c>
      <c r="W91" s="118">
        <v>0.124</v>
      </c>
      <c r="X91" s="118">
        <v>0.133</v>
      </c>
      <c r="Y91" s="118">
        <v>0.148</v>
      </c>
      <c r="Z91" s="118">
        <v>0.163</v>
      </c>
      <c r="AA91" s="118">
        <v>0.152</v>
      </c>
      <c r="AB91" s="14"/>
    </row>
    <row r="92" spans="2:28" ht="15">
      <c r="B92" s="13"/>
      <c r="C92" s="120" t="s">
        <v>81</v>
      </c>
      <c r="D92" s="120" t="s">
        <v>110</v>
      </c>
      <c r="E92" s="120" t="s">
        <v>88</v>
      </c>
      <c r="F92" s="120" t="s">
        <v>37</v>
      </c>
      <c r="G92" s="118">
        <v>0</v>
      </c>
      <c r="H92" s="118">
        <v>0</v>
      </c>
      <c r="I92" s="118">
        <v>0</v>
      </c>
      <c r="J92" s="118">
        <v>0</v>
      </c>
      <c r="K92" s="118">
        <v>0</v>
      </c>
      <c r="L92" s="118">
        <v>0</v>
      </c>
      <c r="M92" s="118">
        <v>0</v>
      </c>
      <c r="N92" s="118">
        <v>0</v>
      </c>
      <c r="O92" s="118">
        <v>0</v>
      </c>
      <c r="P92" s="118">
        <v>0.001</v>
      </c>
      <c r="Q92" s="118">
        <v>0.002</v>
      </c>
      <c r="R92" s="118">
        <v>0.002</v>
      </c>
      <c r="S92" s="118">
        <v>0.002</v>
      </c>
      <c r="T92" s="118">
        <v>0.002</v>
      </c>
      <c r="U92" s="118">
        <v>0.003</v>
      </c>
      <c r="V92" s="118">
        <v>0.003</v>
      </c>
      <c r="W92" s="118">
        <v>0.006</v>
      </c>
      <c r="X92" s="118">
        <v>0.009</v>
      </c>
      <c r="Y92" s="118">
        <v>0.003</v>
      </c>
      <c r="Z92" s="118">
        <v>0.003</v>
      </c>
      <c r="AA92" s="118">
        <v>0.004</v>
      </c>
      <c r="AB92" s="14"/>
    </row>
    <row r="93" spans="2:28" ht="15">
      <c r="B93" s="13"/>
      <c r="C93" s="11"/>
      <c r="D93" s="11"/>
      <c r="E93" s="11"/>
      <c r="F93" s="11"/>
      <c r="G93" s="153"/>
      <c r="H93" s="153"/>
      <c r="I93" s="153"/>
      <c r="J93" s="153"/>
      <c r="K93" s="153"/>
      <c r="L93" s="153"/>
      <c r="M93" s="153"/>
      <c r="N93" s="153"/>
      <c r="O93" s="153"/>
      <c r="P93" s="153"/>
      <c r="Q93" s="153"/>
      <c r="R93" s="153"/>
      <c r="S93" s="153"/>
      <c r="T93" s="153"/>
      <c r="U93" s="153"/>
      <c r="V93" s="153"/>
      <c r="W93" s="153"/>
      <c r="X93" s="153"/>
      <c r="Y93" s="153"/>
      <c r="Z93" s="153"/>
      <c r="AA93" s="153"/>
      <c r="AB93" s="14"/>
    </row>
    <row r="94" spans="2:28" ht="15">
      <c r="B94" s="13"/>
      <c r="C94" s="11" t="s">
        <v>38</v>
      </c>
      <c r="D94" s="11"/>
      <c r="E94" s="11"/>
      <c r="F94" s="11"/>
      <c r="G94" s="153"/>
      <c r="H94" s="153"/>
      <c r="I94" s="153"/>
      <c r="J94" s="153"/>
      <c r="K94" s="153"/>
      <c r="L94" s="153"/>
      <c r="M94" s="153"/>
      <c r="N94" s="153"/>
      <c r="O94" s="153"/>
      <c r="P94" s="153"/>
      <c r="Q94" s="153"/>
      <c r="R94" s="153"/>
      <c r="S94" s="153"/>
      <c r="T94" s="153"/>
      <c r="U94" s="153"/>
      <c r="V94" s="153"/>
      <c r="W94" s="153"/>
      <c r="X94" s="153"/>
      <c r="Y94" s="153"/>
      <c r="Z94" s="153"/>
      <c r="AA94" s="153"/>
      <c r="AB94" s="14"/>
    </row>
    <row r="95" spans="2:28" ht="15">
      <c r="B95" s="13"/>
      <c r="C95" s="11" t="s">
        <v>36</v>
      </c>
      <c r="D95" s="11" t="s">
        <v>39</v>
      </c>
      <c r="E95" s="11"/>
      <c r="F95" s="11"/>
      <c r="G95" s="153"/>
      <c r="H95" s="153"/>
      <c r="I95" s="153"/>
      <c r="J95" s="153"/>
      <c r="K95" s="153"/>
      <c r="L95" s="153"/>
      <c r="M95" s="153"/>
      <c r="N95" s="153"/>
      <c r="O95" s="153"/>
      <c r="P95" s="153"/>
      <c r="Q95" s="153"/>
      <c r="R95" s="153"/>
      <c r="S95" s="153"/>
      <c r="T95" s="153"/>
      <c r="U95" s="153"/>
      <c r="V95" s="153"/>
      <c r="W95" s="153"/>
      <c r="X95" s="153"/>
      <c r="Y95" s="153"/>
      <c r="Z95" s="153"/>
      <c r="AA95" s="153"/>
      <c r="AB95" s="14"/>
    </row>
    <row r="96" spans="2:28" ht="12.75" thickBot="1">
      <c r="B96" s="16"/>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8"/>
    </row>
    <row r="97" spans="3:6" ht="12.75" thickBot="1">
      <c r="C97" s="11"/>
      <c r="D97" s="11"/>
      <c r="E97" s="11"/>
      <c r="F97" s="11"/>
    </row>
    <row r="98" spans="2:28" ht="15">
      <c r="B98" s="116" t="s">
        <v>52</v>
      </c>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20"/>
    </row>
    <row r="99" spans="2:28" ht="15">
      <c r="B99" s="13"/>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4"/>
    </row>
    <row r="100" spans="2:28" ht="15">
      <c r="B100" s="13"/>
      <c r="C100" s="21" t="s">
        <v>310</v>
      </c>
      <c r="D100" s="21"/>
      <c r="E100" s="21"/>
      <c r="F100" s="15"/>
      <c r="G100" s="15"/>
      <c r="H100" s="15"/>
      <c r="I100" s="15"/>
      <c r="J100" s="15"/>
      <c r="K100" s="15"/>
      <c r="L100" s="15"/>
      <c r="M100" s="15"/>
      <c r="N100" s="15"/>
      <c r="O100" s="15"/>
      <c r="P100" s="15"/>
      <c r="Q100" s="15"/>
      <c r="R100" s="15"/>
      <c r="S100" s="15"/>
      <c r="T100" s="15"/>
      <c r="U100" s="15"/>
      <c r="V100" s="15"/>
      <c r="W100" s="15"/>
      <c r="X100" s="15"/>
      <c r="Y100" s="15"/>
      <c r="Z100" s="15"/>
      <c r="AA100" s="15"/>
      <c r="AB100" s="14"/>
    </row>
    <row r="101" spans="2:28" ht="15">
      <c r="B101" s="13"/>
      <c r="C101" s="22" t="s">
        <v>50</v>
      </c>
      <c r="D101" s="22"/>
      <c r="E101" s="22"/>
      <c r="F101" s="15"/>
      <c r="G101" s="15"/>
      <c r="H101" s="15"/>
      <c r="I101" s="15"/>
      <c r="J101" s="15"/>
      <c r="K101" s="15"/>
      <c r="L101" s="15"/>
      <c r="M101" s="15"/>
      <c r="N101" s="15"/>
      <c r="O101" s="15"/>
      <c r="P101" s="15"/>
      <c r="Q101" s="15"/>
      <c r="R101" s="15"/>
      <c r="S101" s="15"/>
      <c r="T101" s="15"/>
      <c r="U101" s="15"/>
      <c r="V101" s="15"/>
      <c r="W101" s="15"/>
      <c r="X101" s="15"/>
      <c r="Y101" s="15"/>
      <c r="Z101" s="15"/>
      <c r="AA101" s="15"/>
      <c r="AB101" s="14"/>
    </row>
    <row r="102" spans="2:28" ht="15">
      <c r="B102" s="13"/>
      <c r="C102" s="89" t="s">
        <v>42</v>
      </c>
      <c r="D102" s="89" t="s">
        <v>77</v>
      </c>
      <c r="E102" s="89" t="s">
        <v>78</v>
      </c>
      <c r="F102" s="90" t="s">
        <v>79</v>
      </c>
      <c r="G102" s="8">
        <v>2000</v>
      </c>
      <c r="H102" s="9">
        <v>2001</v>
      </c>
      <c r="I102" s="8">
        <v>2002</v>
      </c>
      <c r="J102" s="9">
        <v>2003</v>
      </c>
      <c r="K102" s="8">
        <v>2004</v>
      </c>
      <c r="L102" s="9">
        <v>2005</v>
      </c>
      <c r="M102" s="8">
        <v>2006</v>
      </c>
      <c r="N102" s="9">
        <v>2007</v>
      </c>
      <c r="O102" s="8">
        <v>2008</v>
      </c>
      <c r="P102" s="9">
        <v>2009</v>
      </c>
      <c r="Q102" s="8">
        <v>2010</v>
      </c>
      <c r="R102" s="9">
        <v>2011</v>
      </c>
      <c r="S102" s="8">
        <v>2012</v>
      </c>
      <c r="T102" s="9">
        <v>2013</v>
      </c>
      <c r="U102" s="8">
        <v>2014</v>
      </c>
      <c r="V102" s="9">
        <v>2015</v>
      </c>
      <c r="W102" s="9">
        <v>2016</v>
      </c>
      <c r="X102" s="9">
        <v>2017</v>
      </c>
      <c r="Y102" s="9">
        <v>2018</v>
      </c>
      <c r="Z102" s="9">
        <v>2019</v>
      </c>
      <c r="AA102" s="9">
        <v>2020</v>
      </c>
      <c r="AB102" s="14"/>
    </row>
    <row r="103" spans="2:28" ht="15">
      <c r="B103" s="13"/>
      <c r="C103" s="121" t="str">
        <f aca="true" t="shared" si="0" ref="C103:X103">C15</f>
        <v>DE</v>
      </c>
      <c r="D103" s="121" t="str">
        <f t="shared" si="0"/>
        <v>Domestic extraction</v>
      </c>
      <c r="E103" s="122" t="str">
        <f t="shared" si="0"/>
        <v>TOTAL</v>
      </c>
      <c r="F103" s="123" t="str">
        <f t="shared" si="0"/>
        <v>Total</v>
      </c>
      <c r="G103" s="124">
        <f t="shared" si="0"/>
        <v>5553779.4</v>
      </c>
      <c r="H103" s="124">
        <f t="shared" si="0"/>
        <v>5599114.69</v>
      </c>
      <c r="I103" s="124">
        <f t="shared" si="0"/>
        <v>5617192.715</v>
      </c>
      <c r="J103" s="124">
        <f t="shared" si="0"/>
        <v>5610321.413</v>
      </c>
      <c r="K103" s="124">
        <f t="shared" si="0"/>
        <v>5894589.726</v>
      </c>
      <c r="L103" s="124">
        <f t="shared" si="0"/>
        <v>5954486.431</v>
      </c>
      <c r="M103" s="124">
        <f t="shared" si="0"/>
        <v>6108004.301</v>
      </c>
      <c r="N103" s="124">
        <f t="shared" si="0"/>
        <v>6366184.885</v>
      </c>
      <c r="O103" s="124">
        <f t="shared" si="0"/>
        <v>6253011.802</v>
      </c>
      <c r="P103" s="124">
        <f t="shared" si="0"/>
        <v>5582862.738</v>
      </c>
      <c r="Q103" s="124">
        <f t="shared" si="0"/>
        <v>5338869.052</v>
      </c>
      <c r="R103" s="124">
        <f t="shared" si="0"/>
        <v>5666757.071</v>
      </c>
      <c r="S103" s="124">
        <f t="shared" si="0"/>
        <v>5248892.092</v>
      </c>
      <c r="T103" s="124">
        <f t="shared" si="0"/>
        <v>5136596.113</v>
      </c>
      <c r="U103" s="124">
        <f t="shared" si="0"/>
        <v>5190920.168</v>
      </c>
      <c r="V103" s="124">
        <f t="shared" si="0"/>
        <v>5123302.915</v>
      </c>
      <c r="W103" s="124">
        <f t="shared" si="0"/>
        <v>5117857.117</v>
      </c>
      <c r="X103" s="124">
        <f t="shared" si="0"/>
        <v>5297903.218</v>
      </c>
      <c r="Y103" s="124">
        <f aca="true" t="shared" si="1" ref="Y103:AA103">Y15</f>
        <v>5335027.581</v>
      </c>
      <c r="Z103" s="124">
        <f t="shared" si="1"/>
        <v>5325644.723</v>
      </c>
      <c r="AA103" s="124">
        <f t="shared" si="1"/>
        <v>5169007.154</v>
      </c>
      <c r="AB103" s="14"/>
    </row>
    <row r="104" spans="2:28" ht="15">
      <c r="B104" s="13"/>
      <c r="C104" s="125" t="str">
        <f aca="true" t="shared" si="2" ref="C104:X104">C16</f>
        <v>DE</v>
      </c>
      <c r="D104" s="125" t="str">
        <f t="shared" si="2"/>
        <v>Domestic extraction</v>
      </c>
      <c r="E104" s="125" t="str">
        <f t="shared" si="2"/>
        <v>MF1</v>
      </c>
      <c r="F104" s="125" t="str">
        <f t="shared" si="2"/>
        <v>Biomass</v>
      </c>
      <c r="G104" s="124">
        <f t="shared" si="2"/>
        <v>1467311.808</v>
      </c>
      <c r="H104" s="124">
        <f t="shared" si="2"/>
        <v>1446969.068</v>
      </c>
      <c r="I104" s="124">
        <f t="shared" si="2"/>
        <v>1447957.721</v>
      </c>
      <c r="J104" s="124">
        <f t="shared" si="2"/>
        <v>1341056.286</v>
      </c>
      <c r="K104" s="124">
        <f t="shared" si="2"/>
        <v>1534428.284</v>
      </c>
      <c r="L104" s="124">
        <f t="shared" si="2"/>
        <v>1470233.296</v>
      </c>
      <c r="M104" s="124">
        <f t="shared" si="2"/>
        <v>1394602.774</v>
      </c>
      <c r="N104" s="124">
        <f t="shared" si="2"/>
        <v>1443096.161</v>
      </c>
      <c r="O104" s="124">
        <f t="shared" si="2"/>
        <v>1485963.087</v>
      </c>
      <c r="P104" s="124">
        <f t="shared" si="2"/>
        <v>1457148.828</v>
      </c>
      <c r="Q104" s="124">
        <f t="shared" si="2"/>
        <v>1421195.196</v>
      </c>
      <c r="R104" s="124">
        <f t="shared" si="2"/>
        <v>1489082.052</v>
      </c>
      <c r="S104" s="124">
        <f t="shared" si="2"/>
        <v>1430291.466</v>
      </c>
      <c r="T104" s="124">
        <f t="shared" si="2"/>
        <v>1475221.145</v>
      </c>
      <c r="U104" s="124">
        <f t="shared" si="2"/>
        <v>1576154.817</v>
      </c>
      <c r="V104" s="124">
        <f t="shared" si="2"/>
        <v>1469058.874</v>
      </c>
      <c r="W104" s="124">
        <f t="shared" si="2"/>
        <v>1495265.486</v>
      </c>
      <c r="X104" s="124">
        <f t="shared" si="2"/>
        <v>1538468.273</v>
      </c>
      <c r="Y104" s="124">
        <f aca="true" t="shared" si="3" ref="Y104:AA104">Y16</f>
        <v>1480654.019</v>
      </c>
      <c r="Z104" s="124">
        <f t="shared" si="3"/>
        <v>1477742.837</v>
      </c>
      <c r="AA104" s="124">
        <f t="shared" si="3"/>
        <v>1485398.537</v>
      </c>
      <c r="AB104" s="14"/>
    </row>
    <row r="105" spans="2:28" ht="15">
      <c r="B105" s="13"/>
      <c r="C105" s="125" t="str">
        <f aca="true" t="shared" si="4" ref="C105:X105">C17</f>
        <v>DE</v>
      </c>
      <c r="D105" s="125" t="str">
        <f t="shared" si="4"/>
        <v>Domestic extraction</v>
      </c>
      <c r="E105" s="125" t="str">
        <f t="shared" si="4"/>
        <v>MF2</v>
      </c>
      <c r="F105" s="125" t="str">
        <f t="shared" si="4"/>
        <v>Metal ores (gross ores)</v>
      </c>
      <c r="G105" s="124">
        <f t="shared" si="4"/>
        <v>150368.732</v>
      </c>
      <c r="H105" s="124">
        <f t="shared" si="4"/>
        <v>144623.53</v>
      </c>
      <c r="I105" s="124">
        <f t="shared" si="4"/>
        <v>139896.083</v>
      </c>
      <c r="J105" s="124">
        <f t="shared" si="4"/>
        <v>137859.369</v>
      </c>
      <c r="K105" s="124">
        <f t="shared" si="4"/>
        <v>139829.241</v>
      </c>
      <c r="L105" s="124">
        <f t="shared" si="4"/>
        <v>139280.423</v>
      </c>
      <c r="M105" s="124">
        <f t="shared" si="4"/>
        <v>142836.173</v>
      </c>
      <c r="N105" s="124">
        <f t="shared" si="4"/>
        <v>139590.361</v>
      </c>
      <c r="O105" s="124">
        <f t="shared" si="4"/>
        <v>140095.794</v>
      </c>
      <c r="P105" s="124">
        <f t="shared" si="4"/>
        <v>136529.194</v>
      </c>
      <c r="Q105" s="124">
        <f t="shared" si="4"/>
        <v>163922.162</v>
      </c>
      <c r="R105" s="124">
        <f t="shared" si="4"/>
        <v>170654.262</v>
      </c>
      <c r="S105" s="124">
        <f t="shared" si="4"/>
        <v>184468.835</v>
      </c>
      <c r="T105" s="124">
        <f t="shared" si="4"/>
        <v>213604.232</v>
      </c>
      <c r="U105" s="124">
        <f t="shared" si="4"/>
        <v>189156.081</v>
      </c>
      <c r="V105" s="124">
        <f t="shared" si="4"/>
        <v>189361.392</v>
      </c>
      <c r="W105" s="124">
        <f t="shared" si="4"/>
        <v>206501.599</v>
      </c>
      <c r="X105" s="124">
        <f t="shared" si="4"/>
        <v>211449.819</v>
      </c>
      <c r="Y105" s="124">
        <f aca="true" t="shared" si="5" ref="Y105:AA105">Y17</f>
        <v>218695.397</v>
      </c>
      <c r="Z105" s="124">
        <f t="shared" si="5"/>
        <v>219624.382</v>
      </c>
      <c r="AA105" s="124">
        <f t="shared" si="5"/>
        <v>220234.797</v>
      </c>
      <c r="AB105" s="14"/>
    </row>
    <row r="106" spans="2:28" ht="15">
      <c r="B106" s="13"/>
      <c r="C106" s="125" t="str">
        <f aca="true" t="shared" si="6" ref="C106:X106">C18</f>
        <v>DE</v>
      </c>
      <c r="D106" s="125" t="str">
        <f t="shared" si="6"/>
        <v>Domestic extraction</v>
      </c>
      <c r="E106" s="125" t="str">
        <f t="shared" si="6"/>
        <v>MF3</v>
      </c>
      <c r="F106" s="125" t="str">
        <f t="shared" si="6"/>
        <v>Non-metallic minerals</v>
      </c>
      <c r="G106" s="124">
        <f t="shared" si="6"/>
        <v>3155112.592</v>
      </c>
      <c r="H106" s="124">
        <f t="shared" si="6"/>
        <v>3217608.903</v>
      </c>
      <c r="I106" s="124">
        <f t="shared" si="6"/>
        <v>3242184.078</v>
      </c>
      <c r="J106" s="124">
        <f t="shared" si="6"/>
        <v>3342932.196</v>
      </c>
      <c r="K106" s="124">
        <f t="shared" si="6"/>
        <v>3432871.206</v>
      </c>
      <c r="L106" s="124">
        <f t="shared" si="6"/>
        <v>3574957.323</v>
      </c>
      <c r="M106" s="124">
        <f t="shared" si="6"/>
        <v>3811375.207</v>
      </c>
      <c r="N106" s="124">
        <f t="shared" si="6"/>
        <v>4041946.875</v>
      </c>
      <c r="O106" s="124">
        <f t="shared" si="6"/>
        <v>3903512.066</v>
      </c>
      <c r="P106" s="124">
        <f t="shared" si="6"/>
        <v>3303250.142</v>
      </c>
      <c r="Q106" s="124">
        <f t="shared" si="6"/>
        <v>3068830.149</v>
      </c>
      <c r="R106" s="124">
        <f t="shared" si="6"/>
        <v>3303752.384</v>
      </c>
      <c r="S106" s="124">
        <f t="shared" si="6"/>
        <v>2934908.707</v>
      </c>
      <c r="T106" s="124">
        <f t="shared" si="6"/>
        <v>2773384.281</v>
      </c>
      <c r="U106" s="124">
        <f t="shared" si="6"/>
        <v>2785731.111</v>
      </c>
      <c r="V106" s="124">
        <f t="shared" si="6"/>
        <v>2848366.985</v>
      </c>
      <c r="W106" s="124">
        <f t="shared" si="6"/>
        <v>2842182.24</v>
      </c>
      <c r="X106" s="124">
        <f t="shared" si="6"/>
        <v>2973242.244</v>
      </c>
      <c r="Y106" s="124">
        <f aca="true" t="shared" si="7" ref="Y106:AA106">Y18</f>
        <v>3074023.077</v>
      </c>
      <c r="Z106" s="124">
        <f t="shared" si="7"/>
        <v>3150037.696</v>
      </c>
      <c r="AA106" s="124">
        <f t="shared" si="7"/>
        <v>3079075.25</v>
      </c>
      <c r="AB106" s="14"/>
    </row>
    <row r="107" spans="2:28" ht="15">
      <c r="B107" s="13"/>
      <c r="C107" s="125" t="str">
        <f aca="true" t="shared" si="8" ref="C107:X107">C19</f>
        <v>DE</v>
      </c>
      <c r="D107" s="125" t="str">
        <f t="shared" si="8"/>
        <v>Domestic extraction</v>
      </c>
      <c r="E107" s="125" t="str">
        <f t="shared" si="8"/>
        <v>MF4</v>
      </c>
      <c r="F107" s="125" t="str">
        <f t="shared" si="8"/>
        <v>Fossil energy materials/carriers</v>
      </c>
      <c r="G107" s="124">
        <f t="shared" si="8"/>
        <v>780986.268</v>
      </c>
      <c r="H107" s="124">
        <f t="shared" si="8"/>
        <v>789913.189</v>
      </c>
      <c r="I107" s="124">
        <f t="shared" si="8"/>
        <v>787154.834</v>
      </c>
      <c r="J107" s="124">
        <f t="shared" si="8"/>
        <v>788473.561</v>
      </c>
      <c r="K107" s="124">
        <f t="shared" si="8"/>
        <v>787460.995</v>
      </c>
      <c r="L107" s="124">
        <f t="shared" si="8"/>
        <v>770015.388</v>
      </c>
      <c r="M107" s="124">
        <f t="shared" si="8"/>
        <v>759190.147</v>
      </c>
      <c r="N107" s="124">
        <f t="shared" si="8"/>
        <v>741551.488</v>
      </c>
      <c r="O107" s="124">
        <f t="shared" si="8"/>
        <v>723440.855</v>
      </c>
      <c r="P107" s="124">
        <f t="shared" si="8"/>
        <v>685934.575</v>
      </c>
      <c r="Q107" s="124">
        <f t="shared" si="8"/>
        <v>684921.545</v>
      </c>
      <c r="R107" s="124">
        <f t="shared" si="8"/>
        <v>703268.373</v>
      </c>
      <c r="S107" s="124">
        <f t="shared" si="8"/>
        <v>699223.084</v>
      </c>
      <c r="T107" s="124">
        <f t="shared" si="8"/>
        <v>674386.455</v>
      </c>
      <c r="U107" s="124">
        <f t="shared" si="8"/>
        <v>639878.159</v>
      </c>
      <c r="V107" s="124">
        <f t="shared" si="8"/>
        <v>616515.664</v>
      </c>
      <c r="W107" s="124">
        <f t="shared" si="8"/>
        <v>573907.792</v>
      </c>
      <c r="X107" s="124">
        <f t="shared" si="8"/>
        <v>574742.883</v>
      </c>
      <c r="Y107" s="124">
        <f aca="true" t="shared" si="9" ref="Y107:AA107">Y19</f>
        <v>561655.088</v>
      </c>
      <c r="Z107" s="124">
        <f t="shared" si="9"/>
        <v>478239.809</v>
      </c>
      <c r="AA107" s="124">
        <f t="shared" si="9"/>
        <v>384298.57</v>
      </c>
      <c r="AB107" s="14"/>
    </row>
    <row r="108" spans="2:28" ht="15">
      <c r="B108" s="13"/>
      <c r="C108" s="125" t="str">
        <f aca="true" t="shared" si="10" ref="C108:X108">C22</f>
        <v>IMP</v>
      </c>
      <c r="D108" s="125" t="str">
        <f t="shared" si="10"/>
        <v>Imports</v>
      </c>
      <c r="E108" s="125" t="str">
        <f t="shared" si="10"/>
        <v>TOTAL</v>
      </c>
      <c r="F108" s="125" t="str">
        <f t="shared" si="10"/>
        <v>Total</v>
      </c>
      <c r="G108" s="124">
        <f t="shared" si="10"/>
        <v>1484124.557</v>
      </c>
      <c r="H108" s="124">
        <f t="shared" si="10"/>
        <v>1462513</v>
      </c>
      <c r="I108" s="124">
        <f t="shared" si="10"/>
        <v>1531347.951</v>
      </c>
      <c r="J108" s="124">
        <f t="shared" si="10"/>
        <v>1615654.633</v>
      </c>
      <c r="K108" s="124">
        <f t="shared" si="10"/>
        <v>1669336.278</v>
      </c>
      <c r="L108" s="124">
        <f t="shared" si="10"/>
        <v>1694677.041</v>
      </c>
      <c r="M108" s="124">
        <f t="shared" si="10"/>
        <v>1738933.582</v>
      </c>
      <c r="N108" s="124">
        <f t="shared" si="10"/>
        <v>1769391.143</v>
      </c>
      <c r="O108" s="124">
        <f t="shared" si="10"/>
        <v>1750439.183</v>
      </c>
      <c r="P108" s="124">
        <f t="shared" si="10"/>
        <v>1479750.017</v>
      </c>
      <c r="Q108" s="124">
        <f t="shared" si="10"/>
        <v>1589116.191</v>
      </c>
      <c r="R108" s="124">
        <f t="shared" si="10"/>
        <v>1615363.109</v>
      </c>
      <c r="S108" s="124">
        <f t="shared" si="10"/>
        <v>1564667.726</v>
      </c>
      <c r="T108" s="124">
        <f t="shared" si="10"/>
        <v>1550740.616</v>
      </c>
      <c r="U108" s="124">
        <f t="shared" si="10"/>
        <v>1569952.039</v>
      </c>
      <c r="V108" s="124">
        <f t="shared" si="10"/>
        <v>1636369.311</v>
      </c>
      <c r="W108" s="124">
        <f t="shared" si="10"/>
        <v>1654547.724</v>
      </c>
      <c r="X108" s="124">
        <f t="shared" si="10"/>
        <v>1697163.921</v>
      </c>
      <c r="Y108" s="124">
        <f aca="true" t="shared" si="11" ref="Y108:AA108">Y22</f>
        <v>1732481.277</v>
      </c>
      <c r="Z108" s="124">
        <f t="shared" si="11"/>
        <v>1698846.43</v>
      </c>
      <c r="AA108" s="124">
        <f t="shared" si="11"/>
        <v>1525218.821</v>
      </c>
      <c r="AB108" s="14"/>
    </row>
    <row r="109" spans="2:28" ht="15">
      <c r="B109" s="13"/>
      <c r="C109" s="125" t="str">
        <f aca="true" t="shared" si="12" ref="C109:F112">C23</f>
        <v>IMP</v>
      </c>
      <c r="D109" s="125" t="str">
        <f t="shared" si="12"/>
        <v>Imports</v>
      </c>
      <c r="E109" s="125" t="str">
        <f t="shared" si="12"/>
        <v>MF1</v>
      </c>
      <c r="F109" s="125" t="str">
        <f t="shared" si="12"/>
        <v>Biomass</v>
      </c>
      <c r="G109" s="124">
        <f aca="true" t="shared" si="13" ref="G109:X109">G23/SUM(G$23:G$26)*SUM(G$27:G$28)+G23</f>
        <v>156962.31796486565</v>
      </c>
      <c r="H109" s="124">
        <f t="shared" si="13"/>
        <v>161199.24729502253</v>
      </c>
      <c r="I109" s="124">
        <f t="shared" si="13"/>
        <v>170977.91598169197</v>
      </c>
      <c r="J109" s="124">
        <f t="shared" si="13"/>
        <v>170833.8042610383</v>
      </c>
      <c r="K109" s="124">
        <f t="shared" si="13"/>
        <v>173837.05785875695</v>
      </c>
      <c r="L109" s="124">
        <f t="shared" si="13"/>
        <v>175085.13942807223</v>
      </c>
      <c r="M109" s="124">
        <f t="shared" si="13"/>
        <v>176659.86889414807</v>
      </c>
      <c r="N109" s="124">
        <f t="shared" si="13"/>
        <v>190827.54951543707</v>
      </c>
      <c r="O109" s="124">
        <f t="shared" si="13"/>
        <v>186591.6293090868</v>
      </c>
      <c r="P109" s="124">
        <f t="shared" si="13"/>
        <v>157130.95159451693</v>
      </c>
      <c r="Q109" s="124">
        <f t="shared" si="13"/>
        <v>166021.52817923555</v>
      </c>
      <c r="R109" s="124">
        <f t="shared" si="13"/>
        <v>173914.96167593586</v>
      </c>
      <c r="S109" s="124">
        <f t="shared" si="13"/>
        <v>172030.4516731948</v>
      </c>
      <c r="T109" s="124">
        <f t="shared" si="13"/>
        <v>176827.59660297577</v>
      </c>
      <c r="U109" s="124">
        <f t="shared" si="13"/>
        <v>191449.87345946877</v>
      </c>
      <c r="V109" s="124">
        <f t="shared" si="13"/>
        <v>190831.07011132676</v>
      </c>
      <c r="W109" s="124">
        <f t="shared" si="13"/>
        <v>196966.2974255511</v>
      </c>
      <c r="X109" s="124">
        <f t="shared" si="13"/>
        <v>203053.91626456467</v>
      </c>
      <c r="Y109" s="124">
        <f aca="true" t="shared" si="14" ref="Y109">Y23/SUM(Y$23:Y$26)*SUM(Y$27:Y$28)+Y23</f>
        <v>216082.21917061487</v>
      </c>
      <c r="Z109" s="124">
        <f aca="true" t="shared" si="15" ref="Z109:AA109">Z23/SUM(Z$23:Z$26)*SUM(Z$27:Z$28)+Z23</f>
        <v>221296.61642496102</v>
      </c>
      <c r="AA109" s="124">
        <f t="shared" si="15"/>
        <v>210605.6844759655</v>
      </c>
      <c r="AB109" s="14"/>
    </row>
    <row r="110" spans="2:28" ht="15">
      <c r="B110" s="13"/>
      <c r="C110" s="125" t="str">
        <f t="shared" si="12"/>
        <v>IMP</v>
      </c>
      <c r="D110" s="125" t="str">
        <f t="shared" si="12"/>
        <v>Imports</v>
      </c>
      <c r="E110" s="125" t="str">
        <f t="shared" si="12"/>
        <v>MF2</v>
      </c>
      <c r="F110" s="125" t="str">
        <f t="shared" si="12"/>
        <v>Metal ores (gross ores)</v>
      </c>
      <c r="G110" s="124">
        <f aca="true" t="shared" si="16" ref="G110:X110">G24/SUM(G$23:G$26)*SUM(G$27:G$28)+G24</f>
        <v>244113.34840209206</v>
      </c>
      <c r="H110" s="124">
        <f t="shared" si="16"/>
        <v>230819.3861592389</v>
      </c>
      <c r="I110" s="124">
        <f t="shared" si="16"/>
        <v>233093.23412298912</v>
      </c>
      <c r="J110" s="124">
        <f t="shared" si="16"/>
        <v>251370.16721942398</v>
      </c>
      <c r="K110" s="124">
        <f t="shared" si="16"/>
        <v>276878.2824684425</v>
      </c>
      <c r="L110" s="124">
        <f t="shared" si="16"/>
        <v>285672.2247102241</v>
      </c>
      <c r="M110" s="124">
        <f t="shared" si="16"/>
        <v>292250.50319668045</v>
      </c>
      <c r="N110" s="124">
        <f t="shared" si="16"/>
        <v>300171.4322455216</v>
      </c>
      <c r="O110" s="124">
        <f t="shared" si="16"/>
        <v>290210.0690718451</v>
      </c>
      <c r="P110" s="124">
        <f t="shared" si="16"/>
        <v>173105.63763409617</v>
      </c>
      <c r="Q110" s="124">
        <f t="shared" si="16"/>
        <v>235293.92629327503</v>
      </c>
      <c r="R110" s="124">
        <f t="shared" si="16"/>
        <v>247422.3995409906</v>
      </c>
      <c r="S110" s="124">
        <f t="shared" si="16"/>
        <v>220946.51942652254</v>
      </c>
      <c r="T110" s="124">
        <f t="shared" si="16"/>
        <v>234174.189823945</v>
      </c>
      <c r="U110" s="124">
        <f t="shared" si="16"/>
        <v>242048.32060301385</v>
      </c>
      <c r="V110" s="124">
        <f t="shared" si="16"/>
        <v>253947.08103514923</v>
      </c>
      <c r="W110" s="124">
        <f t="shared" si="16"/>
        <v>248818.75932811582</v>
      </c>
      <c r="X110" s="124">
        <f t="shared" si="16"/>
        <v>255292.38874774918</v>
      </c>
      <c r="Y110" s="124">
        <f aca="true" t="shared" si="17" ref="Y110:AA110">Y24/SUM(Y$23:Y$26)*SUM(Y$27:Y$28)+Y24</f>
        <v>269811.943352628</v>
      </c>
      <c r="Z110" s="124">
        <f t="shared" si="17"/>
        <v>254949.70718178002</v>
      </c>
      <c r="AA110" s="124">
        <f t="shared" si="17"/>
        <v>222642.4871478357</v>
      </c>
      <c r="AB110" s="14"/>
    </row>
    <row r="111" spans="2:28" ht="15">
      <c r="B111" s="13"/>
      <c r="C111" s="125" t="str">
        <f t="shared" si="12"/>
        <v>IMP</v>
      </c>
      <c r="D111" s="125" t="str">
        <f t="shared" si="12"/>
        <v>Imports</v>
      </c>
      <c r="E111" s="125" t="str">
        <f t="shared" si="12"/>
        <v>MF3</v>
      </c>
      <c r="F111" s="125" t="str">
        <f t="shared" si="12"/>
        <v>Non-metallic minerals</v>
      </c>
      <c r="G111" s="124">
        <f aca="true" t="shared" si="18" ref="G111:X111">G25/SUM(G$23:G$26)*SUM(G$27:G$28)+G25</f>
        <v>89050.80483105902</v>
      </c>
      <c r="H111" s="124">
        <f t="shared" si="18"/>
        <v>91650.08734642777</v>
      </c>
      <c r="I111" s="124">
        <f t="shared" si="18"/>
        <v>95457.431084457</v>
      </c>
      <c r="J111" s="124">
        <f t="shared" si="18"/>
        <v>102252.114785615</v>
      </c>
      <c r="K111" s="124">
        <f t="shared" si="18"/>
        <v>107755.8330593489</v>
      </c>
      <c r="L111" s="124">
        <f t="shared" si="18"/>
        <v>110089.83236816211</v>
      </c>
      <c r="M111" s="124">
        <f t="shared" si="18"/>
        <v>112713.99007315481</v>
      </c>
      <c r="N111" s="124">
        <f t="shared" si="18"/>
        <v>124432.60916641455</v>
      </c>
      <c r="O111" s="124">
        <f t="shared" si="18"/>
        <v>111187.41010497171</v>
      </c>
      <c r="P111" s="124">
        <f t="shared" si="18"/>
        <v>84462.93159846395</v>
      </c>
      <c r="Q111" s="124">
        <f t="shared" si="18"/>
        <v>98265.47913674694</v>
      </c>
      <c r="R111" s="124">
        <f t="shared" si="18"/>
        <v>103352.17778469836</v>
      </c>
      <c r="S111" s="124">
        <f t="shared" si="18"/>
        <v>86990.17618093416</v>
      </c>
      <c r="T111" s="124">
        <f t="shared" si="18"/>
        <v>84449.89768345679</v>
      </c>
      <c r="U111" s="124">
        <f t="shared" si="18"/>
        <v>87324.2602847658</v>
      </c>
      <c r="V111" s="124">
        <f t="shared" si="18"/>
        <v>85389.57796419026</v>
      </c>
      <c r="W111" s="124">
        <f t="shared" si="18"/>
        <v>89994.06321528602</v>
      </c>
      <c r="X111" s="124">
        <f t="shared" si="18"/>
        <v>100478.00221419461</v>
      </c>
      <c r="Y111" s="124">
        <f aca="true" t="shared" si="19" ref="Y111:AA111">Y25/SUM(Y$23:Y$26)*SUM(Y$27:Y$28)+Y25</f>
        <v>105453.99212949403</v>
      </c>
      <c r="Z111" s="124">
        <f t="shared" si="19"/>
        <v>110648.84257672113</v>
      </c>
      <c r="AA111" s="124">
        <f t="shared" si="19"/>
        <v>107458.80792244023</v>
      </c>
      <c r="AB111" s="14"/>
    </row>
    <row r="112" spans="2:32" ht="15">
      <c r="B112" s="13"/>
      <c r="C112" s="125" t="str">
        <f t="shared" si="12"/>
        <v>IMP</v>
      </c>
      <c r="D112" s="125" t="str">
        <f t="shared" si="12"/>
        <v>Imports</v>
      </c>
      <c r="E112" s="125" t="str">
        <f t="shared" si="12"/>
        <v>MF4</v>
      </c>
      <c r="F112" s="125" t="str">
        <f t="shared" si="12"/>
        <v>Fossil energy materials/carriers</v>
      </c>
      <c r="G112" s="124">
        <f aca="true" t="shared" si="20" ref="G112:X112">G26/SUM(G$23:G$26)*SUM(G$27:G$28)+G26</f>
        <v>993998.0868019833</v>
      </c>
      <c r="H112" s="124">
        <f t="shared" si="20"/>
        <v>978844.2791993108</v>
      </c>
      <c r="I112" s="124">
        <f t="shared" si="20"/>
        <v>1031819.3698108619</v>
      </c>
      <c r="J112" s="124">
        <f t="shared" si="20"/>
        <v>1091198.5467339226</v>
      </c>
      <c r="K112" s="124">
        <f t="shared" si="20"/>
        <v>1110865.1046134518</v>
      </c>
      <c r="L112" s="124">
        <f t="shared" si="20"/>
        <v>1123829.8434935415</v>
      </c>
      <c r="M112" s="124">
        <f t="shared" si="20"/>
        <v>1157309.2198360167</v>
      </c>
      <c r="N112" s="124">
        <f t="shared" si="20"/>
        <v>1153959.5520726268</v>
      </c>
      <c r="O112" s="124">
        <f t="shared" si="20"/>
        <v>1162450.0745140964</v>
      </c>
      <c r="P112" s="124">
        <f t="shared" si="20"/>
        <v>1065050.496172923</v>
      </c>
      <c r="Q112" s="124">
        <f t="shared" si="20"/>
        <v>1089535.2573907424</v>
      </c>
      <c r="R112" s="124">
        <f t="shared" si="20"/>
        <v>1090673.568998375</v>
      </c>
      <c r="S112" s="124">
        <f t="shared" si="20"/>
        <v>1084700.5787193484</v>
      </c>
      <c r="T112" s="124">
        <f t="shared" si="20"/>
        <v>1055288.9308896225</v>
      </c>
      <c r="U112" s="124">
        <f t="shared" si="20"/>
        <v>1049129.5846527515</v>
      </c>
      <c r="V112" s="124">
        <f t="shared" si="20"/>
        <v>1106201.581889334</v>
      </c>
      <c r="W112" s="124">
        <f t="shared" si="20"/>
        <v>1118768.6030310472</v>
      </c>
      <c r="X112" s="124">
        <f t="shared" si="20"/>
        <v>1138339.6127734915</v>
      </c>
      <c r="Y112" s="124">
        <f aca="true" t="shared" si="21" ref="Y112:AA112">Y26/SUM(Y$23:Y$26)*SUM(Y$27:Y$28)+Y26</f>
        <v>1141133.1223472632</v>
      </c>
      <c r="Z112" s="124">
        <f t="shared" si="21"/>
        <v>1111951.2638165378</v>
      </c>
      <c r="AA112" s="124">
        <f t="shared" si="21"/>
        <v>984511.8424537586</v>
      </c>
      <c r="AB112" s="14"/>
      <c r="AC112" s="71"/>
      <c r="AD112" s="71"/>
      <c r="AE112" s="71"/>
      <c r="AF112" s="71"/>
    </row>
    <row r="113" spans="2:28" ht="15">
      <c r="B113" s="13"/>
      <c r="C113" s="125" t="str">
        <f aca="true" t="shared" si="22" ref="C113:X113">C29</f>
        <v>EXP</v>
      </c>
      <c r="D113" s="125" t="str">
        <f t="shared" si="22"/>
        <v>Exports</v>
      </c>
      <c r="E113" s="125" t="str">
        <f t="shared" si="22"/>
        <v>TOTAL</v>
      </c>
      <c r="F113" s="125" t="str">
        <f t="shared" si="22"/>
        <v>Total</v>
      </c>
      <c r="G113" s="124">
        <f t="shared" si="22"/>
        <v>442422.393</v>
      </c>
      <c r="H113" s="124">
        <f t="shared" si="22"/>
        <v>441252.553</v>
      </c>
      <c r="I113" s="124">
        <f t="shared" si="22"/>
        <v>467876.368</v>
      </c>
      <c r="J113" s="124">
        <f t="shared" si="22"/>
        <v>479623.024</v>
      </c>
      <c r="K113" s="124">
        <f t="shared" si="22"/>
        <v>505228.866</v>
      </c>
      <c r="L113" s="124">
        <f t="shared" si="22"/>
        <v>532029.179</v>
      </c>
      <c r="M113" s="124">
        <f t="shared" si="22"/>
        <v>555701.73</v>
      </c>
      <c r="N113" s="124">
        <f t="shared" si="22"/>
        <v>569602.154</v>
      </c>
      <c r="O113" s="124">
        <f t="shared" si="22"/>
        <v>581778.821</v>
      </c>
      <c r="P113" s="124">
        <f t="shared" si="22"/>
        <v>546869.292</v>
      </c>
      <c r="Q113" s="124">
        <f t="shared" si="22"/>
        <v>604251.406</v>
      </c>
      <c r="R113" s="124">
        <f t="shared" si="22"/>
        <v>624715.422</v>
      </c>
      <c r="S113" s="124">
        <f t="shared" si="22"/>
        <v>669893.347</v>
      </c>
      <c r="T113" s="124">
        <f t="shared" si="22"/>
        <v>700460.314</v>
      </c>
      <c r="U113" s="124">
        <f t="shared" si="22"/>
        <v>710366.945</v>
      </c>
      <c r="V113" s="124">
        <f t="shared" si="22"/>
        <v>716760.043</v>
      </c>
      <c r="W113" s="124">
        <f t="shared" si="22"/>
        <v>738911.088</v>
      </c>
      <c r="X113" s="124">
        <f t="shared" si="22"/>
        <v>764934.202</v>
      </c>
      <c r="Y113" s="124">
        <f aca="true" t="shared" si="23" ref="Y113:AA113">Y29</f>
        <v>745693.946</v>
      </c>
      <c r="Z113" s="124">
        <f t="shared" si="23"/>
        <v>745534.407</v>
      </c>
      <c r="AA113" s="124">
        <f t="shared" si="23"/>
        <v>718274.287</v>
      </c>
      <c r="AB113" s="14"/>
    </row>
    <row r="114" spans="2:28" ht="15">
      <c r="B114" s="13"/>
      <c r="C114" s="125" t="str">
        <f aca="true" t="shared" si="24" ref="C114:F117">C30</f>
        <v>EXP</v>
      </c>
      <c r="D114" s="125" t="str">
        <f t="shared" si="24"/>
        <v>Exports</v>
      </c>
      <c r="E114" s="125" t="str">
        <f t="shared" si="24"/>
        <v>MF1</v>
      </c>
      <c r="F114" s="125" t="str">
        <f t="shared" si="24"/>
        <v>Biomass</v>
      </c>
      <c r="G114" s="124">
        <f aca="true" t="shared" si="25" ref="G114:X114">G30/SUM(G$30:G$33)*SUM(G$34:G$35)+G30</f>
        <v>136522.353339866</v>
      </c>
      <c r="H114" s="124">
        <f t="shared" si="25"/>
        <v>132616.0737901905</v>
      </c>
      <c r="I114" s="124">
        <f t="shared" si="25"/>
        <v>138497.78421494734</v>
      </c>
      <c r="J114" s="124">
        <f t="shared" si="25"/>
        <v>141399.71077767076</v>
      </c>
      <c r="K114" s="124">
        <f t="shared" si="25"/>
        <v>139604.37288965526</v>
      </c>
      <c r="L114" s="124">
        <f t="shared" si="25"/>
        <v>154229.3057403583</v>
      </c>
      <c r="M114" s="124">
        <f t="shared" si="25"/>
        <v>160978.1441106992</v>
      </c>
      <c r="N114" s="124">
        <f t="shared" si="25"/>
        <v>149697.34874626223</v>
      </c>
      <c r="O114" s="124">
        <f t="shared" si="25"/>
        <v>160772.41735553963</v>
      </c>
      <c r="P114" s="124">
        <f t="shared" si="25"/>
        <v>156539.46133529933</v>
      </c>
      <c r="Q114" s="124">
        <f t="shared" si="25"/>
        <v>174064.87978454566</v>
      </c>
      <c r="R114" s="124">
        <f t="shared" si="25"/>
        <v>175488.84664479963</v>
      </c>
      <c r="S114" s="124">
        <f t="shared" si="25"/>
        <v>179666.9743919593</v>
      </c>
      <c r="T114" s="124">
        <f t="shared" si="25"/>
        <v>199824.08692482032</v>
      </c>
      <c r="U114" s="124">
        <f t="shared" si="25"/>
        <v>208289.9295275745</v>
      </c>
      <c r="V114" s="124">
        <f t="shared" si="25"/>
        <v>218511.6807746463</v>
      </c>
      <c r="W114" s="124">
        <f t="shared" si="25"/>
        <v>219538.35961635364</v>
      </c>
      <c r="X114" s="124">
        <f t="shared" si="25"/>
        <v>216651.07366420157</v>
      </c>
      <c r="Y114" s="124">
        <f aca="true" t="shared" si="26" ref="Y114:AA114">Y30/SUM(Y$30:Y$33)*SUM(Y$34:Y$35)+Y30</f>
        <v>212464.29350221565</v>
      </c>
      <c r="Z114" s="124">
        <f t="shared" si="26"/>
        <v>233800.72511194902</v>
      </c>
      <c r="AA114" s="124">
        <f t="shared" si="26"/>
        <v>248583.9566013631</v>
      </c>
      <c r="AB114" s="14"/>
    </row>
    <row r="115" spans="2:28" ht="15">
      <c r="B115" s="13"/>
      <c r="C115" s="125" t="str">
        <f t="shared" si="24"/>
        <v>EXP</v>
      </c>
      <c r="D115" s="125" t="str">
        <f t="shared" si="24"/>
        <v>Exports</v>
      </c>
      <c r="E115" s="125" t="str">
        <f t="shared" si="24"/>
        <v>MF2</v>
      </c>
      <c r="F115" s="125" t="str">
        <f t="shared" si="24"/>
        <v>Metal ores (gross ores)</v>
      </c>
      <c r="G115" s="124">
        <f aca="true" t="shared" si="27" ref="G115:X115">G31/SUM(G$30:G$33)*SUM(G$34:G$35)+G31</f>
        <v>92986.5216334161</v>
      </c>
      <c r="H115" s="124">
        <f t="shared" si="27"/>
        <v>92176.38313651708</v>
      </c>
      <c r="I115" s="124">
        <f t="shared" si="27"/>
        <v>103185.83496349577</v>
      </c>
      <c r="J115" s="124">
        <f t="shared" si="27"/>
        <v>105465.4022514624</v>
      </c>
      <c r="K115" s="124">
        <f t="shared" si="27"/>
        <v>115720.22944000854</v>
      </c>
      <c r="L115" s="124">
        <f t="shared" si="27"/>
        <v>117282.12202988623</v>
      </c>
      <c r="M115" s="124">
        <f t="shared" si="27"/>
        <v>120872.30595456468</v>
      </c>
      <c r="N115" s="124">
        <f t="shared" si="27"/>
        <v>125204.69505433142</v>
      </c>
      <c r="O115" s="124">
        <f t="shared" si="27"/>
        <v>128912.77029696734</v>
      </c>
      <c r="P115" s="124">
        <f t="shared" si="27"/>
        <v>113524.26584304462</v>
      </c>
      <c r="Q115" s="124">
        <f t="shared" si="27"/>
        <v>130205.5144627364</v>
      </c>
      <c r="R115" s="124">
        <f t="shared" si="27"/>
        <v>144860.2409704227</v>
      </c>
      <c r="S115" s="124">
        <f t="shared" si="27"/>
        <v>150478.60136320247</v>
      </c>
      <c r="T115" s="124">
        <f t="shared" si="27"/>
        <v>145652.4770251651</v>
      </c>
      <c r="U115" s="124">
        <f t="shared" si="27"/>
        <v>145254.29890597524</v>
      </c>
      <c r="V115" s="124">
        <f t="shared" si="27"/>
        <v>132042.17278702438</v>
      </c>
      <c r="W115" s="124">
        <f t="shared" si="27"/>
        <v>133800.725762876</v>
      </c>
      <c r="X115" s="124">
        <f t="shared" si="27"/>
        <v>141529.73870428337</v>
      </c>
      <c r="Y115" s="124">
        <f aca="true" t="shared" si="28" ref="Y115:AA115">Y31/SUM(Y$30:Y$33)*SUM(Y$34:Y$35)+Y31</f>
        <v>138649.0259869068</v>
      </c>
      <c r="Z115" s="124">
        <f t="shared" si="28"/>
        <v>141280.54319119538</v>
      </c>
      <c r="AA115" s="124">
        <f t="shared" si="28"/>
        <v>131253.22045796269</v>
      </c>
      <c r="AB115" s="14"/>
    </row>
    <row r="116" spans="2:28" ht="15">
      <c r="B116" s="13"/>
      <c r="C116" s="125" t="str">
        <f t="shared" si="24"/>
        <v>EXP</v>
      </c>
      <c r="D116" s="125" t="str">
        <f t="shared" si="24"/>
        <v>Exports</v>
      </c>
      <c r="E116" s="125" t="str">
        <f t="shared" si="24"/>
        <v>MF3</v>
      </c>
      <c r="F116" s="125" t="str">
        <f t="shared" si="24"/>
        <v>Non-metallic minerals</v>
      </c>
      <c r="G116" s="124">
        <f aca="true" t="shared" si="29" ref="G116:X116">G32/SUM(G$30:G$33)*SUM(G$34:G$35)+G32</f>
        <v>72775.53910559905</v>
      </c>
      <c r="H116" s="124">
        <f t="shared" si="29"/>
        <v>73847.09592127765</v>
      </c>
      <c r="I116" s="124">
        <f t="shared" si="29"/>
        <v>76324.23498434783</v>
      </c>
      <c r="J116" s="124">
        <f t="shared" si="29"/>
        <v>77268.65244539571</v>
      </c>
      <c r="K116" s="124">
        <f t="shared" si="29"/>
        <v>79587.135312533</v>
      </c>
      <c r="L116" s="124">
        <f t="shared" si="29"/>
        <v>84354.13443934024</v>
      </c>
      <c r="M116" s="124">
        <f t="shared" si="29"/>
        <v>80823.36420613265</v>
      </c>
      <c r="N116" s="124">
        <f t="shared" si="29"/>
        <v>81506.55682897552</v>
      </c>
      <c r="O116" s="124">
        <f t="shared" si="29"/>
        <v>81222.8221453259</v>
      </c>
      <c r="P116" s="124">
        <f t="shared" si="29"/>
        <v>72874.88359373099</v>
      </c>
      <c r="Q116" s="124">
        <f t="shared" si="29"/>
        <v>85849.0398572046</v>
      </c>
      <c r="R116" s="124">
        <f t="shared" si="29"/>
        <v>87639.14093694658</v>
      </c>
      <c r="S116" s="124">
        <f t="shared" si="29"/>
        <v>96743.4925490872</v>
      </c>
      <c r="T116" s="124">
        <f t="shared" si="29"/>
        <v>104433.2491953587</v>
      </c>
      <c r="U116" s="124">
        <f t="shared" si="29"/>
        <v>110737.44046595186</v>
      </c>
      <c r="V116" s="124">
        <f t="shared" si="29"/>
        <v>111340.97302868924</v>
      </c>
      <c r="W116" s="124">
        <f t="shared" si="29"/>
        <v>111569.58710657278</v>
      </c>
      <c r="X116" s="124">
        <f t="shared" si="29"/>
        <v>112647.9584684606</v>
      </c>
      <c r="Y116" s="124">
        <f aca="true" t="shared" si="30" ref="Y116:AA116">Y32/SUM(Y$30:Y$33)*SUM(Y$34:Y$35)+Y32</f>
        <v>110453.40828619598</v>
      </c>
      <c r="Z116" s="124">
        <f t="shared" si="30"/>
        <v>102977.6145247954</v>
      </c>
      <c r="AA116" s="124">
        <f t="shared" si="30"/>
        <v>97150.06777122401</v>
      </c>
      <c r="AB116" s="14"/>
    </row>
    <row r="117" spans="2:28" ht="15">
      <c r="B117" s="13"/>
      <c r="C117" s="125" t="str">
        <f t="shared" si="24"/>
        <v>EXP</v>
      </c>
      <c r="D117" s="125" t="str">
        <f t="shared" si="24"/>
        <v>Exports</v>
      </c>
      <c r="E117" s="125" t="str">
        <f t="shared" si="24"/>
        <v>MF4</v>
      </c>
      <c r="F117" s="125" t="str">
        <f t="shared" si="24"/>
        <v>Fossil energy materials/carriers</v>
      </c>
      <c r="G117" s="124">
        <f aca="true" t="shared" si="31" ref="G117:X117">G33/SUM(G$30:G$33)*SUM(G$34:G$35)+G33</f>
        <v>140137.97892111886</v>
      </c>
      <c r="H117" s="124">
        <f t="shared" si="31"/>
        <v>142613.00115201477</v>
      </c>
      <c r="I117" s="124">
        <f t="shared" si="31"/>
        <v>149868.51283720904</v>
      </c>
      <c r="J117" s="124">
        <f t="shared" si="31"/>
        <v>155489.2595254711</v>
      </c>
      <c r="K117" s="124">
        <f t="shared" si="31"/>
        <v>170317.1283578032</v>
      </c>
      <c r="L117" s="124">
        <f t="shared" si="31"/>
        <v>176163.6157904152</v>
      </c>
      <c r="M117" s="124">
        <f t="shared" si="31"/>
        <v>193027.91572860346</v>
      </c>
      <c r="N117" s="124">
        <f t="shared" si="31"/>
        <v>213193.5523704308</v>
      </c>
      <c r="O117" s="124">
        <f t="shared" si="31"/>
        <v>210870.81020216717</v>
      </c>
      <c r="P117" s="124">
        <f t="shared" si="31"/>
        <v>203930.68122792503</v>
      </c>
      <c r="Q117" s="124">
        <f t="shared" si="31"/>
        <v>214131.97189551336</v>
      </c>
      <c r="R117" s="124">
        <f t="shared" si="31"/>
        <v>216727.19444783105</v>
      </c>
      <c r="S117" s="124">
        <f t="shared" si="31"/>
        <v>243004.27869575104</v>
      </c>
      <c r="T117" s="124">
        <f t="shared" si="31"/>
        <v>250550.50085465584</v>
      </c>
      <c r="U117" s="124">
        <f t="shared" si="31"/>
        <v>246085.27610049836</v>
      </c>
      <c r="V117" s="124">
        <f t="shared" si="31"/>
        <v>254865.2154096401</v>
      </c>
      <c r="W117" s="124">
        <f t="shared" si="31"/>
        <v>274002.4155141976</v>
      </c>
      <c r="X117" s="124">
        <f t="shared" si="31"/>
        <v>294105.4321630545</v>
      </c>
      <c r="Y117" s="124">
        <f aca="true" t="shared" si="32" ref="Y117:AA117">Y33/SUM(Y$30:Y$33)*SUM(Y$34:Y$35)+Y33</f>
        <v>284127.2172246816</v>
      </c>
      <c r="Z117" s="124">
        <f t="shared" si="32"/>
        <v>267475.5241720602</v>
      </c>
      <c r="AA117" s="124">
        <f t="shared" si="32"/>
        <v>241287.04216945017</v>
      </c>
      <c r="AB117" s="14"/>
    </row>
    <row r="118" spans="2:28" ht="15">
      <c r="B118" s="13"/>
      <c r="C118" s="126" t="str">
        <f aca="true" t="shared" si="33" ref="C118:X118">C36</f>
        <v>DMC</v>
      </c>
      <c r="D118" s="126" t="str">
        <f t="shared" si="33"/>
        <v>Domestic material consumption</v>
      </c>
      <c r="E118" s="126" t="str">
        <f t="shared" si="33"/>
        <v>TOTAL</v>
      </c>
      <c r="F118" s="127" t="str">
        <f t="shared" si="33"/>
        <v>Total</v>
      </c>
      <c r="G118" s="128">
        <f t="shared" si="33"/>
        <v>6595481.564</v>
      </c>
      <c r="H118" s="128">
        <f t="shared" si="33"/>
        <v>6620375.136</v>
      </c>
      <c r="I118" s="128">
        <f t="shared" si="33"/>
        <v>6680664.297</v>
      </c>
      <c r="J118" s="128">
        <f t="shared" si="33"/>
        <v>6746353.021</v>
      </c>
      <c r="K118" s="128">
        <f t="shared" si="33"/>
        <v>7058697.139</v>
      </c>
      <c r="L118" s="128">
        <f t="shared" si="33"/>
        <v>7117134.293</v>
      </c>
      <c r="M118" s="128">
        <f t="shared" si="33"/>
        <v>7291236.154</v>
      </c>
      <c r="N118" s="128">
        <f t="shared" si="33"/>
        <v>7565973.875</v>
      </c>
      <c r="O118" s="128">
        <f t="shared" si="33"/>
        <v>7421672.164</v>
      </c>
      <c r="P118" s="128">
        <f t="shared" si="33"/>
        <v>6515743.463</v>
      </c>
      <c r="Q118" s="128">
        <f t="shared" si="33"/>
        <v>6323733.837</v>
      </c>
      <c r="R118" s="128">
        <f t="shared" si="33"/>
        <v>6657404.758</v>
      </c>
      <c r="S118" s="128">
        <f t="shared" si="33"/>
        <v>6143666.471</v>
      </c>
      <c r="T118" s="128">
        <f t="shared" si="33"/>
        <v>5986876.415</v>
      </c>
      <c r="U118" s="128">
        <f t="shared" si="33"/>
        <v>6050505.262</v>
      </c>
      <c r="V118" s="128">
        <f t="shared" si="33"/>
        <v>6042912.183</v>
      </c>
      <c r="W118" s="128">
        <f t="shared" si="33"/>
        <v>6033493.753</v>
      </c>
      <c r="X118" s="128">
        <f t="shared" si="33"/>
        <v>6230132.937</v>
      </c>
      <c r="Y118" s="128">
        <f aca="true" t="shared" si="34" ref="Y118:AA118">Y36</f>
        <v>6321814.912</v>
      </c>
      <c r="Z118" s="128">
        <f t="shared" si="34"/>
        <v>6278956.746</v>
      </c>
      <c r="AA118" s="128">
        <f t="shared" si="34"/>
        <v>5975951.688</v>
      </c>
      <c r="AB118" s="14"/>
    </row>
    <row r="119" spans="2:28" ht="15">
      <c r="B119" s="13"/>
      <c r="C119" s="126" t="str">
        <f aca="true" t="shared" si="35" ref="C119:F122">C37</f>
        <v>DMC</v>
      </c>
      <c r="D119" s="126" t="str">
        <f t="shared" si="35"/>
        <v>Domestic material consumption</v>
      </c>
      <c r="E119" s="126" t="str">
        <f t="shared" si="35"/>
        <v>MF1</v>
      </c>
      <c r="F119" s="129" t="str">
        <f t="shared" si="35"/>
        <v>Biomass</v>
      </c>
      <c r="G119" s="124">
        <f aca="true" t="shared" si="36" ref="G119:X119">G37/SUM(G$37:G$40)*SUM(G$41:G$42)+G37</f>
        <v>1494884.5174207909</v>
      </c>
      <c r="H119" s="124">
        <f t="shared" si="36"/>
        <v>1482250.962201497</v>
      </c>
      <c r="I119" s="124">
        <f t="shared" si="36"/>
        <v>1487619.4606874236</v>
      </c>
      <c r="J119" s="124">
        <f t="shared" si="36"/>
        <v>1378080.6981863491</v>
      </c>
      <c r="K119" s="124">
        <f t="shared" si="36"/>
        <v>1576692.7942792603</v>
      </c>
      <c r="L119" s="124">
        <f t="shared" si="36"/>
        <v>1498909.0333051465</v>
      </c>
      <c r="M119" s="124">
        <f t="shared" si="36"/>
        <v>1418420.317716176</v>
      </c>
      <c r="N119" s="124">
        <f t="shared" si="36"/>
        <v>1491493.7449785925</v>
      </c>
      <c r="O119" s="124">
        <f t="shared" si="36"/>
        <v>1520039.1529051233</v>
      </c>
      <c r="P119" s="124">
        <f t="shared" si="36"/>
        <v>1465511.1666672772</v>
      </c>
      <c r="Q119" s="124">
        <f t="shared" si="36"/>
        <v>1422078.8187196252</v>
      </c>
      <c r="R119" s="124">
        <f t="shared" si="36"/>
        <v>1496181.5090878769</v>
      </c>
      <c r="S119" s="124">
        <f t="shared" si="36"/>
        <v>1430266.3090477036</v>
      </c>
      <c r="T119" s="124">
        <f t="shared" si="36"/>
        <v>1461225.31582736</v>
      </c>
      <c r="U119" s="124">
        <f t="shared" si="36"/>
        <v>1568584.6847374593</v>
      </c>
      <c r="V119" s="124">
        <f t="shared" si="36"/>
        <v>1451510.0662520975</v>
      </c>
      <c r="W119" s="124">
        <f t="shared" si="36"/>
        <v>1482824.797352754</v>
      </c>
      <c r="X119" s="124">
        <f t="shared" si="36"/>
        <v>1535088.4184228333</v>
      </c>
      <c r="Y119" s="124">
        <f aca="true" t="shared" si="37" ref="Y119:AA119">Y37/SUM(Y$37:Y$40)*SUM(Y$41:Y$42)+Y37</f>
        <v>1494662.4241143044</v>
      </c>
      <c r="Z119" s="124">
        <f t="shared" si="37"/>
        <v>1477688.6713862743</v>
      </c>
      <c r="AA119" s="124">
        <f t="shared" si="37"/>
        <v>1460633.3340328212</v>
      </c>
      <c r="AB119" s="14"/>
    </row>
    <row r="120" spans="2:28" ht="15">
      <c r="B120" s="13"/>
      <c r="C120" s="126" t="str">
        <f t="shared" si="35"/>
        <v>DMC</v>
      </c>
      <c r="D120" s="126" t="str">
        <f t="shared" si="35"/>
        <v>Domestic material consumption</v>
      </c>
      <c r="E120" s="126" t="str">
        <f t="shared" si="35"/>
        <v>MF2</v>
      </c>
      <c r="F120" s="129" t="str">
        <f t="shared" si="35"/>
        <v>Metal ores (gross ores)</v>
      </c>
      <c r="G120" s="124">
        <f aca="true" t="shared" si="38" ref="G120:X120">G38/SUM(G$37:G$40)*SUM(G$41:G$42)+G38</f>
        <v>303894.28615380946</v>
      </c>
      <c r="H120" s="124">
        <f t="shared" si="38"/>
        <v>286490.77889804565</v>
      </c>
      <c r="I120" s="124">
        <f t="shared" si="38"/>
        <v>273423.2527015782</v>
      </c>
      <c r="J120" s="124">
        <f t="shared" si="38"/>
        <v>286007.88440912653</v>
      </c>
      <c r="K120" s="124">
        <f t="shared" si="38"/>
        <v>302931.0915171955</v>
      </c>
      <c r="L120" s="124">
        <f t="shared" si="38"/>
        <v>309704.6235410944</v>
      </c>
      <c r="M120" s="124">
        <f t="shared" si="38"/>
        <v>316358.4860776595</v>
      </c>
      <c r="N120" s="124">
        <f t="shared" si="38"/>
        <v>316392.96311425837</v>
      </c>
      <c r="O120" s="124">
        <f t="shared" si="38"/>
        <v>303486.7832203248</v>
      </c>
      <c r="P120" s="124">
        <f t="shared" si="38"/>
        <v>199686.0071480906</v>
      </c>
      <c r="Q120" s="124">
        <f t="shared" si="38"/>
        <v>272118.2693802913</v>
      </c>
      <c r="R120" s="124">
        <f t="shared" si="38"/>
        <v>277020.7776695581</v>
      </c>
      <c r="S120" s="124">
        <f t="shared" si="38"/>
        <v>259454.79307782435</v>
      </c>
      <c r="T120" s="124">
        <f t="shared" si="38"/>
        <v>305192.3881240499</v>
      </c>
      <c r="U120" s="124">
        <f t="shared" si="38"/>
        <v>288823.35466557246</v>
      </c>
      <c r="V120" s="124">
        <f t="shared" si="38"/>
        <v>312896.7931014903</v>
      </c>
      <c r="W120" s="124">
        <f t="shared" si="38"/>
        <v>322929.66199849907</v>
      </c>
      <c r="X120" s="124">
        <f t="shared" si="38"/>
        <v>326874.955629566</v>
      </c>
      <c r="Y120" s="124">
        <f aca="true" t="shared" si="39" ref="Y120:AA120">Y38/SUM(Y$37:Y$40)*SUM(Y$41:Y$42)+Y38</f>
        <v>350770.54663286975</v>
      </c>
      <c r="Z120" s="124">
        <f t="shared" si="39"/>
        <v>334187.93045378267</v>
      </c>
      <c r="AA120" s="124">
        <f t="shared" si="39"/>
        <v>312513.33203699323</v>
      </c>
      <c r="AB120" s="14"/>
    </row>
    <row r="121" spans="2:28" ht="15">
      <c r="B121" s="13"/>
      <c r="C121" s="126" t="str">
        <f t="shared" si="35"/>
        <v>DMC</v>
      </c>
      <c r="D121" s="126" t="str">
        <f t="shared" si="35"/>
        <v>Domestic material consumption</v>
      </c>
      <c r="E121" s="126" t="str">
        <f t="shared" si="35"/>
        <v>MF3</v>
      </c>
      <c r="F121" s="129" t="str">
        <f t="shared" si="35"/>
        <v>Non-metallic minerals</v>
      </c>
      <c r="G121" s="124">
        <f aca="true" t="shared" si="40" ref="G121:X121">G39/SUM(G$37:G$40)*SUM(G$41:G$42)+G39</f>
        <v>3173111.8748808224</v>
      </c>
      <c r="H121" s="124">
        <f t="shared" si="40"/>
        <v>3235521.2499298276</v>
      </c>
      <c r="I121" s="124">
        <f t="shared" si="40"/>
        <v>3262946.7894018423</v>
      </c>
      <c r="J121" s="124">
        <f t="shared" si="40"/>
        <v>3372730.455241193</v>
      </c>
      <c r="K121" s="124">
        <f t="shared" si="40"/>
        <v>3467558.105352568</v>
      </c>
      <c r="L121" s="124">
        <f t="shared" si="40"/>
        <v>3604966.253941917</v>
      </c>
      <c r="M121" s="124">
        <f t="shared" si="40"/>
        <v>3846738.46840975</v>
      </c>
      <c r="N121" s="124">
        <f t="shared" si="40"/>
        <v>4089697.6799984737</v>
      </c>
      <c r="O121" s="124">
        <f t="shared" si="40"/>
        <v>3938847.272962279</v>
      </c>
      <c r="P121" s="124">
        <f t="shared" si="40"/>
        <v>3319047.586578199</v>
      </c>
      <c r="Q121" s="124">
        <f t="shared" si="40"/>
        <v>3085574.357524681</v>
      </c>
      <c r="R121" s="124">
        <f t="shared" si="40"/>
        <v>3323603.0297063473</v>
      </c>
      <c r="S121" s="124">
        <f t="shared" si="40"/>
        <v>2928339.4043414257</v>
      </c>
      <c r="T121" s="124">
        <f t="shared" si="40"/>
        <v>2758201.6165097593</v>
      </c>
      <c r="U121" s="124">
        <f t="shared" si="40"/>
        <v>2767414.961208074</v>
      </c>
      <c r="V121" s="124">
        <f t="shared" si="40"/>
        <v>2827774.8298521456</v>
      </c>
      <c r="W121" s="124">
        <f t="shared" si="40"/>
        <v>2827081.690832201</v>
      </c>
      <c r="X121" s="124">
        <f t="shared" si="40"/>
        <v>2967966.7890009806</v>
      </c>
      <c r="Y121" s="124">
        <f aca="true" t="shared" si="41" ref="Y121:AA121">Y39/SUM(Y$37:Y$40)*SUM(Y$41:Y$42)+Y39</f>
        <v>3077832.3205819763</v>
      </c>
      <c r="Z121" s="124">
        <f t="shared" si="41"/>
        <v>3168602.4275005665</v>
      </c>
      <c r="AA121" s="124">
        <f t="shared" si="41"/>
        <v>3098834.872876997</v>
      </c>
      <c r="AB121" s="14"/>
    </row>
    <row r="122" spans="2:28" ht="15">
      <c r="B122" s="13"/>
      <c r="C122" s="126" t="str">
        <f t="shared" si="35"/>
        <v>DMC</v>
      </c>
      <c r="D122" s="126" t="str">
        <f t="shared" si="35"/>
        <v>Domestic material consumption</v>
      </c>
      <c r="E122" s="126" t="str">
        <f t="shared" si="35"/>
        <v>MF4</v>
      </c>
      <c r="F122" s="129" t="str">
        <f t="shared" si="35"/>
        <v>Fossil energy materials/carriers</v>
      </c>
      <c r="G122" s="124">
        <f aca="true" t="shared" si="42" ref="G122:X122">G40/SUM(G$37:G$40)*SUM(G$41:G$42)+G40</f>
        <v>1623590.8875445777</v>
      </c>
      <c r="H122" s="124">
        <f t="shared" si="42"/>
        <v>1616112.14597063</v>
      </c>
      <c r="I122" s="124">
        <f t="shared" si="42"/>
        <v>1656674.7952091563</v>
      </c>
      <c r="J122" s="124">
        <f t="shared" si="42"/>
        <v>1709533.9831633314</v>
      </c>
      <c r="K122" s="124">
        <f t="shared" si="42"/>
        <v>1711515.1478509763</v>
      </c>
      <c r="L122" s="124">
        <f t="shared" si="42"/>
        <v>1703554.3832118423</v>
      </c>
      <c r="M122" s="124">
        <f t="shared" si="42"/>
        <v>1709718.8827964142</v>
      </c>
      <c r="N122" s="124">
        <f t="shared" si="42"/>
        <v>1668389.4869086754</v>
      </c>
      <c r="O122" s="124">
        <f t="shared" si="42"/>
        <v>1659298.955912273</v>
      </c>
      <c r="P122" s="124">
        <f t="shared" si="42"/>
        <v>1531498.7036064332</v>
      </c>
      <c r="Q122" s="124">
        <f t="shared" si="42"/>
        <v>1543962.3913754022</v>
      </c>
      <c r="R122" s="124">
        <f t="shared" si="42"/>
        <v>1560599.4415362177</v>
      </c>
      <c r="S122" s="124">
        <f t="shared" si="42"/>
        <v>1525605.964533046</v>
      </c>
      <c r="T122" s="124">
        <f t="shared" si="42"/>
        <v>1462257.0945388305</v>
      </c>
      <c r="U122" s="124">
        <f t="shared" si="42"/>
        <v>1425682.2603888942</v>
      </c>
      <c r="V122" s="124">
        <f t="shared" si="42"/>
        <v>1450730.4947942665</v>
      </c>
      <c r="W122" s="124">
        <f t="shared" si="42"/>
        <v>1400657.602816546</v>
      </c>
      <c r="X122" s="124">
        <f t="shared" si="42"/>
        <v>1400202.77394662</v>
      </c>
      <c r="Y122" s="124">
        <f aca="true" t="shared" si="43" ref="Y122:AA122">Y40/SUM(Y$37:Y$40)*SUM(Y$41:Y$42)+Y40</f>
        <v>1398549.6216708492</v>
      </c>
      <c r="Z122" s="124">
        <f t="shared" si="43"/>
        <v>1298477.7166593762</v>
      </c>
      <c r="AA122" s="124">
        <f t="shared" si="43"/>
        <v>1103970.1490531883</v>
      </c>
      <c r="AB122" s="14"/>
    </row>
    <row r="123" spans="2:28" ht="15">
      <c r="B123" s="13"/>
      <c r="C123" s="130" t="str">
        <f aca="true" t="shared" si="44" ref="C123:X123">C43</f>
        <v>DMI</v>
      </c>
      <c r="D123" s="130" t="str">
        <f t="shared" si="44"/>
        <v>Direct material inputs</v>
      </c>
      <c r="E123" s="130" t="str">
        <f t="shared" si="44"/>
        <v>TOTAL</v>
      </c>
      <c r="F123" s="127" t="str">
        <f t="shared" si="44"/>
        <v>Total</v>
      </c>
      <c r="G123" s="128">
        <f t="shared" si="44"/>
        <v>7037903.957</v>
      </c>
      <c r="H123" s="128">
        <f t="shared" si="44"/>
        <v>7061627.689</v>
      </c>
      <c r="I123" s="128">
        <f t="shared" si="44"/>
        <v>7148540.665</v>
      </c>
      <c r="J123" s="128">
        <f t="shared" si="44"/>
        <v>7225976.046</v>
      </c>
      <c r="K123" s="128">
        <f t="shared" si="44"/>
        <v>7563926.005</v>
      </c>
      <c r="L123" s="128">
        <f t="shared" si="44"/>
        <v>7649163.472</v>
      </c>
      <c r="M123" s="128">
        <f t="shared" si="44"/>
        <v>7846937.883</v>
      </c>
      <c r="N123" s="128">
        <f t="shared" si="44"/>
        <v>8135576.028</v>
      </c>
      <c r="O123" s="128">
        <f t="shared" si="44"/>
        <v>8003450.986</v>
      </c>
      <c r="P123" s="128">
        <f t="shared" si="44"/>
        <v>7062612.755</v>
      </c>
      <c r="Q123" s="128">
        <f t="shared" si="44"/>
        <v>6927985.243</v>
      </c>
      <c r="R123" s="128">
        <f t="shared" si="44"/>
        <v>7282120.18</v>
      </c>
      <c r="S123" s="128">
        <f t="shared" si="44"/>
        <v>6813559.818</v>
      </c>
      <c r="T123" s="128">
        <f t="shared" si="44"/>
        <v>6687336.729</v>
      </c>
      <c r="U123" s="128">
        <f t="shared" si="44"/>
        <v>6760872.207</v>
      </c>
      <c r="V123" s="128">
        <f t="shared" si="44"/>
        <v>6759672.226</v>
      </c>
      <c r="W123" s="128">
        <f t="shared" si="44"/>
        <v>6772404.841</v>
      </c>
      <c r="X123" s="128">
        <f t="shared" si="44"/>
        <v>6995067.14</v>
      </c>
      <c r="Y123" s="128">
        <f aca="true" t="shared" si="45" ref="Y123:AA123">Y43</f>
        <v>7067508.858</v>
      </c>
      <c r="Z123" s="128">
        <f t="shared" si="45"/>
        <v>7024491.153</v>
      </c>
      <c r="AA123" s="128">
        <f t="shared" si="45"/>
        <v>6694225.975</v>
      </c>
      <c r="AB123" s="14"/>
    </row>
    <row r="124" spans="2:28" ht="15">
      <c r="B124" s="13"/>
      <c r="C124" s="130" t="str">
        <f aca="true" t="shared" si="46" ref="C124:F127">C44</f>
        <v>DMI</v>
      </c>
      <c r="D124" s="130" t="str">
        <f t="shared" si="46"/>
        <v>Direct material inputs</v>
      </c>
      <c r="E124" s="130" t="str">
        <f t="shared" si="46"/>
        <v>MF1</v>
      </c>
      <c r="F124" s="129" t="str">
        <f t="shared" si="46"/>
        <v>Biomass</v>
      </c>
      <c r="G124" s="131">
        <f aca="true" t="shared" si="47" ref="G124:X124">G44/SUM(G$44:G$47)*SUM(G$48:G$49)+G44</f>
        <v>1628415.985125833</v>
      </c>
      <c r="H124" s="131">
        <f t="shared" si="47"/>
        <v>1611855.1635888277</v>
      </c>
      <c r="I124" s="131">
        <f t="shared" si="47"/>
        <v>1623142.6251479618</v>
      </c>
      <c r="J124" s="131">
        <f t="shared" si="47"/>
        <v>1516183.350579774</v>
      </c>
      <c r="K124" s="131">
        <f t="shared" si="47"/>
        <v>1714206.0588451296</v>
      </c>
      <c r="L124" s="131">
        <f t="shared" si="47"/>
        <v>1650072.856953291</v>
      </c>
      <c r="M124" s="131">
        <f t="shared" si="47"/>
        <v>1575551.4648848358</v>
      </c>
      <c r="N124" s="131">
        <f t="shared" si="47"/>
        <v>1638441.4111298106</v>
      </c>
      <c r="O124" s="131">
        <f t="shared" si="47"/>
        <v>1677737.5188083127</v>
      </c>
      <c r="P124" s="131">
        <f t="shared" si="47"/>
        <v>1619690.549396441</v>
      </c>
      <c r="Q124" s="131">
        <f t="shared" si="47"/>
        <v>1593369.0963695075</v>
      </c>
      <c r="R124" s="131">
        <f t="shared" si="47"/>
        <v>1669114.5405783684</v>
      </c>
      <c r="S124" s="131">
        <f t="shared" si="47"/>
        <v>1608299.4671860822</v>
      </c>
      <c r="T124" s="131">
        <f t="shared" si="47"/>
        <v>1659078.3836302815</v>
      </c>
      <c r="U124" s="131">
        <f t="shared" si="47"/>
        <v>1775187.2291280688</v>
      </c>
      <c r="V124" s="131">
        <f t="shared" si="47"/>
        <v>1666860.63004273</v>
      </c>
      <c r="W124" s="131">
        <f t="shared" si="47"/>
        <v>1699847.1827211317</v>
      </c>
      <c r="X124" s="131">
        <f t="shared" si="47"/>
        <v>1749790.6418882702</v>
      </c>
      <c r="Y124" s="131">
        <f aca="true" t="shared" si="48" ref="Y124:AA124">Y44/SUM(Y$44:Y$47)*SUM(Y$48:Y$49)+Y44</f>
        <v>1704594.1625050856</v>
      </c>
      <c r="Z124" s="131">
        <f t="shared" si="48"/>
        <v>1707418.439088951</v>
      </c>
      <c r="AA124" s="131">
        <f t="shared" si="48"/>
        <v>1704135.7271965411</v>
      </c>
      <c r="AB124" s="14"/>
    </row>
    <row r="125" spans="2:28" ht="15">
      <c r="B125" s="13"/>
      <c r="C125" s="130" t="str">
        <f t="shared" si="46"/>
        <v>DMI</v>
      </c>
      <c r="D125" s="130" t="str">
        <f t="shared" si="46"/>
        <v>Direct material inputs</v>
      </c>
      <c r="E125" s="130" t="str">
        <f t="shared" si="46"/>
        <v>MF2</v>
      </c>
      <c r="F125" s="129" t="str">
        <f t="shared" si="46"/>
        <v>Metal ores (gross ores)</v>
      </c>
      <c r="G125" s="131">
        <f aca="true" t="shared" si="49" ref="G125:X125">G45/SUM(G$44:G$47)*SUM(G$48:G$49)+G45</f>
        <v>390890.0219244232</v>
      </c>
      <c r="H125" s="131">
        <f t="shared" si="49"/>
        <v>372159.39563802443</v>
      </c>
      <c r="I125" s="131">
        <f t="shared" si="49"/>
        <v>369323.92457359505</v>
      </c>
      <c r="J125" s="131">
        <f t="shared" si="49"/>
        <v>385009.88911161694</v>
      </c>
      <c r="K125" s="131">
        <f t="shared" si="49"/>
        <v>411300.7238897837</v>
      </c>
      <c r="L125" s="131">
        <f t="shared" si="49"/>
        <v>420145.835990662</v>
      </c>
      <c r="M125" s="131">
        <f t="shared" si="49"/>
        <v>430190.5662762459</v>
      </c>
      <c r="N125" s="131">
        <f t="shared" si="49"/>
        <v>434145.85545129474</v>
      </c>
      <c r="O125" s="131">
        <f t="shared" si="49"/>
        <v>424634.7837120744</v>
      </c>
      <c r="P125" s="131">
        <f t="shared" si="49"/>
        <v>306401.0153165674</v>
      </c>
      <c r="Q125" s="131">
        <f t="shared" si="49"/>
        <v>394751.3308532579</v>
      </c>
      <c r="R125" s="131">
        <f t="shared" si="49"/>
        <v>413223.508130036</v>
      </c>
      <c r="S125" s="131">
        <f t="shared" si="49"/>
        <v>401514.8707032132</v>
      </c>
      <c r="T125" s="131">
        <f t="shared" si="49"/>
        <v>443336.51989573264</v>
      </c>
      <c r="U125" s="131">
        <f t="shared" si="49"/>
        <v>426290.90368477785</v>
      </c>
      <c r="V125" s="131">
        <f t="shared" si="49"/>
        <v>438464.102408273</v>
      </c>
      <c r="W125" s="131">
        <f t="shared" si="49"/>
        <v>450480.0162298688</v>
      </c>
      <c r="X125" s="131">
        <f t="shared" si="49"/>
        <v>461390.75331004796</v>
      </c>
      <c r="Y125" s="131">
        <f aca="true" t="shared" si="50" ref="Y125:AA125">Y45/SUM(Y$44:Y$47)*SUM(Y$48:Y$49)+Y45</f>
        <v>482606.8430893455</v>
      </c>
      <c r="Z125" s="131">
        <f t="shared" si="50"/>
        <v>468379.62037012674</v>
      </c>
      <c r="AA125" s="131">
        <f t="shared" si="50"/>
        <v>437246.8623960849</v>
      </c>
      <c r="AB125" s="14"/>
    </row>
    <row r="126" spans="2:28" ht="15">
      <c r="B126" s="13"/>
      <c r="C126" s="130" t="str">
        <f t="shared" si="46"/>
        <v>DMI</v>
      </c>
      <c r="D126" s="130" t="str">
        <f t="shared" si="46"/>
        <v>Direct material inputs</v>
      </c>
      <c r="E126" s="130" t="str">
        <f t="shared" si="46"/>
        <v>MF3</v>
      </c>
      <c r="F126" s="129" t="str">
        <f t="shared" si="46"/>
        <v>Non-metallic minerals</v>
      </c>
      <c r="G126" s="131">
        <f aca="true" t="shared" si="51" ref="G126:X126">G46/SUM(G$44:G$47)*SUM(G$48:G$49)+G46</f>
        <v>3257445.906500856</v>
      </c>
      <c r="H126" s="131">
        <f t="shared" si="51"/>
        <v>3321995.5815287367</v>
      </c>
      <c r="I126" s="131">
        <f t="shared" si="51"/>
        <v>3352464.7726334953</v>
      </c>
      <c r="J126" s="131">
        <f t="shared" si="51"/>
        <v>3462337.2818811582</v>
      </c>
      <c r="K126" s="131">
        <f t="shared" si="51"/>
        <v>3560324.4550159704</v>
      </c>
      <c r="L126" s="131">
        <f t="shared" si="51"/>
        <v>3702774.5596733084</v>
      </c>
      <c r="M126" s="131">
        <f t="shared" si="51"/>
        <v>3943012.6121827927</v>
      </c>
      <c r="N126" s="131">
        <f t="shared" si="51"/>
        <v>4187843.5335655166</v>
      </c>
      <c r="O126" s="131">
        <f t="shared" si="51"/>
        <v>4036877.097277707</v>
      </c>
      <c r="P126" s="131">
        <f t="shared" si="51"/>
        <v>3406397.0421896833</v>
      </c>
      <c r="Q126" s="131">
        <f t="shared" si="51"/>
        <v>3186610.381454039</v>
      </c>
      <c r="R126" s="131">
        <f t="shared" si="51"/>
        <v>3427574.619461709</v>
      </c>
      <c r="S126" s="131">
        <f t="shared" si="51"/>
        <v>3040416.6289980384</v>
      </c>
      <c r="T126" s="131">
        <f t="shared" si="51"/>
        <v>2877541.1980522033</v>
      </c>
      <c r="U126" s="131">
        <f t="shared" si="51"/>
        <v>2893130.415745177</v>
      </c>
      <c r="V126" s="131">
        <f t="shared" si="51"/>
        <v>2954398.7897130675</v>
      </c>
      <c r="W126" s="131">
        <f t="shared" si="51"/>
        <v>2954212.7300760467</v>
      </c>
      <c r="X126" s="131">
        <f t="shared" si="51"/>
        <v>3098029.791761187</v>
      </c>
      <c r="Y126" s="131">
        <f aca="true" t="shared" si="52" ref="Y126:AA126">Y46/SUM(Y$44:Y$47)*SUM(Y$48:Y$49)+Y46</f>
        <v>3205976.6164382435</v>
      </c>
      <c r="Z126" s="131">
        <f t="shared" si="52"/>
        <v>3290645.0113533614</v>
      </c>
      <c r="AA126" s="131">
        <f t="shared" si="52"/>
        <v>3215143.106506346</v>
      </c>
      <c r="AB126" s="14"/>
    </row>
    <row r="127" spans="2:28" ht="15">
      <c r="B127" s="13"/>
      <c r="C127" s="130" t="str">
        <f t="shared" si="46"/>
        <v>DMI</v>
      </c>
      <c r="D127" s="132" t="str">
        <f t="shared" si="46"/>
        <v>Direct material inputs</v>
      </c>
      <c r="E127" s="132" t="str">
        <f t="shared" si="46"/>
        <v>MF4</v>
      </c>
      <c r="F127" s="133" t="str">
        <f t="shared" si="46"/>
        <v>Fossil energy materials/carriers</v>
      </c>
      <c r="G127" s="131">
        <f aca="true" t="shared" si="53" ref="G127:X127">G47/SUM(G$44:G$47)*SUM(G$48:G$49)+G47</f>
        <v>1761152.0434488875</v>
      </c>
      <c r="H127" s="131">
        <f t="shared" si="53"/>
        <v>1755617.5492444113</v>
      </c>
      <c r="I127" s="131">
        <f t="shared" si="53"/>
        <v>1803609.342644948</v>
      </c>
      <c r="J127" s="131">
        <f t="shared" si="53"/>
        <v>1862445.5224274506</v>
      </c>
      <c r="K127" s="131">
        <f t="shared" si="53"/>
        <v>1878094.7672491162</v>
      </c>
      <c r="L127" s="131">
        <f t="shared" si="53"/>
        <v>1876170.2193827382</v>
      </c>
      <c r="M127" s="131">
        <f t="shared" si="53"/>
        <v>1898183.239656126</v>
      </c>
      <c r="N127" s="131">
        <f t="shared" si="53"/>
        <v>1875145.227853378</v>
      </c>
      <c r="O127" s="131">
        <f t="shared" si="53"/>
        <v>1864201.5852019058</v>
      </c>
      <c r="P127" s="131">
        <f t="shared" si="53"/>
        <v>1730124.1480973084</v>
      </c>
      <c r="Q127" s="131">
        <f t="shared" si="53"/>
        <v>1753254.434323196</v>
      </c>
      <c r="R127" s="131">
        <f t="shared" si="53"/>
        <v>1772207.5128298863</v>
      </c>
      <c r="S127" s="131">
        <f t="shared" si="53"/>
        <v>1763328.8511126665</v>
      </c>
      <c r="T127" s="131">
        <f t="shared" si="53"/>
        <v>1707380.626421783</v>
      </c>
      <c r="U127" s="131">
        <f t="shared" si="53"/>
        <v>1666263.6584419764</v>
      </c>
      <c r="V127" s="131">
        <f t="shared" si="53"/>
        <v>1699948.7038359295</v>
      </c>
      <c r="W127" s="131">
        <f t="shared" si="53"/>
        <v>1667864.9119729528</v>
      </c>
      <c r="X127" s="131">
        <f t="shared" si="53"/>
        <v>1685855.9530404953</v>
      </c>
      <c r="Y127" s="131">
        <f aca="true" t="shared" si="54" ref="Y127:AA127">Y47/SUM(Y$44:Y$47)*SUM(Y$48:Y$49)+Y47</f>
        <v>1674331.2359673255</v>
      </c>
      <c r="Z127" s="131">
        <f t="shared" si="54"/>
        <v>1558048.082187561</v>
      </c>
      <c r="AA127" s="131">
        <f t="shared" si="54"/>
        <v>1337700.2789010282</v>
      </c>
      <c r="AB127" s="14"/>
    </row>
    <row r="128" spans="2:28" ht="15">
      <c r="B128" s="13"/>
      <c r="C128" s="109" t="s">
        <v>89</v>
      </c>
      <c r="D128" s="109" t="s">
        <v>290</v>
      </c>
      <c r="E128" s="109" t="str">
        <f>E103</f>
        <v>TOTAL</v>
      </c>
      <c r="F128" s="134" t="str">
        <f>F103</f>
        <v>Total</v>
      </c>
      <c r="G128" s="135">
        <f aca="true" t="shared" si="55" ref="G128:H128">G108-G113</f>
        <v>1041702.1640000001</v>
      </c>
      <c r="H128" s="135">
        <f t="shared" si="55"/>
        <v>1021260.4469999999</v>
      </c>
      <c r="I128" s="135">
        <f>I108-I113</f>
        <v>1063471.5829999999</v>
      </c>
      <c r="J128" s="135">
        <f aca="true" t="shared" si="56" ref="J128:T128">J108-J113</f>
        <v>1136031.609</v>
      </c>
      <c r="K128" s="135">
        <f t="shared" si="56"/>
        <v>1164107.412</v>
      </c>
      <c r="L128" s="135">
        <f t="shared" si="56"/>
        <v>1162647.862</v>
      </c>
      <c r="M128" s="135">
        <f t="shared" si="56"/>
        <v>1183231.852</v>
      </c>
      <c r="N128" s="135">
        <f t="shared" si="56"/>
        <v>1199788.989</v>
      </c>
      <c r="O128" s="135">
        <f t="shared" si="56"/>
        <v>1168660.362</v>
      </c>
      <c r="P128" s="135">
        <f t="shared" si="56"/>
        <v>932880.725</v>
      </c>
      <c r="Q128" s="135">
        <f t="shared" si="56"/>
        <v>984864.7850000001</v>
      </c>
      <c r="R128" s="135">
        <f t="shared" si="56"/>
        <v>990647.6869999999</v>
      </c>
      <c r="S128" s="135">
        <f t="shared" si="56"/>
        <v>894774.3790000001</v>
      </c>
      <c r="T128" s="136">
        <f t="shared" si="56"/>
        <v>850280.3019999999</v>
      </c>
      <c r="U128" s="136">
        <f aca="true" t="shared" si="57" ref="U128:V128">U108-U113</f>
        <v>859585.0940000002</v>
      </c>
      <c r="V128" s="136">
        <f t="shared" si="57"/>
        <v>919609.268</v>
      </c>
      <c r="W128" s="136">
        <f aca="true" t="shared" si="58" ref="W128:X128">W108-W113</f>
        <v>915636.6359999999</v>
      </c>
      <c r="X128" s="136">
        <f t="shared" si="58"/>
        <v>932229.719</v>
      </c>
      <c r="Y128" s="136">
        <f aca="true" t="shared" si="59" ref="Y128:AA128">Y108-Y113</f>
        <v>986787.331</v>
      </c>
      <c r="Z128" s="136">
        <f t="shared" si="59"/>
        <v>953312.0229999999</v>
      </c>
      <c r="AA128" s="136">
        <f t="shared" si="59"/>
        <v>806944.534</v>
      </c>
      <c r="AB128" s="14"/>
    </row>
    <row r="129" spans="2:28" ht="15">
      <c r="B129" s="13"/>
      <c r="C129" s="109" t="s">
        <v>89</v>
      </c>
      <c r="D129" s="109" t="s">
        <v>290</v>
      </c>
      <c r="E129" s="109" t="str">
        <f>E104</f>
        <v>MF1</v>
      </c>
      <c r="F129" s="137" t="str">
        <f>F104</f>
        <v>Biomass</v>
      </c>
      <c r="G129" s="135">
        <f>G109-G114</f>
        <v>20439.964624999644</v>
      </c>
      <c r="H129" s="135">
        <f aca="true" t="shared" si="60" ref="H129:T129">H109-H114</f>
        <v>28583.173504832026</v>
      </c>
      <c r="I129" s="135">
        <f t="shared" si="60"/>
        <v>32480.131766744627</v>
      </c>
      <c r="J129" s="135">
        <f t="shared" si="60"/>
        <v>29434.093483367556</v>
      </c>
      <c r="K129" s="135">
        <f t="shared" si="60"/>
        <v>34232.68496910168</v>
      </c>
      <c r="L129" s="135">
        <f t="shared" si="60"/>
        <v>20855.833687713923</v>
      </c>
      <c r="M129" s="135">
        <f t="shared" si="60"/>
        <v>15681.724783448852</v>
      </c>
      <c r="N129" s="135">
        <f t="shared" si="60"/>
        <v>41130.200769174844</v>
      </c>
      <c r="O129" s="135">
        <f t="shared" si="60"/>
        <v>25819.211953547172</v>
      </c>
      <c r="P129" s="135">
        <f t="shared" si="60"/>
        <v>591.4902592175931</v>
      </c>
      <c r="Q129" s="135">
        <f t="shared" si="60"/>
        <v>-8043.351605310105</v>
      </c>
      <c r="R129" s="135">
        <f t="shared" si="60"/>
        <v>-1573.884968863771</v>
      </c>
      <c r="S129" s="135">
        <f t="shared" si="60"/>
        <v>-7636.522718764492</v>
      </c>
      <c r="T129" s="136">
        <f t="shared" si="60"/>
        <v>-22996.490321844554</v>
      </c>
      <c r="U129" s="136">
        <f aca="true" t="shared" si="61" ref="U129:V129">U109-U114</f>
        <v>-16840.05606810574</v>
      </c>
      <c r="V129" s="136">
        <f t="shared" si="61"/>
        <v>-27680.61066331953</v>
      </c>
      <c r="W129" s="136">
        <f aca="true" t="shared" si="62" ref="W129:X129">W109-W114</f>
        <v>-22572.062190802535</v>
      </c>
      <c r="X129" s="136">
        <f t="shared" si="62"/>
        <v>-13597.157399636897</v>
      </c>
      <c r="Y129" s="136">
        <f aca="true" t="shared" si="63" ref="Y129:AA129">Y109-Y114</f>
        <v>3617.925668399228</v>
      </c>
      <c r="Z129" s="136">
        <f t="shared" si="63"/>
        <v>-12504.10868698801</v>
      </c>
      <c r="AA129" s="136">
        <f t="shared" si="63"/>
        <v>-37978.272125397605</v>
      </c>
      <c r="AB129" s="14"/>
    </row>
    <row r="130" spans="2:28" ht="15">
      <c r="B130" s="13"/>
      <c r="C130" s="109" t="s">
        <v>89</v>
      </c>
      <c r="D130" s="109" t="s">
        <v>290</v>
      </c>
      <c r="E130" s="109" t="str">
        <f aca="true" t="shared" si="64" ref="E130:F130">E105</f>
        <v>MF2</v>
      </c>
      <c r="F130" s="137" t="str">
        <f t="shared" si="64"/>
        <v>Metal ores (gross ores)</v>
      </c>
      <c r="G130" s="135">
        <f aca="true" t="shared" si="65" ref="G130:T130">G110-G115</f>
        <v>151126.82676867596</v>
      </c>
      <c r="H130" s="135">
        <f t="shared" si="65"/>
        <v>138643.00302272182</v>
      </c>
      <c r="I130" s="135">
        <f t="shared" si="65"/>
        <v>129907.39915949335</v>
      </c>
      <c r="J130" s="135">
        <f t="shared" si="65"/>
        <v>145904.7649679616</v>
      </c>
      <c r="K130" s="135">
        <f t="shared" si="65"/>
        <v>161158.053028434</v>
      </c>
      <c r="L130" s="135">
        <f t="shared" si="65"/>
        <v>168390.10268033785</v>
      </c>
      <c r="M130" s="135">
        <f t="shared" si="65"/>
        <v>171378.19724211577</v>
      </c>
      <c r="N130" s="135">
        <f t="shared" si="65"/>
        <v>174966.73719119016</v>
      </c>
      <c r="O130" s="135">
        <f t="shared" si="65"/>
        <v>161297.29877487774</v>
      </c>
      <c r="P130" s="135">
        <f t="shared" si="65"/>
        <v>59581.371791051555</v>
      </c>
      <c r="Q130" s="135">
        <f t="shared" si="65"/>
        <v>105088.41183053862</v>
      </c>
      <c r="R130" s="135">
        <f t="shared" si="65"/>
        <v>102562.1585705679</v>
      </c>
      <c r="S130" s="135">
        <f t="shared" si="65"/>
        <v>70467.91806332007</v>
      </c>
      <c r="T130" s="136">
        <f t="shared" si="65"/>
        <v>88521.71279877989</v>
      </c>
      <c r="U130" s="136">
        <f aca="true" t="shared" si="66" ref="U130:V130">U110-U115</f>
        <v>96794.02169703861</v>
      </c>
      <c r="V130" s="136">
        <f t="shared" si="66"/>
        <v>121904.90824812485</v>
      </c>
      <c r="W130" s="136">
        <f aca="true" t="shared" si="67" ref="W130:X130">W110-W115</f>
        <v>115018.0335652398</v>
      </c>
      <c r="X130" s="136">
        <f t="shared" si="67"/>
        <v>113762.65004346581</v>
      </c>
      <c r="Y130" s="136">
        <f aca="true" t="shared" si="68" ref="Y130:AA130">Y110-Y115</f>
        <v>131162.91736572116</v>
      </c>
      <c r="Z130" s="136">
        <f t="shared" si="68"/>
        <v>113669.16399058464</v>
      </c>
      <c r="AA130" s="136">
        <f t="shared" si="68"/>
        <v>91389.26668987301</v>
      </c>
      <c r="AB130" s="14"/>
    </row>
    <row r="131" spans="2:28" ht="15">
      <c r="B131" s="13"/>
      <c r="C131" s="109" t="s">
        <v>89</v>
      </c>
      <c r="D131" s="109" t="s">
        <v>290</v>
      </c>
      <c r="E131" s="109" t="str">
        <f aca="true" t="shared" si="69" ref="E131:F131">E106</f>
        <v>MF3</v>
      </c>
      <c r="F131" s="137" t="str">
        <f t="shared" si="69"/>
        <v>Non-metallic minerals</v>
      </c>
      <c r="G131" s="135">
        <f aca="true" t="shared" si="70" ref="G131:T131">G111-G116</f>
        <v>16275.265725459976</v>
      </c>
      <c r="H131" s="135">
        <f t="shared" si="70"/>
        <v>17802.991425150118</v>
      </c>
      <c r="I131" s="135">
        <f t="shared" si="70"/>
        <v>19133.19610010917</v>
      </c>
      <c r="J131" s="135">
        <f t="shared" si="70"/>
        <v>24983.462340219296</v>
      </c>
      <c r="K131" s="135">
        <f t="shared" si="70"/>
        <v>28168.697746815888</v>
      </c>
      <c r="L131" s="135">
        <f t="shared" si="70"/>
        <v>25735.69792882187</v>
      </c>
      <c r="M131" s="135">
        <f t="shared" si="70"/>
        <v>31890.625867022158</v>
      </c>
      <c r="N131" s="135">
        <f t="shared" si="70"/>
        <v>42926.05233743903</v>
      </c>
      <c r="O131" s="135">
        <f t="shared" si="70"/>
        <v>29964.58795964581</v>
      </c>
      <c r="P131" s="135">
        <f t="shared" si="70"/>
        <v>11588.048004732962</v>
      </c>
      <c r="Q131" s="135">
        <f t="shared" si="70"/>
        <v>12416.439279542348</v>
      </c>
      <c r="R131" s="135">
        <f t="shared" si="70"/>
        <v>15713.036847751777</v>
      </c>
      <c r="S131" s="135">
        <f t="shared" si="70"/>
        <v>-9753.316368153042</v>
      </c>
      <c r="T131" s="136">
        <f t="shared" si="70"/>
        <v>-19983.351511901914</v>
      </c>
      <c r="U131" s="136">
        <f aca="true" t="shared" si="71" ref="U131:V131">U111-U116</f>
        <v>-23413.180181186064</v>
      </c>
      <c r="V131" s="136">
        <f t="shared" si="71"/>
        <v>-25951.39506449898</v>
      </c>
      <c r="W131" s="136">
        <f aca="true" t="shared" si="72" ref="W131:X131">W111-W116</f>
        <v>-21575.523891286764</v>
      </c>
      <c r="X131" s="136">
        <f t="shared" si="72"/>
        <v>-12169.956254265984</v>
      </c>
      <c r="Y131" s="136">
        <f aca="true" t="shared" si="73" ref="Y131:AA131">Y111-Y116</f>
        <v>-4999.416156701947</v>
      </c>
      <c r="Z131" s="136">
        <f t="shared" si="73"/>
        <v>7671.228051925733</v>
      </c>
      <c r="AA131" s="136">
        <f t="shared" si="73"/>
        <v>10308.740151216218</v>
      </c>
      <c r="AB131" s="14"/>
    </row>
    <row r="132" spans="2:28" ht="15">
      <c r="B132" s="13"/>
      <c r="C132" s="110" t="s">
        <v>89</v>
      </c>
      <c r="D132" s="220" t="s">
        <v>290</v>
      </c>
      <c r="E132" s="220" t="str">
        <f aca="true" t="shared" si="74" ref="E132:F132">E107</f>
        <v>MF4</v>
      </c>
      <c r="F132" s="138" t="str">
        <f t="shared" si="74"/>
        <v>Fossil energy materials/carriers</v>
      </c>
      <c r="G132" s="139">
        <f aca="true" t="shared" si="75" ref="G132:T132">G112-G117</f>
        <v>853860.1078808644</v>
      </c>
      <c r="H132" s="139">
        <f t="shared" si="75"/>
        <v>836231.278047296</v>
      </c>
      <c r="I132" s="139">
        <f t="shared" si="75"/>
        <v>881950.8569736528</v>
      </c>
      <c r="J132" s="139">
        <f t="shared" si="75"/>
        <v>935709.2872084514</v>
      </c>
      <c r="K132" s="139">
        <f t="shared" si="75"/>
        <v>940547.9762556485</v>
      </c>
      <c r="L132" s="139">
        <f t="shared" si="75"/>
        <v>947666.2277031263</v>
      </c>
      <c r="M132" s="139">
        <f t="shared" si="75"/>
        <v>964281.3041074132</v>
      </c>
      <c r="N132" s="139">
        <f t="shared" si="75"/>
        <v>940765.999702196</v>
      </c>
      <c r="O132" s="139">
        <f t="shared" si="75"/>
        <v>951579.2643119292</v>
      </c>
      <c r="P132" s="139">
        <f t="shared" si="75"/>
        <v>861119.8149449979</v>
      </c>
      <c r="Q132" s="139">
        <f t="shared" si="75"/>
        <v>875403.2854952291</v>
      </c>
      <c r="R132" s="139">
        <f t="shared" si="75"/>
        <v>873946.374550544</v>
      </c>
      <c r="S132" s="139">
        <f t="shared" si="75"/>
        <v>841696.3000235974</v>
      </c>
      <c r="T132" s="140">
        <f t="shared" si="75"/>
        <v>804738.4300349667</v>
      </c>
      <c r="U132" s="140">
        <f aca="true" t="shared" si="76" ref="U132:V132">U112-U117</f>
        <v>803044.3085522531</v>
      </c>
      <c r="V132" s="140">
        <f t="shared" si="76"/>
        <v>851336.3664796938</v>
      </c>
      <c r="W132" s="140">
        <f aca="true" t="shared" si="77" ref="W132:X132">W112-W117</f>
        <v>844766.1875168495</v>
      </c>
      <c r="X132" s="140">
        <f t="shared" si="77"/>
        <v>844234.1806104371</v>
      </c>
      <c r="Y132" s="140">
        <f aca="true" t="shared" si="78" ref="Y132:AA132">Y112-Y117</f>
        <v>857005.9051225816</v>
      </c>
      <c r="Z132" s="140">
        <f t="shared" si="78"/>
        <v>844475.7396444776</v>
      </c>
      <c r="AA132" s="140">
        <f t="shared" si="78"/>
        <v>743224.8002843084</v>
      </c>
      <c r="AB132" s="14"/>
    </row>
    <row r="133" spans="2:28" ht="15">
      <c r="B133" s="13"/>
      <c r="C133" s="51" t="s">
        <v>100</v>
      </c>
      <c r="D133" s="51"/>
      <c r="E133" s="51"/>
      <c r="F133" s="15"/>
      <c r="G133" s="15"/>
      <c r="H133" s="15"/>
      <c r="I133" s="15"/>
      <c r="J133" s="15"/>
      <c r="K133" s="15"/>
      <c r="L133" s="15"/>
      <c r="M133" s="15"/>
      <c r="N133" s="15"/>
      <c r="O133" s="15"/>
      <c r="P133" s="15"/>
      <c r="Q133" s="15"/>
      <c r="R133" s="15"/>
      <c r="S133" s="15"/>
      <c r="T133" s="15"/>
      <c r="U133" s="15"/>
      <c r="V133" s="15"/>
      <c r="W133" s="15"/>
      <c r="X133" s="15"/>
      <c r="Y133" s="15"/>
      <c r="Z133" s="15"/>
      <c r="AA133" s="15"/>
      <c r="AB133" s="14"/>
    </row>
    <row r="134" spans="2:28" ht="15">
      <c r="B134" s="13"/>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4"/>
    </row>
    <row r="135" spans="2:28" ht="15">
      <c r="B135" s="13"/>
      <c r="C135" s="21" t="s">
        <v>309</v>
      </c>
      <c r="D135" s="21"/>
      <c r="E135" s="21"/>
      <c r="F135" s="15"/>
      <c r="G135" s="15"/>
      <c r="H135" s="15"/>
      <c r="I135" s="15"/>
      <c r="J135" s="15"/>
      <c r="K135" s="15"/>
      <c r="L135" s="15"/>
      <c r="M135" s="15"/>
      <c r="N135" s="15"/>
      <c r="O135" s="15"/>
      <c r="P135" s="15"/>
      <c r="Q135" s="15"/>
      <c r="R135" s="15"/>
      <c r="S135" s="15"/>
      <c r="T135" s="15"/>
      <c r="U135" s="15"/>
      <c r="V135" s="15"/>
      <c r="W135" s="15"/>
      <c r="X135" s="15"/>
      <c r="Y135" s="15"/>
      <c r="Z135" s="15"/>
      <c r="AA135" s="15"/>
      <c r="AB135" s="14"/>
    </row>
    <row r="136" spans="2:28" ht="15">
      <c r="B136" s="13"/>
      <c r="C136" s="22" t="s">
        <v>41</v>
      </c>
      <c r="D136" s="22"/>
      <c r="E136" s="22"/>
      <c r="F136" s="15"/>
      <c r="G136" s="15"/>
      <c r="H136" s="15"/>
      <c r="I136" s="15"/>
      <c r="J136" s="15"/>
      <c r="K136" s="15"/>
      <c r="L136" s="15"/>
      <c r="M136" s="15"/>
      <c r="N136" s="15"/>
      <c r="O136" s="15"/>
      <c r="P136" s="15"/>
      <c r="Q136" s="15"/>
      <c r="R136" s="15"/>
      <c r="S136" s="15"/>
      <c r="T136" s="15"/>
      <c r="U136" s="15"/>
      <c r="V136" s="15"/>
      <c r="W136" s="15"/>
      <c r="X136" s="15"/>
      <c r="Y136" s="15"/>
      <c r="Z136" s="15"/>
      <c r="AA136" s="15"/>
      <c r="AB136" s="14"/>
    </row>
    <row r="137" spans="2:28" ht="15">
      <c r="B137" s="13"/>
      <c r="C137" s="89" t="s">
        <v>42</v>
      </c>
      <c r="D137" s="89" t="s">
        <v>77</v>
      </c>
      <c r="E137" s="89" t="s">
        <v>78</v>
      </c>
      <c r="F137" s="90" t="s">
        <v>79</v>
      </c>
      <c r="G137" s="8">
        <v>2000</v>
      </c>
      <c r="H137" s="9">
        <v>2001</v>
      </c>
      <c r="I137" s="8">
        <v>2002</v>
      </c>
      <c r="J137" s="9">
        <v>2003</v>
      </c>
      <c r="K137" s="8">
        <v>2004</v>
      </c>
      <c r="L137" s="9">
        <v>2005</v>
      </c>
      <c r="M137" s="8">
        <v>2006</v>
      </c>
      <c r="N137" s="9">
        <v>2007</v>
      </c>
      <c r="O137" s="8">
        <v>2008</v>
      </c>
      <c r="P137" s="9">
        <v>2009</v>
      </c>
      <c r="Q137" s="8">
        <v>2010</v>
      </c>
      <c r="R137" s="9">
        <v>2011</v>
      </c>
      <c r="S137" s="8">
        <v>2012</v>
      </c>
      <c r="T137" s="9">
        <v>2013</v>
      </c>
      <c r="U137" s="8">
        <v>2014</v>
      </c>
      <c r="V137" s="9">
        <v>2015</v>
      </c>
      <c r="W137" s="9">
        <v>2016</v>
      </c>
      <c r="X137" s="9">
        <v>2017</v>
      </c>
      <c r="Y137" s="9">
        <v>2018</v>
      </c>
      <c r="Z137" s="9">
        <v>2019</v>
      </c>
      <c r="AA137" s="9">
        <v>2020</v>
      </c>
      <c r="AB137" s="14"/>
    </row>
    <row r="138" spans="2:28" ht="15">
      <c r="B138" s="13"/>
      <c r="C138" s="121" t="str">
        <f>C103</f>
        <v>DE</v>
      </c>
      <c r="D138" s="121" t="str">
        <f>D103</f>
        <v>Domestic extraction</v>
      </c>
      <c r="E138" s="122" t="str">
        <f>E103</f>
        <v>TOTAL</v>
      </c>
      <c r="F138" s="123" t="str">
        <f>F103</f>
        <v>Total</v>
      </c>
      <c r="G138" s="141">
        <f>G58</f>
        <v>12.948</v>
      </c>
      <c r="H138" s="141">
        <f aca="true" t="shared" si="79" ref="H138:X142">H58</f>
        <v>13.037</v>
      </c>
      <c r="I138" s="141">
        <f t="shared" si="79"/>
        <v>13.049</v>
      </c>
      <c r="J138" s="141">
        <f t="shared" si="79"/>
        <v>12.988</v>
      </c>
      <c r="K138" s="141">
        <f t="shared" si="79"/>
        <v>13.595</v>
      </c>
      <c r="L138" s="141">
        <f t="shared" si="79"/>
        <v>13.685</v>
      </c>
      <c r="M138" s="141">
        <f t="shared" si="79"/>
        <v>13.992</v>
      </c>
      <c r="N138" s="141">
        <f t="shared" si="79"/>
        <v>14.535</v>
      </c>
      <c r="O138" s="141">
        <f t="shared" si="79"/>
        <v>14.231</v>
      </c>
      <c r="P138" s="141">
        <f t="shared" si="79"/>
        <v>12.676</v>
      </c>
      <c r="Q138" s="141">
        <f t="shared" si="79"/>
        <v>12.105</v>
      </c>
      <c r="R138" s="141">
        <f t="shared" si="79"/>
        <v>12.871</v>
      </c>
      <c r="S138" s="141">
        <f t="shared" si="79"/>
        <v>11.905</v>
      </c>
      <c r="T138" s="141">
        <f t="shared" si="79"/>
        <v>11.622</v>
      </c>
      <c r="U138" s="141">
        <f t="shared" si="79"/>
        <v>11.71</v>
      </c>
      <c r="V138" s="141">
        <f t="shared" si="79"/>
        <v>11.533</v>
      </c>
      <c r="W138" s="141">
        <f t="shared" si="79"/>
        <v>11.496</v>
      </c>
      <c r="X138" s="141">
        <f t="shared" si="79"/>
        <v>11.882</v>
      </c>
      <c r="Y138" s="141">
        <f aca="true" t="shared" si="80" ref="Y138:Z138">Y58</f>
        <v>11.946</v>
      </c>
      <c r="Z138" s="141">
        <f t="shared" si="80"/>
        <v>11.917</v>
      </c>
      <c r="AA138" s="141">
        <f aca="true" t="shared" si="81" ref="AA138">AA58</f>
        <v>11.556</v>
      </c>
      <c r="AB138" s="14"/>
    </row>
    <row r="139" spans="2:28" ht="15">
      <c r="B139" s="13"/>
      <c r="C139" s="125" t="str">
        <f aca="true" t="shared" si="82" ref="C139:F139">C104</f>
        <v>DE</v>
      </c>
      <c r="D139" s="125" t="str">
        <f t="shared" si="82"/>
        <v>Domestic extraction</v>
      </c>
      <c r="E139" s="125" t="str">
        <f t="shared" si="82"/>
        <v>MF1</v>
      </c>
      <c r="F139" s="125" t="str">
        <f t="shared" si="82"/>
        <v>Biomass</v>
      </c>
      <c r="G139" s="141">
        <f aca="true" t="shared" si="83" ref="G139:V142">G59</f>
        <v>3.421</v>
      </c>
      <c r="H139" s="141">
        <f t="shared" si="83"/>
        <v>3.369</v>
      </c>
      <c r="I139" s="141">
        <f t="shared" si="83"/>
        <v>3.364</v>
      </c>
      <c r="J139" s="141">
        <f t="shared" si="83"/>
        <v>3.104</v>
      </c>
      <c r="K139" s="141">
        <f t="shared" si="83"/>
        <v>3.539</v>
      </c>
      <c r="L139" s="141">
        <f t="shared" si="83"/>
        <v>3.379</v>
      </c>
      <c r="M139" s="141">
        <f t="shared" si="83"/>
        <v>3.195</v>
      </c>
      <c r="N139" s="141">
        <f t="shared" si="83"/>
        <v>3.295</v>
      </c>
      <c r="O139" s="141">
        <f t="shared" si="83"/>
        <v>3.382</v>
      </c>
      <c r="P139" s="141">
        <f t="shared" si="83"/>
        <v>3.308</v>
      </c>
      <c r="Q139" s="141">
        <f t="shared" si="83"/>
        <v>3.222</v>
      </c>
      <c r="R139" s="141">
        <f t="shared" si="83"/>
        <v>3.382</v>
      </c>
      <c r="S139" s="141">
        <f t="shared" si="83"/>
        <v>3.244</v>
      </c>
      <c r="T139" s="141">
        <f t="shared" si="83"/>
        <v>3.338</v>
      </c>
      <c r="U139" s="141">
        <f t="shared" si="83"/>
        <v>3.556</v>
      </c>
      <c r="V139" s="141">
        <f t="shared" si="83"/>
        <v>3.307</v>
      </c>
      <c r="W139" s="141">
        <f t="shared" si="79"/>
        <v>3.359</v>
      </c>
      <c r="X139" s="141">
        <f t="shared" si="79"/>
        <v>3.45</v>
      </c>
      <c r="Y139" s="141">
        <f aca="true" t="shared" si="84" ref="Y139:Z139">Y59</f>
        <v>3.315</v>
      </c>
      <c r="Z139" s="141">
        <f t="shared" si="84"/>
        <v>3.307</v>
      </c>
      <c r="AA139" s="141">
        <f aca="true" t="shared" si="85" ref="AA139">AA59</f>
        <v>3.321</v>
      </c>
      <c r="AB139" s="14"/>
    </row>
    <row r="140" spans="2:28" ht="15">
      <c r="B140" s="13"/>
      <c r="C140" s="125" t="str">
        <f aca="true" t="shared" si="86" ref="C140:F140">C105</f>
        <v>DE</v>
      </c>
      <c r="D140" s="125" t="str">
        <f t="shared" si="86"/>
        <v>Domestic extraction</v>
      </c>
      <c r="E140" s="125" t="str">
        <f t="shared" si="86"/>
        <v>MF2</v>
      </c>
      <c r="F140" s="125" t="str">
        <f t="shared" si="86"/>
        <v>Metal ores (gross ores)</v>
      </c>
      <c r="G140" s="141">
        <f t="shared" si="83"/>
        <v>0.351</v>
      </c>
      <c r="H140" s="141">
        <f t="shared" si="79"/>
        <v>0.337</v>
      </c>
      <c r="I140" s="141">
        <f t="shared" si="79"/>
        <v>0.325</v>
      </c>
      <c r="J140" s="141">
        <f t="shared" si="79"/>
        <v>0.319</v>
      </c>
      <c r="K140" s="141">
        <f t="shared" si="79"/>
        <v>0.322</v>
      </c>
      <c r="L140" s="141">
        <f t="shared" si="79"/>
        <v>0.32</v>
      </c>
      <c r="M140" s="141">
        <f t="shared" si="79"/>
        <v>0.327</v>
      </c>
      <c r="N140" s="141">
        <f t="shared" si="79"/>
        <v>0.319</v>
      </c>
      <c r="O140" s="141">
        <f t="shared" si="79"/>
        <v>0.319</v>
      </c>
      <c r="P140" s="141">
        <f t="shared" si="79"/>
        <v>0.31</v>
      </c>
      <c r="Q140" s="141">
        <f t="shared" si="79"/>
        <v>0.372</v>
      </c>
      <c r="R140" s="141">
        <f t="shared" si="79"/>
        <v>0.388</v>
      </c>
      <c r="S140" s="141">
        <f t="shared" si="79"/>
        <v>0.418</v>
      </c>
      <c r="T140" s="141">
        <f t="shared" si="79"/>
        <v>0.483</v>
      </c>
      <c r="U140" s="141">
        <f t="shared" si="79"/>
        <v>0.427</v>
      </c>
      <c r="V140" s="141">
        <f t="shared" si="79"/>
        <v>0.426</v>
      </c>
      <c r="W140" s="141">
        <f t="shared" si="79"/>
        <v>0.464</v>
      </c>
      <c r="X140" s="141">
        <f t="shared" si="79"/>
        <v>0.474</v>
      </c>
      <c r="Y140" s="141">
        <f aca="true" t="shared" si="87" ref="Y140:Z140">Y60</f>
        <v>0.49</v>
      </c>
      <c r="Z140" s="141">
        <f t="shared" si="87"/>
        <v>0.491</v>
      </c>
      <c r="AA140" s="141">
        <f aca="true" t="shared" si="88" ref="AA140">AA60</f>
        <v>0.492</v>
      </c>
      <c r="AB140" s="14"/>
    </row>
    <row r="141" spans="2:28" ht="15">
      <c r="B141" s="13"/>
      <c r="C141" s="125" t="str">
        <f aca="true" t="shared" si="89" ref="C141:F141">C106</f>
        <v>DE</v>
      </c>
      <c r="D141" s="125" t="str">
        <f t="shared" si="89"/>
        <v>Domestic extraction</v>
      </c>
      <c r="E141" s="125" t="str">
        <f t="shared" si="89"/>
        <v>MF3</v>
      </c>
      <c r="F141" s="125" t="str">
        <f t="shared" si="89"/>
        <v>Non-metallic minerals</v>
      </c>
      <c r="G141" s="141">
        <f t="shared" si="83"/>
        <v>7.356</v>
      </c>
      <c r="H141" s="141">
        <f t="shared" si="79"/>
        <v>7.492</v>
      </c>
      <c r="I141" s="141">
        <f t="shared" si="79"/>
        <v>7.532</v>
      </c>
      <c r="J141" s="141">
        <f t="shared" si="79"/>
        <v>7.739</v>
      </c>
      <c r="K141" s="141">
        <f t="shared" si="79"/>
        <v>7.917</v>
      </c>
      <c r="L141" s="141">
        <f t="shared" si="79"/>
        <v>8.216</v>
      </c>
      <c r="M141" s="141">
        <f t="shared" si="79"/>
        <v>8.731</v>
      </c>
      <c r="N141" s="141">
        <f t="shared" si="79"/>
        <v>9.229</v>
      </c>
      <c r="O141" s="141">
        <f t="shared" si="79"/>
        <v>8.884</v>
      </c>
      <c r="P141" s="141">
        <f t="shared" si="79"/>
        <v>7.5</v>
      </c>
      <c r="Q141" s="141">
        <f t="shared" si="79"/>
        <v>6.958</v>
      </c>
      <c r="R141" s="141">
        <f t="shared" si="79"/>
        <v>7.504</v>
      </c>
      <c r="S141" s="141">
        <f t="shared" si="79"/>
        <v>6.657</v>
      </c>
      <c r="T141" s="141">
        <f t="shared" si="79"/>
        <v>6.275</v>
      </c>
      <c r="U141" s="141">
        <f t="shared" si="79"/>
        <v>6.284</v>
      </c>
      <c r="V141" s="141">
        <f t="shared" si="79"/>
        <v>6.412</v>
      </c>
      <c r="W141" s="141">
        <f t="shared" si="79"/>
        <v>6.385</v>
      </c>
      <c r="X141" s="141">
        <f t="shared" si="79"/>
        <v>6.668</v>
      </c>
      <c r="Y141" s="141">
        <f aca="true" t="shared" si="90" ref="Y141:Z141">Y61</f>
        <v>6.883</v>
      </c>
      <c r="Z141" s="141">
        <f t="shared" si="90"/>
        <v>7.049</v>
      </c>
      <c r="AA141" s="141">
        <f aca="true" t="shared" si="91" ref="AA141">AA61</f>
        <v>6.883</v>
      </c>
      <c r="AB141" s="14"/>
    </row>
    <row r="142" spans="2:28" ht="15">
      <c r="B142" s="13"/>
      <c r="C142" s="125" t="str">
        <f aca="true" t="shared" si="92" ref="C142:F142">C107</f>
        <v>DE</v>
      </c>
      <c r="D142" s="125" t="str">
        <f t="shared" si="92"/>
        <v>Domestic extraction</v>
      </c>
      <c r="E142" s="125" t="str">
        <f t="shared" si="92"/>
        <v>MF4</v>
      </c>
      <c r="F142" s="125" t="str">
        <f t="shared" si="92"/>
        <v>Fossil energy materials/carriers</v>
      </c>
      <c r="G142" s="141">
        <f t="shared" si="83"/>
        <v>1.821</v>
      </c>
      <c r="H142" s="141">
        <f t="shared" si="79"/>
        <v>1.839</v>
      </c>
      <c r="I142" s="141">
        <f t="shared" si="79"/>
        <v>1.829</v>
      </c>
      <c r="J142" s="141">
        <f t="shared" si="79"/>
        <v>1.825</v>
      </c>
      <c r="K142" s="141">
        <f t="shared" si="79"/>
        <v>1.816</v>
      </c>
      <c r="L142" s="141">
        <f t="shared" si="79"/>
        <v>1.77</v>
      </c>
      <c r="M142" s="141">
        <f t="shared" si="79"/>
        <v>1.739</v>
      </c>
      <c r="N142" s="141">
        <f t="shared" si="79"/>
        <v>1.693</v>
      </c>
      <c r="O142" s="141">
        <f t="shared" si="79"/>
        <v>1.646</v>
      </c>
      <c r="P142" s="141">
        <f t="shared" si="79"/>
        <v>1.557</v>
      </c>
      <c r="Q142" s="141">
        <f t="shared" si="79"/>
        <v>1.553</v>
      </c>
      <c r="R142" s="141">
        <f t="shared" si="79"/>
        <v>1.597</v>
      </c>
      <c r="S142" s="141">
        <f t="shared" si="79"/>
        <v>1.586</v>
      </c>
      <c r="T142" s="141">
        <f t="shared" si="79"/>
        <v>1.526</v>
      </c>
      <c r="U142" s="141">
        <f t="shared" si="79"/>
        <v>1.444</v>
      </c>
      <c r="V142" s="141">
        <f t="shared" si="79"/>
        <v>1.388</v>
      </c>
      <c r="W142" s="141">
        <f t="shared" si="79"/>
        <v>1.289</v>
      </c>
      <c r="X142" s="141">
        <f t="shared" si="79"/>
        <v>1.289</v>
      </c>
      <c r="Y142" s="141">
        <f aca="true" t="shared" si="93" ref="Y142:Z142">Y62</f>
        <v>1.258</v>
      </c>
      <c r="Z142" s="141">
        <f t="shared" si="93"/>
        <v>1.07</v>
      </c>
      <c r="AA142" s="141">
        <f aca="true" t="shared" si="94" ref="AA142">AA62</f>
        <v>0.859</v>
      </c>
      <c r="AB142" s="14"/>
    </row>
    <row r="143" spans="2:28" ht="15">
      <c r="B143" s="13"/>
      <c r="C143" s="125" t="str">
        <f aca="true" t="shared" si="95" ref="C143:F143">C108</f>
        <v>IMP</v>
      </c>
      <c r="D143" s="125" t="str">
        <f t="shared" si="95"/>
        <v>Imports</v>
      </c>
      <c r="E143" s="125" t="str">
        <f t="shared" si="95"/>
        <v>TOTAL</v>
      </c>
      <c r="F143" s="125" t="str">
        <f t="shared" si="95"/>
        <v>Total</v>
      </c>
      <c r="G143" s="141">
        <f>G65</f>
        <v>3.46</v>
      </c>
      <c r="H143" s="141">
        <f aca="true" t="shared" si="96" ref="H143:X143">H65</f>
        <v>3.405</v>
      </c>
      <c r="I143" s="141">
        <f t="shared" si="96"/>
        <v>3.557</v>
      </c>
      <c r="J143" s="141">
        <f t="shared" si="96"/>
        <v>3.74</v>
      </c>
      <c r="K143" s="141">
        <f t="shared" si="96"/>
        <v>3.85</v>
      </c>
      <c r="L143" s="141">
        <f t="shared" si="96"/>
        <v>3.895</v>
      </c>
      <c r="M143" s="141">
        <f t="shared" si="96"/>
        <v>3.984</v>
      </c>
      <c r="N143" s="141">
        <f t="shared" si="96"/>
        <v>4.04</v>
      </c>
      <c r="O143" s="141">
        <f t="shared" si="96"/>
        <v>3.984</v>
      </c>
      <c r="P143" s="141">
        <f t="shared" si="96"/>
        <v>3.36</v>
      </c>
      <c r="Q143" s="141">
        <f t="shared" si="96"/>
        <v>3.603</v>
      </c>
      <c r="R143" s="141">
        <f t="shared" si="96"/>
        <v>3.669</v>
      </c>
      <c r="S143" s="141">
        <f t="shared" si="96"/>
        <v>3.549</v>
      </c>
      <c r="T143" s="141">
        <f t="shared" si="96"/>
        <v>3.509</v>
      </c>
      <c r="U143" s="141">
        <f t="shared" si="96"/>
        <v>3.542</v>
      </c>
      <c r="V143" s="141">
        <f t="shared" si="96"/>
        <v>3.684</v>
      </c>
      <c r="W143" s="141">
        <f t="shared" si="96"/>
        <v>3.717</v>
      </c>
      <c r="X143" s="141">
        <f t="shared" si="96"/>
        <v>3.806</v>
      </c>
      <c r="Y143" s="141">
        <f aca="true" t="shared" si="97" ref="Y143:Z143">Y65</f>
        <v>3.879</v>
      </c>
      <c r="Z143" s="141">
        <f t="shared" si="97"/>
        <v>3.802</v>
      </c>
      <c r="AA143" s="141">
        <f aca="true" t="shared" si="98" ref="AA143">AA65</f>
        <v>3.41</v>
      </c>
      <c r="AB143" s="14"/>
    </row>
    <row r="144" spans="2:28" ht="15">
      <c r="B144" s="13"/>
      <c r="C144" s="125" t="str">
        <f aca="true" t="shared" si="99" ref="C144:F144">C109</f>
        <v>IMP</v>
      </c>
      <c r="D144" s="125" t="str">
        <f t="shared" si="99"/>
        <v>Imports</v>
      </c>
      <c r="E144" s="125" t="str">
        <f t="shared" si="99"/>
        <v>MF1</v>
      </c>
      <c r="F144" s="125" t="str">
        <f t="shared" si="99"/>
        <v>Biomass</v>
      </c>
      <c r="G144" s="141">
        <f>G66/SUM(G$66:G$69)*SUM(G$70:G$71)+G66</f>
        <v>0.3661483890038427</v>
      </c>
      <c r="H144" s="141">
        <f aca="true" t="shared" si="100" ref="H144:X147">H66/SUM(H$66:H$69)*SUM(H$70:H$71)+H66</f>
        <v>0.3750405162064826</v>
      </c>
      <c r="I144" s="141">
        <f t="shared" si="100"/>
        <v>0.39749611287071696</v>
      </c>
      <c r="J144" s="141">
        <f t="shared" si="100"/>
        <v>0.39503429355281205</v>
      </c>
      <c r="K144" s="141">
        <f t="shared" si="100"/>
        <v>0.40065543071161047</v>
      </c>
      <c r="L144" s="141">
        <f t="shared" si="100"/>
        <v>0.40201422175401635</v>
      </c>
      <c r="M144" s="141">
        <f t="shared" si="100"/>
        <v>0.4050656370656371</v>
      </c>
      <c r="N144" s="141">
        <f t="shared" si="100"/>
        <v>0.4358676844783715</v>
      </c>
      <c r="O144" s="141">
        <f t="shared" si="100"/>
        <v>0.4241364341085271</v>
      </c>
      <c r="P144" s="141">
        <f t="shared" si="100"/>
        <v>0.3565105860693464</v>
      </c>
      <c r="Q144" s="141">
        <f t="shared" si="100"/>
        <v>0.37660223367697593</v>
      </c>
      <c r="R144" s="141">
        <f t="shared" si="100"/>
        <v>0.395393078221722</v>
      </c>
      <c r="S144" s="141">
        <f t="shared" si="100"/>
        <v>0.38986399302528335</v>
      </c>
      <c r="T144" s="141">
        <f t="shared" si="100"/>
        <v>0.40058094957239754</v>
      </c>
      <c r="U144" s="141">
        <f t="shared" si="100"/>
        <v>0.4318797894121088</v>
      </c>
      <c r="V144" s="141">
        <f t="shared" si="100"/>
        <v>0.429093460566938</v>
      </c>
      <c r="W144" s="141">
        <f t="shared" si="100"/>
        <v>0.44247964305633014</v>
      </c>
      <c r="X144" s="141">
        <f t="shared" si="100"/>
        <v>0.45497489082969433</v>
      </c>
      <c r="Y144" s="141">
        <f aca="true" t="shared" si="101" ref="Y144">Y66/SUM(Y$66:Y$69)*SUM(Y$70:Y$71)+Y66</f>
        <v>0.4838294448913918</v>
      </c>
      <c r="Z144" s="141">
        <f>Z66/SUM(Z$66:Z$69)*SUM(Z$70:Z$71)+Z66</f>
        <v>0.4956402640264026</v>
      </c>
      <c r="AA144" s="141">
        <f>AA66/SUM(AA$66:AA$69)*SUM(AA$70:AA$71)+AA66</f>
        <v>0.47053212419305257</v>
      </c>
      <c r="AB144" s="14"/>
    </row>
    <row r="145" spans="2:28" ht="15">
      <c r="B145" s="13"/>
      <c r="C145" s="125" t="str">
        <f aca="true" t="shared" si="102" ref="C145:F145">C110</f>
        <v>IMP</v>
      </c>
      <c r="D145" s="125" t="str">
        <f t="shared" si="102"/>
        <v>Imports</v>
      </c>
      <c r="E145" s="125" t="str">
        <f t="shared" si="102"/>
        <v>MF2</v>
      </c>
      <c r="F145" s="125" t="str">
        <f t="shared" si="102"/>
        <v>Metal ores (gross ores)</v>
      </c>
      <c r="G145" s="141">
        <f aca="true" t="shared" si="103" ref="G145:V147">G67/SUM(G$66:G$69)*SUM(G$70:G$71)+G67</f>
        <v>0.5686550399054094</v>
      </c>
      <c r="H145" s="141">
        <f t="shared" si="103"/>
        <v>0.5375240096038416</v>
      </c>
      <c r="I145" s="141">
        <f t="shared" si="103"/>
        <v>0.5419470198675497</v>
      </c>
      <c r="J145" s="141">
        <f t="shared" si="103"/>
        <v>0.5817777777777777</v>
      </c>
      <c r="K145" s="141">
        <f t="shared" si="103"/>
        <v>0.6385767790262172</v>
      </c>
      <c r="L145" s="141">
        <f t="shared" si="103"/>
        <v>0.6563497498024756</v>
      </c>
      <c r="M145" s="141">
        <f t="shared" si="103"/>
        <v>0.6696401544401545</v>
      </c>
      <c r="N145" s="141">
        <f t="shared" si="103"/>
        <v>0.6856692111959288</v>
      </c>
      <c r="O145" s="141">
        <f t="shared" si="103"/>
        <v>0.6609116279069768</v>
      </c>
      <c r="P145" s="141">
        <f t="shared" si="103"/>
        <v>0.39257379564283523</v>
      </c>
      <c r="Q145" s="141">
        <f t="shared" si="103"/>
        <v>0.5334338487972509</v>
      </c>
      <c r="R145" s="141">
        <f t="shared" si="103"/>
        <v>0.561602701181767</v>
      </c>
      <c r="S145" s="141">
        <f t="shared" si="103"/>
        <v>0.5012537053182214</v>
      </c>
      <c r="T145" s="141">
        <f t="shared" si="103"/>
        <v>0.529967561191389</v>
      </c>
      <c r="U145" s="141">
        <f t="shared" si="103"/>
        <v>0.5458049137174613</v>
      </c>
      <c r="V145" s="141">
        <f t="shared" si="103"/>
        <v>0.5717799607072692</v>
      </c>
      <c r="W145" s="141">
        <f t="shared" si="100"/>
        <v>0.5585398773006135</v>
      </c>
      <c r="X145" s="141">
        <f t="shared" si="100"/>
        <v>0.5723542576419215</v>
      </c>
      <c r="Y145" s="141">
        <f aca="true" t="shared" si="104" ref="Y145">Y67/SUM(Y$66:Y$69)*SUM(Y$70:Y$71)+Y67</f>
        <v>0.6045266827567712</v>
      </c>
      <c r="Z145" s="141">
        <f aca="true" t="shared" si="105" ref="Z145">Z67/SUM(Z$66:Z$69)*SUM(Z$70:Z$71)+Z67</f>
        <v>0.570927392739274</v>
      </c>
      <c r="AA145" s="141">
        <f>AA67/SUM(AA$66:AA$69)*SUM(AA$70:AA$71)+AA67</f>
        <v>0.4977789732554565</v>
      </c>
      <c r="AB145" s="14"/>
    </row>
    <row r="146" spans="2:28" ht="15">
      <c r="B146" s="13"/>
      <c r="C146" s="125" t="str">
        <f aca="true" t="shared" si="106" ref="C146:F146">C111</f>
        <v>IMP</v>
      </c>
      <c r="D146" s="125" t="str">
        <f t="shared" si="106"/>
        <v>Imports</v>
      </c>
      <c r="E146" s="125" t="str">
        <f t="shared" si="106"/>
        <v>MF3</v>
      </c>
      <c r="F146" s="125" t="str">
        <f t="shared" si="106"/>
        <v>Non-metallic minerals</v>
      </c>
      <c r="G146" s="141">
        <f t="shared" si="103"/>
        <v>0.2076204552172628</v>
      </c>
      <c r="H146" s="141">
        <f t="shared" si="100"/>
        <v>0.21357893157262905</v>
      </c>
      <c r="I146" s="141">
        <f t="shared" si="100"/>
        <v>0.2212864958249352</v>
      </c>
      <c r="J146" s="141">
        <f t="shared" si="100"/>
        <v>0.23702057613168726</v>
      </c>
      <c r="K146" s="141">
        <f t="shared" si="100"/>
        <v>0.24822097378277153</v>
      </c>
      <c r="L146" s="141">
        <f t="shared" si="100"/>
        <v>0.25330998156439294</v>
      </c>
      <c r="M146" s="141">
        <f t="shared" si="100"/>
        <v>0.25842162162162163</v>
      </c>
      <c r="N146" s="141">
        <f t="shared" si="100"/>
        <v>0.28372519083969466</v>
      </c>
      <c r="O146" s="141">
        <f t="shared" si="100"/>
        <v>0.25324651162790696</v>
      </c>
      <c r="P146" s="141">
        <f t="shared" si="100"/>
        <v>0.19165019944768333</v>
      </c>
      <c r="Q146" s="141">
        <f t="shared" si="100"/>
        <v>0.22286597938144329</v>
      </c>
      <c r="R146" s="141">
        <f t="shared" si="100"/>
        <v>0.23434524479459765</v>
      </c>
      <c r="S146" s="141">
        <f t="shared" si="100"/>
        <v>0.1969947689625109</v>
      </c>
      <c r="T146" s="141">
        <f t="shared" si="100"/>
        <v>0.19149218519610733</v>
      </c>
      <c r="U146" s="141">
        <f t="shared" si="100"/>
        <v>0.1967797601637906</v>
      </c>
      <c r="V146" s="141">
        <f t="shared" si="100"/>
        <v>0.19231658714566377</v>
      </c>
      <c r="W146" s="141">
        <f t="shared" si="100"/>
        <v>0.20206915783602902</v>
      </c>
      <c r="X146" s="141">
        <f t="shared" si="100"/>
        <v>0.2254099344978166</v>
      </c>
      <c r="Y146" s="141">
        <f aca="true" t="shared" si="107" ref="Y146">Y68/SUM(Y$66:Y$69)*SUM(Y$70:Y$71)+Y68</f>
        <v>0.2361920085813891</v>
      </c>
      <c r="Z146" s="141">
        <f aca="true" t="shared" si="108" ref="Z146">Z68/SUM(Z$66:Z$69)*SUM(Z$70:Z$71)+Z68</f>
        <v>0.2478201320132013</v>
      </c>
      <c r="AA146" s="141">
        <f aca="true" t="shared" si="109" ref="AA146">AA68/SUM(AA$66:AA$69)*SUM(AA$70:AA$71)+AA68</f>
        <v>0.23998186289578852</v>
      </c>
      <c r="AB146" s="14"/>
    </row>
    <row r="147" spans="2:28" ht="15">
      <c r="B147" s="13"/>
      <c r="C147" s="125" t="str">
        <f aca="true" t="shared" si="110" ref="C147:F147">C112</f>
        <v>IMP</v>
      </c>
      <c r="D147" s="125" t="str">
        <f t="shared" si="110"/>
        <v>Imports</v>
      </c>
      <c r="E147" s="125" t="str">
        <f t="shared" si="110"/>
        <v>MF4</v>
      </c>
      <c r="F147" s="125" t="str">
        <f t="shared" si="110"/>
        <v>Fossil energy materials/carriers</v>
      </c>
      <c r="G147" s="141">
        <f t="shared" si="103"/>
        <v>2.317576115873485</v>
      </c>
      <c r="H147" s="141">
        <f t="shared" si="100"/>
        <v>2.2788565426170466</v>
      </c>
      <c r="I147" s="141">
        <f t="shared" si="100"/>
        <v>2.397270371436798</v>
      </c>
      <c r="J147" s="141">
        <f t="shared" si="100"/>
        <v>2.526167352537723</v>
      </c>
      <c r="K147" s="141">
        <f t="shared" si="100"/>
        <v>2.5625468164794007</v>
      </c>
      <c r="L147" s="141">
        <f t="shared" si="100"/>
        <v>2.582326046879115</v>
      </c>
      <c r="M147" s="141">
        <f t="shared" si="100"/>
        <v>2.6508725868725866</v>
      </c>
      <c r="N147" s="141">
        <f t="shared" si="100"/>
        <v>2.6347379134860054</v>
      </c>
      <c r="O147" s="141">
        <f t="shared" si="100"/>
        <v>2.645705426356589</v>
      </c>
      <c r="P147" s="141">
        <f t="shared" si="100"/>
        <v>2.417265418840135</v>
      </c>
      <c r="Q147" s="141">
        <f t="shared" si="100"/>
        <v>2.47009793814433</v>
      </c>
      <c r="R147" s="141">
        <f t="shared" si="100"/>
        <v>2.4776589758019134</v>
      </c>
      <c r="S147" s="141">
        <f t="shared" si="100"/>
        <v>2.4608875326939845</v>
      </c>
      <c r="T147" s="141">
        <f t="shared" si="100"/>
        <v>2.387959304040106</v>
      </c>
      <c r="U147" s="141">
        <f t="shared" si="100"/>
        <v>2.3665355367066394</v>
      </c>
      <c r="V147" s="141">
        <f t="shared" si="100"/>
        <v>2.4908099915801287</v>
      </c>
      <c r="W147" s="141">
        <f t="shared" si="100"/>
        <v>2.512911321807027</v>
      </c>
      <c r="X147" s="141">
        <f t="shared" si="100"/>
        <v>2.553260917030568</v>
      </c>
      <c r="Y147" s="141">
        <f aca="true" t="shared" si="111" ref="Y147">Y69/SUM(Y$66:Y$69)*SUM(Y$70:Y$71)+Y69</f>
        <v>2.5554518637704478</v>
      </c>
      <c r="Z147" s="141">
        <f aca="true" t="shared" si="112" ref="Z147">Z69/SUM(Z$66:Z$69)*SUM(Z$70:Z$71)+Z69</f>
        <v>2.4876122112211223</v>
      </c>
      <c r="AA147" s="141">
        <f aca="true" t="shared" si="113" ref="AA147">AA69/SUM(AA$66:AA$69)*SUM(AA$70:AA$71)+AA69</f>
        <v>2.2007070396557027</v>
      </c>
      <c r="AB147" s="14"/>
    </row>
    <row r="148" spans="2:28" ht="15">
      <c r="B148" s="13"/>
      <c r="C148" s="125" t="str">
        <f aca="true" t="shared" si="114" ref="C148:F148">C113</f>
        <v>EXP</v>
      </c>
      <c r="D148" s="125" t="str">
        <f t="shared" si="114"/>
        <v>Exports</v>
      </c>
      <c r="E148" s="125" t="str">
        <f t="shared" si="114"/>
        <v>TOTAL</v>
      </c>
      <c r="F148" s="125" t="str">
        <f t="shared" si="114"/>
        <v>Total</v>
      </c>
      <c r="G148" s="141">
        <f>G72</f>
        <v>1.031</v>
      </c>
      <c r="H148" s="141">
        <f aca="true" t="shared" si="115" ref="H148:X148">H72</f>
        <v>1.027</v>
      </c>
      <c r="I148" s="141">
        <f t="shared" si="115"/>
        <v>1.087</v>
      </c>
      <c r="J148" s="141">
        <f t="shared" si="115"/>
        <v>1.11</v>
      </c>
      <c r="K148" s="141">
        <f t="shared" si="115"/>
        <v>1.165</v>
      </c>
      <c r="L148" s="141">
        <f t="shared" si="115"/>
        <v>1.223</v>
      </c>
      <c r="M148" s="141">
        <f t="shared" si="115"/>
        <v>1.273</v>
      </c>
      <c r="N148" s="141">
        <f t="shared" si="115"/>
        <v>1.301</v>
      </c>
      <c r="O148" s="141">
        <f t="shared" si="115"/>
        <v>1.324</v>
      </c>
      <c r="P148" s="141">
        <f t="shared" si="115"/>
        <v>1.242</v>
      </c>
      <c r="Q148" s="141">
        <f t="shared" si="115"/>
        <v>1.37</v>
      </c>
      <c r="R148" s="141">
        <f t="shared" si="115"/>
        <v>1.419</v>
      </c>
      <c r="S148" s="141">
        <f t="shared" si="115"/>
        <v>1.519</v>
      </c>
      <c r="T148" s="141">
        <f t="shared" si="115"/>
        <v>1.585</v>
      </c>
      <c r="U148" s="141">
        <f t="shared" si="115"/>
        <v>1.603</v>
      </c>
      <c r="V148" s="141">
        <f t="shared" si="115"/>
        <v>1.613</v>
      </c>
      <c r="W148" s="141">
        <f t="shared" si="115"/>
        <v>1.66</v>
      </c>
      <c r="X148" s="141">
        <f t="shared" si="115"/>
        <v>1.716</v>
      </c>
      <c r="Y148" s="141">
        <f aca="true" t="shared" si="116" ref="Y148:Z148">Y72</f>
        <v>1.67</v>
      </c>
      <c r="Z148" s="141">
        <f t="shared" si="116"/>
        <v>1.668</v>
      </c>
      <c r="AA148" s="141">
        <f aca="true" t="shared" si="117" ref="AA148">AA72</f>
        <v>1.606</v>
      </c>
      <c r="AB148" s="14"/>
    </row>
    <row r="149" spans="2:28" ht="15">
      <c r="B149" s="13"/>
      <c r="C149" s="125" t="str">
        <f aca="true" t="shared" si="118" ref="C149:F149">C114</f>
        <v>EXP</v>
      </c>
      <c r="D149" s="125" t="str">
        <f t="shared" si="118"/>
        <v>Exports</v>
      </c>
      <c r="E149" s="125" t="str">
        <f t="shared" si="118"/>
        <v>MF1</v>
      </c>
      <c r="F149" s="125" t="str">
        <f t="shared" si="118"/>
        <v>Biomass</v>
      </c>
      <c r="G149" s="141">
        <f>G73/SUM(G$73:G$76)*SUM(G$77:G$78)+G73</f>
        <v>0.3188025477707006</v>
      </c>
      <c r="H149" s="141">
        <f aca="true" t="shared" si="119" ref="H149:X152">H73/SUM(H$73:H$76)*SUM(H$77:H$78)+H73</f>
        <v>0.30884120171673823</v>
      </c>
      <c r="I149" s="141">
        <f t="shared" si="119"/>
        <v>0.3212887537993921</v>
      </c>
      <c r="J149" s="141">
        <f t="shared" si="119"/>
        <v>0.32755882352941174</v>
      </c>
      <c r="K149" s="141">
        <f t="shared" si="119"/>
        <v>0.3220946579194002</v>
      </c>
      <c r="L149" s="141">
        <f t="shared" si="119"/>
        <v>0.3545398936170213</v>
      </c>
      <c r="M149" s="141">
        <f t="shared" si="119"/>
        <v>0.36867120954003413</v>
      </c>
      <c r="N149" s="141">
        <f t="shared" si="119"/>
        <v>0.3418421052631579</v>
      </c>
      <c r="O149" s="141">
        <f t="shared" si="119"/>
        <v>0.3660278917145201</v>
      </c>
      <c r="P149" s="141">
        <f t="shared" si="119"/>
        <v>0.3548805579773322</v>
      </c>
      <c r="Q149" s="141">
        <f t="shared" si="119"/>
        <v>0.39437747819191116</v>
      </c>
      <c r="R149" s="141">
        <f t="shared" si="119"/>
        <v>0.3984732006125574</v>
      </c>
      <c r="S149" s="141">
        <f t="shared" si="119"/>
        <v>0.40756756756756757</v>
      </c>
      <c r="T149" s="141">
        <f t="shared" si="119"/>
        <v>0.4519535836177474</v>
      </c>
      <c r="U149" s="141">
        <f t="shared" si="119"/>
        <v>0.47041136671177264</v>
      </c>
      <c r="V149" s="141">
        <f t="shared" si="119"/>
        <v>0.4922050938337802</v>
      </c>
      <c r="W149" s="141">
        <f t="shared" si="119"/>
        <v>0.4935718932986337</v>
      </c>
      <c r="X149" s="141">
        <f t="shared" si="119"/>
        <v>0.4856637168141593</v>
      </c>
      <c r="Y149" s="141">
        <f aca="true" t="shared" si="120" ref="Y149">Y73/SUM(Y$73:Y$76)*SUM(Y$77:Y$78)+Y73</f>
        <v>0.475591677503251</v>
      </c>
      <c r="Z149" s="141">
        <f aca="true" t="shared" si="121" ref="Z149">Z73/SUM(Z$73:Z$76)*SUM(Z$77:Z$78)+Z73</f>
        <v>0.5237356770833334</v>
      </c>
      <c r="AA149" s="141">
        <f aca="true" t="shared" si="122" ref="AA149">AA73/SUM(AA$73:AA$76)*SUM(AA$77:AA$78)+AA73</f>
        <v>0.5559648411088574</v>
      </c>
      <c r="AB149" s="14"/>
    </row>
    <row r="150" spans="2:28" ht="15">
      <c r="B150" s="13"/>
      <c r="C150" s="125" t="str">
        <f aca="true" t="shared" si="123" ref="C150:F150">C115</f>
        <v>EXP</v>
      </c>
      <c r="D150" s="125" t="str">
        <f t="shared" si="123"/>
        <v>Exports</v>
      </c>
      <c r="E150" s="125" t="str">
        <f t="shared" si="123"/>
        <v>MF2</v>
      </c>
      <c r="F150" s="125" t="str">
        <f t="shared" si="123"/>
        <v>Metal ores (gross ores)</v>
      </c>
      <c r="G150" s="141">
        <f aca="true" t="shared" si="124" ref="G150:V152">G74/SUM(G$73:G$76)*SUM(G$77:G$78)+G74</f>
        <v>0.21691719745222932</v>
      </c>
      <c r="H150" s="141">
        <f t="shared" si="124"/>
        <v>0.21508583690987126</v>
      </c>
      <c r="I150" s="141">
        <f t="shared" si="124"/>
        <v>0.2398662613981763</v>
      </c>
      <c r="J150" s="141">
        <f t="shared" si="124"/>
        <v>0.24376470588235294</v>
      </c>
      <c r="K150" s="141">
        <f t="shared" si="124"/>
        <v>0.26641049671977507</v>
      </c>
      <c r="L150" s="141">
        <f t="shared" si="124"/>
        <v>0.2699707446808511</v>
      </c>
      <c r="M150" s="141">
        <f t="shared" si="124"/>
        <v>0.2765034071550256</v>
      </c>
      <c r="N150" s="141">
        <f t="shared" si="124"/>
        <v>0.28541102756892234</v>
      </c>
      <c r="O150" s="141">
        <f t="shared" si="124"/>
        <v>0.2932567678424939</v>
      </c>
      <c r="P150" s="141">
        <f t="shared" si="124"/>
        <v>0.2575047951176983</v>
      </c>
      <c r="Q150" s="141">
        <f t="shared" si="124"/>
        <v>0.2955114988104679</v>
      </c>
      <c r="R150" s="141">
        <f t="shared" si="124"/>
        <v>0.3289846860643185</v>
      </c>
      <c r="S150" s="141">
        <f t="shared" si="124"/>
        <v>0.34162162162162163</v>
      </c>
      <c r="T150" s="141">
        <f t="shared" si="124"/>
        <v>0.3297747440273037</v>
      </c>
      <c r="U150" s="141">
        <f t="shared" si="124"/>
        <v>0.3273369418132612</v>
      </c>
      <c r="V150" s="141">
        <f t="shared" si="124"/>
        <v>0.29748659517426274</v>
      </c>
      <c r="W150" s="141">
        <f t="shared" si="119"/>
        <v>0.3002472348731295</v>
      </c>
      <c r="X150" s="141">
        <f t="shared" si="119"/>
        <v>0.31763274336283187</v>
      </c>
      <c r="Y150" s="141">
        <f aca="true" t="shared" si="125" ref="Y150">Y74/SUM(Y$73:Y$76)*SUM(Y$77:Y$78)+Y74</f>
        <v>0.31054616384915473</v>
      </c>
      <c r="Z150" s="141">
        <f aca="true" t="shared" si="126" ref="Z150">Z74/SUM(Z$73:Z$76)*SUM(Z$77:Z$78)+Z74</f>
        <v>0.316197265625</v>
      </c>
      <c r="AA150" s="141">
        <f aca="true" t="shared" si="127" ref="AA150">AA74/SUM(AA$73:AA$76)*SUM(AA$77:AA$78)+AA74</f>
        <v>0.293184584178499</v>
      </c>
      <c r="AB150" s="14"/>
    </row>
    <row r="151" spans="2:28" ht="15">
      <c r="B151" s="13"/>
      <c r="C151" s="125" t="str">
        <f aca="true" t="shared" si="128" ref="C151:F151">C116</f>
        <v>EXP</v>
      </c>
      <c r="D151" s="125" t="str">
        <f t="shared" si="128"/>
        <v>Exports</v>
      </c>
      <c r="E151" s="125" t="str">
        <f t="shared" si="128"/>
        <v>MF3</v>
      </c>
      <c r="F151" s="125" t="str">
        <f t="shared" si="128"/>
        <v>Non-metallic minerals</v>
      </c>
      <c r="G151" s="141">
        <f t="shared" si="124"/>
        <v>0.16980891719745222</v>
      </c>
      <c r="H151" s="141">
        <f t="shared" si="119"/>
        <v>0.172068669527897</v>
      </c>
      <c r="I151" s="141">
        <f t="shared" si="119"/>
        <v>0.17714893617021277</v>
      </c>
      <c r="J151" s="141">
        <f t="shared" si="119"/>
        <v>0.17847058823529413</v>
      </c>
      <c r="K151" s="141">
        <f t="shared" si="119"/>
        <v>0.18343017806935333</v>
      </c>
      <c r="L151" s="141">
        <f t="shared" si="119"/>
        <v>0.19407535460992906</v>
      </c>
      <c r="M151" s="141">
        <f t="shared" si="119"/>
        <v>0.1854199318568995</v>
      </c>
      <c r="N151" s="141">
        <f t="shared" si="119"/>
        <v>0.18557142857142858</v>
      </c>
      <c r="O151" s="141">
        <f t="shared" si="119"/>
        <v>0.18464315012305169</v>
      </c>
      <c r="P151" s="141">
        <f t="shared" si="119"/>
        <v>0.1655387968613775</v>
      </c>
      <c r="Q151" s="141">
        <f t="shared" si="119"/>
        <v>0.19447264076130055</v>
      </c>
      <c r="R151" s="141">
        <f t="shared" si="119"/>
        <v>0.19869372128637058</v>
      </c>
      <c r="S151" s="141">
        <f t="shared" si="119"/>
        <v>0.21945945945945947</v>
      </c>
      <c r="T151" s="141">
        <f t="shared" si="119"/>
        <v>0.23570784982935153</v>
      </c>
      <c r="U151" s="141">
        <f t="shared" si="119"/>
        <v>0.24929634641407308</v>
      </c>
      <c r="V151" s="141">
        <f t="shared" si="119"/>
        <v>0.250970509383378</v>
      </c>
      <c r="W151" s="141">
        <f t="shared" si="119"/>
        <v>0.25056603773584907</v>
      </c>
      <c r="X151" s="141">
        <f t="shared" si="119"/>
        <v>0.25258849557522123</v>
      </c>
      <c r="Y151" s="141">
        <f aca="true" t="shared" si="129" ref="Y151">Y75/SUM(Y$73:Y$76)*SUM(Y$77:Y$78)+Y75</f>
        <v>0.24756827048114435</v>
      </c>
      <c r="Z151" s="141">
        <f aca="true" t="shared" si="130" ref="Z151">Z75/SUM(Z$73:Z$76)*SUM(Z$77:Z$78)+Z75</f>
        <v>0.23035677083333334</v>
      </c>
      <c r="AA151" s="141">
        <f aca="true" t="shared" si="131" ref="AA151">AA75/SUM(AA$73:AA$76)*SUM(AA$77:AA$78)+AA75</f>
        <v>0.21717376605814742</v>
      </c>
      <c r="AB151" s="14"/>
    </row>
    <row r="152" spans="2:28" ht="15">
      <c r="B152" s="13"/>
      <c r="C152" s="125" t="str">
        <f aca="true" t="shared" si="132" ref="C152:F152">C117</f>
        <v>EXP</v>
      </c>
      <c r="D152" s="125" t="str">
        <f t="shared" si="132"/>
        <v>Exports</v>
      </c>
      <c r="E152" s="125" t="str">
        <f t="shared" si="132"/>
        <v>MF4</v>
      </c>
      <c r="F152" s="125" t="str">
        <f t="shared" si="132"/>
        <v>Fossil energy materials/carriers</v>
      </c>
      <c r="G152" s="141">
        <f t="shared" si="124"/>
        <v>0.3264713375796178</v>
      </c>
      <c r="H152" s="141">
        <f t="shared" si="119"/>
        <v>0.33200429184549357</v>
      </c>
      <c r="I152" s="141">
        <f t="shared" si="119"/>
        <v>0.34769604863221887</v>
      </c>
      <c r="J152" s="141">
        <f t="shared" si="119"/>
        <v>0.3602058823529412</v>
      </c>
      <c r="K152" s="141">
        <f t="shared" si="119"/>
        <v>0.3930646672914714</v>
      </c>
      <c r="L152" s="141">
        <f t="shared" si="119"/>
        <v>0.40441400709219855</v>
      </c>
      <c r="M152" s="141">
        <f t="shared" si="119"/>
        <v>0.4424054514480409</v>
      </c>
      <c r="N152" s="141">
        <f t="shared" si="119"/>
        <v>0.48617543859649126</v>
      </c>
      <c r="O152" s="141">
        <f t="shared" si="119"/>
        <v>0.48007219031993437</v>
      </c>
      <c r="P152" s="141">
        <f t="shared" si="119"/>
        <v>0.463075850043592</v>
      </c>
      <c r="Q152" s="141">
        <f t="shared" si="119"/>
        <v>0.4856383822363204</v>
      </c>
      <c r="R152" s="141">
        <f t="shared" si="119"/>
        <v>0.49184839203675346</v>
      </c>
      <c r="S152" s="141">
        <f t="shared" si="119"/>
        <v>0.5513513513513514</v>
      </c>
      <c r="T152" s="141">
        <f t="shared" si="119"/>
        <v>0.5665638225255973</v>
      </c>
      <c r="U152" s="141">
        <f t="shared" si="119"/>
        <v>0.5549553450608931</v>
      </c>
      <c r="V152" s="141">
        <f t="shared" si="119"/>
        <v>0.5733378016085792</v>
      </c>
      <c r="W152" s="141">
        <f t="shared" si="119"/>
        <v>0.6156148340923877</v>
      </c>
      <c r="X152" s="141">
        <f t="shared" si="119"/>
        <v>0.6591150442477876</v>
      </c>
      <c r="Y152" s="141">
        <f aca="true" t="shared" si="133" ref="Y152">Y76/SUM(Y$73:Y$76)*SUM(Y$77:Y$78)+Y76</f>
        <v>0.6362938881664499</v>
      </c>
      <c r="Z152" s="141">
        <f aca="true" t="shared" si="134" ref="Z152">Z76/SUM(Z$73:Z$76)*SUM(Z$77:Z$78)+Z76</f>
        <v>0.5987102864583334</v>
      </c>
      <c r="AA152" s="141">
        <f aca="true" t="shared" si="135" ref="AA152">AA76/SUM(AA$73:AA$76)*SUM(AA$77:AA$78)+AA76</f>
        <v>0.5396768086544963</v>
      </c>
      <c r="AB152" s="14"/>
    </row>
    <row r="153" spans="2:28" ht="15">
      <c r="B153" s="13"/>
      <c r="C153" s="126" t="str">
        <f aca="true" t="shared" si="136" ref="C153:F153">C118</f>
        <v>DMC</v>
      </c>
      <c r="D153" s="126" t="str">
        <f t="shared" si="136"/>
        <v>Domestic material consumption</v>
      </c>
      <c r="E153" s="126" t="str">
        <f t="shared" si="136"/>
        <v>TOTAL</v>
      </c>
      <c r="F153" s="127" t="str">
        <f t="shared" si="136"/>
        <v>Total</v>
      </c>
      <c r="G153" s="141">
        <f>G79</f>
        <v>15.377</v>
      </c>
      <c r="H153" s="141">
        <f aca="true" t="shared" si="137" ref="H153:X153">H79</f>
        <v>15.415</v>
      </c>
      <c r="I153" s="141">
        <f t="shared" si="137"/>
        <v>15.52</v>
      </c>
      <c r="J153" s="141">
        <f t="shared" si="137"/>
        <v>15.617</v>
      </c>
      <c r="K153" s="141">
        <f t="shared" si="137"/>
        <v>16.28</v>
      </c>
      <c r="L153" s="141">
        <f t="shared" si="137"/>
        <v>16.357</v>
      </c>
      <c r="M153" s="141">
        <f t="shared" si="137"/>
        <v>16.703</v>
      </c>
      <c r="N153" s="141">
        <f t="shared" si="137"/>
        <v>17.275</v>
      </c>
      <c r="O153" s="141">
        <f t="shared" si="137"/>
        <v>16.891</v>
      </c>
      <c r="P153" s="141">
        <f t="shared" si="137"/>
        <v>14.794</v>
      </c>
      <c r="Q153" s="141">
        <f t="shared" si="137"/>
        <v>14.338</v>
      </c>
      <c r="R153" s="141">
        <f t="shared" si="137"/>
        <v>15.122</v>
      </c>
      <c r="S153" s="141">
        <f t="shared" si="137"/>
        <v>13.934</v>
      </c>
      <c r="T153" s="141">
        <f t="shared" si="137"/>
        <v>13.546</v>
      </c>
      <c r="U153" s="141">
        <f t="shared" si="137"/>
        <v>13.65</v>
      </c>
      <c r="V153" s="141">
        <f t="shared" si="137"/>
        <v>13.603</v>
      </c>
      <c r="W153" s="141">
        <f t="shared" si="137"/>
        <v>13.553</v>
      </c>
      <c r="X153" s="141">
        <f t="shared" si="137"/>
        <v>13.973</v>
      </c>
      <c r="Y153" s="141">
        <f aca="true" t="shared" si="138" ref="Y153:Z153">Y79</f>
        <v>14.155</v>
      </c>
      <c r="Z153" s="141">
        <f t="shared" si="138"/>
        <v>14.051</v>
      </c>
      <c r="AA153" s="141">
        <f aca="true" t="shared" si="139" ref="AA153">AA79</f>
        <v>13.359</v>
      </c>
      <c r="AB153" s="14"/>
    </row>
    <row r="154" spans="2:28" ht="15">
      <c r="B154" s="13"/>
      <c r="C154" s="126" t="str">
        <f aca="true" t="shared" si="140" ref="C154:F154">C119</f>
        <v>DMC</v>
      </c>
      <c r="D154" s="126" t="str">
        <f t="shared" si="140"/>
        <v>Domestic material consumption</v>
      </c>
      <c r="E154" s="126" t="str">
        <f t="shared" si="140"/>
        <v>MF1</v>
      </c>
      <c r="F154" s="129" t="str">
        <f t="shared" si="140"/>
        <v>Biomass</v>
      </c>
      <c r="G154" s="141">
        <f>G80/SUM(G$80:G$83)*SUM(G$84:G$85)+G80</f>
        <v>3.485053479758269</v>
      </c>
      <c r="H154" s="141">
        <f aca="true" t="shared" si="141" ref="H154:X157">H80/SUM(H$80:H$83)*SUM(H$84:H$85)+H80</f>
        <v>3.45085114652157</v>
      </c>
      <c r="I154" s="141">
        <f t="shared" si="141"/>
        <v>3.4556599073001157</v>
      </c>
      <c r="J154" s="141">
        <f t="shared" si="141"/>
        <v>3.190021329746349</v>
      </c>
      <c r="K154" s="141">
        <f t="shared" si="141"/>
        <v>3.63612689044633</v>
      </c>
      <c r="L154" s="141">
        <f t="shared" si="141"/>
        <v>3.444421155609905</v>
      </c>
      <c r="M154" s="141">
        <f t="shared" si="141"/>
        <v>3.249</v>
      </c>
      <c r="N154" s="141">
        <f t="shared" si="141"/>
        <v>3.405577112410957</v>
      </c>
      <c r="O154" s="141">
        <f t="shared" si="141"/>
        <v>3.459843501954745</v>
      </c>
      <c r="P154" s="141">
        <f t="shared" si="141"/>
        <v>3.3271245604544224</v>
      </c>
      <c r="Q154" s="141">
        <f t="shared" si="141"/>
        <v>3.2246746651785716</v>
      </c>
      <c r="R154" s="141">
        <f t="shared" si="141"/>
        <v>3.3982247503141743</v>
      </c>
      <c r="S154" s="141">
        <f t="shared" si="141"/>
        <v>3.244370248170994</v>
      </c>
      <c r="T154" s="141">
        <f t="shared" si="141"/>
        <v>3.306755904930617</v>
      </c>
      <c r="U154" s="141">
        <f t="shared" si="141"/>
        <v>3.538222311749194</v>
      </c>
      <c r="V154" s="141">
        <f t="shared" si="141"/>
        <v>3.2675195530726255</v>
      </c>
      <c r="W154" s="141">
        <f t="shared" si="141"/>
        <v>3.330720159444896</v>
      </c>
      <c r="X154" s="141">
        <f t="shared" si="141"/>
        <v>3.4432177742767114</v>
      </c>
      <c r="Y154" s="141">
        <f aca="true" t="shared" si="142" ref="Y154">Y80/SUM(Y$80:Y$83)*SUM(Y$84:Y$85)+Y80</f>
        <v>3.34649225327202</v>
      </c>
      <c r="Z154" s="141">
        <f aca="true" t="shared" si="143" ref="Z154">Z80/SUM(Z$80:Z$83)*SUM(Z$84:Z$85)+Z80</f>
        <v>3.3070015694107577</v>
      </c>
      <c r="AA154" s="141">
        <f aca="true" t="shared" si="144" ref="AA154">AA80/SUM(AA$80:AA$83)*SUM(AA$84:AA$85)+AA80</f>
        <v>3.2648429975245667</v>
      </c>
      <c r="AB154" s="14"/>
    </row>
    <row r="155" spans="2:28" ht="15">
      <c r="B155" s="13"/>
      <c r="C155" s="126" t="str">
        <f aca="true" t="shared" si="145" ref="C155:F155">C120</f>
        <v>DMC</v>
      </c>
      <c r="D155" s="126" t="str">
        <f t="shared" si="145"/>
        <v>Domestic material consumption</v>
      </c>
      <c r="E155" s="126" t="str">
        <f t="shared" si="145"/>
        <v>MF2</v>
      </c>
      <c r="F155" s="129" t="str">
        <f t="shared" si="145"/>
        <v>Metal ores (gross ores)</v>
      </c>
      <c r="G155" s="141">
        <f aca="true" t="shared" si="146" ref="G155:V157">G81/SUM(G$80:G$83)*SUM(G$84:G$85)+G81</f>
        <v>0.7084010656962765</v>
      </c>
      <c r="H155" s="141">
        <f t="shared" si="146"/>
        <v>0.6670047933670165</v>
      </c>
      <c r="I155" s="141">
        <f t="shared" si="146"/>
        <v>0.6353858632676709</v>
      </c>
      <c r="J155" s="141">
        <f t="shared" si="146"/>
        <v>0.6622120163976428</v>
      </c>
      <c r="K155" s="141">
        <f t="shared" si="146"/>
        <v>0.6986007623263248</v>
      </c>
      <c r="L155" s="141">
        <f t="shared" si="146"/>
        <v>0.71208706817487</v>
      </c>
      <c r="M155" s="141">
        <f t="shared" si="146"/>
        <v>0.725</v>
      </c>
      <c r="N155" s="141">
        <f t="shared" si="146"/>
        <v>0.7223345109167777</v>
      </c>
      <c r="O155" s="141">
        <f t="shared" si="146"/>
        <v>0.6903678474114441</v>
      </c>
      <c r="P155" s="141">
        <f t="shared" si="146"/>
        <v>0.453153164728158</v>
      </c>
      <c r="Q155" s="141">
        <f t="shared" si="146"/>
        <v>0.6171291155133929</v>
      </c>
      <c r="R155" s="141">
        <f t="shared" si="146"/>
        <v>0.6290416032806403</v>
      </c>
      <c r="S155" s="141">
        <f t="shared" si="146"/>
        <v>0.5887042748529623</v>
      </c>
      <c r="T155" s="141">
        <f t="shared" si="146"/>
        <v>0.6909489961617951</v>
      </c>
      <c r="U155" s="141">
        <f t="shared" si="146"/>
        <v>0.6518567242894814</v>
      </c>
      <c r="V155" s="141">
        <f t="shared" si="146"/>
        <v>0.7038965010291091</v>
      </c>
      <c r="W155" s="141">
        <f t="shared" si="141"/>
        <v>0.7253746216874585</v>
      </c>
      <c r="X155" s="141">
        <f t="shared" si="141"/>
        <v>0.7334724291034087</v>
      </c>
      <c r="Y155" s="141">
        <f aca="true" t="shared" si="147" ref="Y155">Y81/SUM(Y$80:Y$83)*SUM(Y$84:Y$85)+Y81</f>
        <v>0.785053837990803</v>
      </c>
      <c r="Z155" s="141">
        <f aca="true" t="shared" si="148" ref="Z155">Z81/SUM(Z$80:Z$83)*SUM(Z$84:Z$85)+Z81</f>
        <v>0.7478093879298046</v>
      </c>
      <c r="AA155" s="141">
        <f aca="true" t="shared" si="149" ref="AA155">AA81/SUM(AA$80:AA$83)*SUM(AA$84:AA$85)+AA81</f>
        <v>0.6984639561923336</v>
      </c>
      <c r="AB155" s="14"/>
    </row>
    <row r="156" spans="2:28" ht="15">
      <c r="B156" s="13"/>
      <c r="C156" s="126" t="str">
        <f aca="true" t="shared" si="150" ref="C156:F156">C121</f>
        <v>DMC</v>
      </c>
      <c r="D156" s="126" t="str">
        <f t="shared" si="150"/>
        <v>Domestic material consumption</v>
      </c>
      <c r="E156" s="126" t="str">
        <f t="shared" si="150"/>
        <v>MF3</v>
      </c>
      <c r="F156" s="129" t="str">
        <f t="shared" si="150"/>
        <v>Non-metallic minerals</v>
      </c>
      <c r="G156" s="141">
        <f t="shared" si="146"/>
        <v>7.39774540256027</v>
      </c>
      <c r="H156" s="141">
        <f t="shared" si="141"/>
        <v>7.5337592304702685</v>
      </c>
      <c r="I156" s="141">
        <f t="shared" si="141"/>
        <v>7.579673812282734</v>
      </c>
      <c r="J156" s="141">
        <f t="shared" si="141"/>
        <v>7.807499679733538</v>
      </c>
      <c r="K156" s="141">
        <f t="shared" si="141"/>
        <v>7.997877781876306</v>
      </c>
      <c r="L156" s="141">
        <f t="shared" si="141"/>
        <v>8.285013023540202</v>
      </c>
      <c r="M156" s="141">
        <f t="shared" si="141"/>
        <v>8.812</v>
      </c>
      <c r="N156" s="141">
        <f t="shared" si="141"/>
        <v>9.337324086407598</v>
      </c>
      <c r="O156" s="141">
        <f t="shared" si="141"/>
        <v>8.96477668522687</v>
      </c>
      <c r="P156" s="141">
        <f t="shared" si="141"/>
        <v>7.535546997565594</v>
      </c>
      <c r="Q156" s="141">
        <f t="shared" si="141"/>
        <v>6.9964637974330355</v>
      </c>
      <c r="R156" s="141">
        <f t="shared" si="141"/>
        <v>7.5484992393676835</v>
      </c>
      <c r="S156" s="141">
        <f t="shared" si="141"/>
        <v>6.6416636780949645</v>
      </c>
      <c r="T156" s="141">
        <f t="shared" si="141"/>
        <v>6.240539341600236</v>
      </c>
      <c r="U156" s="141">
        <f t="shared" si="141"/>
        <v>6.24262789334896</v>
      </c>
      <c r="V156" s="141">
        <f t="shared" si="141"/>
        <v>6.3650640987944715</v>
      </c>
      <c r="W156" s="141">
        <f t="shared" si="141"/>
        <v>6.351280135823429</v>
      </c>
      <c r="X156" s="141">
        <f t="shared" si="141"/>
        <v>6.656287310226296</v>
      </c>
      <c r="Y156" s="141">
        <f aca="true" t="shared" si="151" ref="Y156">Y82/SUM(Y$80:Y$83)*SUM(Y$84:Y$85)+Y82</f>
        <v>6.891250654403962</v>
      </c>
      <c r="Z156" s="141">
        <f aca="true" t="shared" si="152" ref="Z156">Z82/SUM(Z$80:Z$83)*SUM(Z$84:Z$85)+Z82</f>
        <v>7.091157654444285</v>
      </c>
      <c r="AA156" s="141">
        <f aca="true" t="shared" si="153" ref="AA156">AA82/SUM(AA$80:AA$83)*SUM(AA$84:AA$85)+AA82</f>
        <v>6.92751984097217</v>
      </c>
      <c r="AB156" s="14"/>
    </row>
    <row r="157" spans="2:28" ht="15">
      <c r="B157" s="13"/>
      <c r="C157" s="126" t="str">
        <f aca="true" t="shared" si="154" ref="C157:F157">C122</f>
        <v>DMC</v>
      </c>
      <c r="D157" s="126" t="str">
        <f t="shared" si="154"/>
        <v>Domestic material consumption</v>
      </c>
      <c r="E157" s="126" t="str">
        <f t="shared" si="154"/>
        <v>MF4</v>
      </c>
      <c r="F157" s="129" t="str">
        <f t="shared" si="154"/>
        <v>Fossil energy materials/carriers</v>
      </c>
      <c r="G157" s="141">
        <f t="shared" si="146"/>
        <v>3.784800051985184</v>
      </c>
      <c r="H157" s="141">
        <f t="shared" si="141"/>
        <v>3.7633848296411454</v>
      </c>
      <c r="I157" s="141">
        <f t="shared" si="141"/>
        <v>3.8482804171494784</v>
      </c>
      <c r="J157" s="141">
        <f t="shared" si="141"/>
        <v>3.95726697412247</v>
      </c>
      <c r="K157" s="141">
        <f t="shared" si="141"/>
        <v>3.947394565351039</v>
      </c>
      <c r="L157" s="141">
        <f t="shared" si="141"/>
        <v>3.915478752675023</v>
      </c>
      <c r="M157" s="141">
        <f t="shared" si="141"/>
        <v>3.917</v>
      </c>
      <c r="N157" s="141">
        <f t="shared" si="141"/>
        <v>3.8097642902646665</v>
      </c>
      <c r="O157" s="141">
        <f t="shared" si="141"/>
        <v>3.7760119654069424</v>
      </c>
      <c r="P157" s="141">
        <f t="shared" si="141"/>
        <v>3.477175277251826</v>
      </c>
      <c r="Q157" s="141">
        <f t="shared" si="141"/>
        <v>3.500732421875</v>
      </c>
      <c r="R157" s="141">
        <f t="shared" si="141"/>
        <v>3.5442344070375027</v>
      </c>
      <c r="S157" s="141">
        <f t="shared" si="141"/>
        <v>3.460261798881079</v>
      </c>
      <c r="T157" s="141">
        <f t="shared" si="141"/>
        <v>3.3087557573073516</v>
      </c>
      <c r="U157" s="141">
        <f t="shared" si="141"/>
        <v>3.2162930706123647</v>
      </c>
      <c r="V157" s="141">
        <f t="shared" si="141"/>
        <v>3.265519847103793</v>
      </c>
      <c r="W157" s="141">
        <f t="shared" si="141"/>
        <v>3.1466250830442166</v>
      </c>
      <c r="X157" s="141">
        <f t="shared" si="141"/>
        <v>3.1400224863935833</v>
      </c>
      <c r="Y157" s="141">
        <f aca="true" t="shared" si="155" ref="Y157">Y83/SUM(Y$80:Y$83)*SUM(Y$84:Y$85)+Y83</f>
        <v>3.131203254333215</v>
      </c>
      <c r="Z157" s="141">
        <f aca="true" t="shared" si="156" ref="Z157">Z83/SUM(Z$80:Z$83)*SUM(Z$84:Z$85)+Z83</f>
        <v>2.906031388215152</v>
      </c>
      <c r="AA157" s="141">
        <f aca="true" t="shared" si="157" ref="AA157">AA83/SUM(AA$80:AA$83)*SUM(AA$84:AA$85)+AA83</f>
        <v>2.4681732053109293</v>
      </c>
      <c r="AB157" s="14"/>
    </row>
    <row r="158" spans="2:28" ht="15">
      <c r="B158" s="13"/>
      <c r="C158" s="130" t="str">
        <f aca="true" t="shared" si="158" ref="C158:F158">C123</f>
        <v>DMI</v>
      </c>
      <c r="D158" s="130" t="str">
        <f t="shared" si="158"/>
        <v>Direct material inputs</v>
      </c>
      <c r="E158" s="130" t="str">
        <f t="shared" si="158"/>
        <v>TOTAL</v>
      </c>
      <c r="F158" s="127" t="str">
        <f t="shared" si="158"/>
        <v>Total</v>
      </c>
      <c r="G158" s="141">
        <f>G86</f>
        <v>16.408</v>
      </c>
      <c r="H158" s="141">
        <f aca="true" t="shared" si="159" ref="H158:X158">H86</f>
        <v>16.442</v>
      </c>
      <c r="I158" s="141">
        <f t="shared" si="159"/>
        <v>16.607</v>
      </c>
      <c r="J158" s="141">
        <f t="shared" si="159"/>
        <v>16.728</v>
      </c>
      <c r="K158" s="141">
        <f t="shared" si="159"/>
        <v>17.445</v>
      </c>
      <c r="L158" s="141">
        <f t="shared" si="159"/>
        <v>17.58</v>
      </c>
      <c r="M158" s="141">
        <f t="shared" si="159"/>
        <v>17.976</v>
      </c>
      <c r="N158" s="141">
        <f t="shared" si="159"/>
        <v>18.575</v>
      </c>
      <c r="O158" s="141">
        <f t="shared" si="159"/>
        <v>18.215</v>
      </c>
      <c r="P158" s="141">
        <f t="shared" si="159"/>
        <v>16.036</v>
      </c>
      <c r="Q158" s="141">
        <f t="shared" si="159"/>
        <v>15.708</v>
      </c>
      <c r="R158" s="141">
        <f t="shared" si="159"/>
        <v>16.54</v>
      </c>
      <c r="S158" s="141">
        <f t="shared" si="159"/>
        <v>15.454</v>
      </c>
      <c r="T158" s="141">
        <f t="shared" si="159"/>
        <v>15.131</v>
      </c>
      <c r="U158" s="141">
        <f t="shared" si="159"/>
        <v>15.252</v>
      </c>
      <c r="V158" s="141">
        <f t="shared" si="159"/>
        <v>15.216</v>
      </c>
      <c r="W158" s="141">
        <f t="shared" si="159"/>
        <v>15.213</v>
      </c>
      <c r="X158" s="141">
        <f t="shared" si="159"/>
        <v>15.689</v>
      </c>
      <c r="Y158" s="141">
        <f aca="true" t="shared" si="160" ref="Y158:Z158">Y86</f>
        <v>15.825</v>
      </c>
      <c r="Z158" s="141">
        <f t="shared" si="160"/>
        <v>15.719</v>
      </c>
      <c r="AA158" s="141">
        <f aca="true" t="shared" si="161" ref="AA158">AA86</f>
        <v>14.965</v>
      </c>
      <c r="AB158" s="14"/>
    </row>
    <row r="159" spans="2:28" ht="15">
      <c r="B159" s="13"/>
      <c r="C159" s="130" t="str">
        <f aca="true" t="shared" si="162" ref="C159:F159">C124</f>
        <v>DMI</v>
      </c>
      <c r="D159" s="130" t="str">
        <f t="shared" si="162"/>
        <v>Direct material inputs</v>
      </c>
      <c r="E159" s="130" t="str">
        <f t="shared" si="162"/>
        <v>MF1</v>
      </c>
      <c r="F159" s="129" t="str">
        <f t="shared" si="162"/>
        <v>Biomass</v>
      </c>
      <c r="G159" s="141">
        <f>G87/SUM(G$87:G$90)*SUM(G$91:G$92)+G87</f>
        <v>3.7968167401420523</v>
      </c>
      <c r="H159" s="141">
        <f aca="true" t="shared" si="163" ref="H159:X162">H87/SUM(H$87:H$90)*SUM(H$91:H$92)+H87</f>
        <v>3.752660232131949</v>
      </c>
      <c r="I159" s="141">
        <f t="shared" si="163"/>
        <v>3.771301579616292</v>
      </c>
      <c r="J159" s="141">
        <f t="shared" si="163"/>
        <v>3.509934463684464</v>
      </c>
      <c r="K159" s="141">
        <f t="shared" si="163"/>
        <v>3.9533799469251183</v>
      </c>
      <c r="L159" s="141">
        <f t="shared" si="163"/>
        <v>3.791923635739618</v>
      </c>
      <c r="M159" s="141">
        <f t="shared" si="163"/>
        <v>3.6088764264936226</v>
      </c>
      <c r="N159" s="141">
        <f t="shared" si="163"/>
        <v>3.7411548876252367</v>
      </c>
      <c r="O159" s="141">
        <f t="shared" si="163"/>
        <v>3.81789591160221</v>
      </c>
      <c r="P159" s="141">
        <f t="shared" si="163"/>
        <v>3.6777061370481925</v>
      </c>
      <c r="Q159" s="141">
        <f t="shared" si="163"/>
        <v>3.6125277938065015</v>
      </c>
      <c r="R159" s="141">
        <f t="shared" si="163"/>
        <v>3.7913575211541977</v>
      </c>
      <c r="S159" s="141">
        <f t="shared" si="163"/>
        <v>3.647490420956601</v>
      </c>
      <c r="T159" s="141">
        <f t="shared" si="163"/>
        <v>3.753520117239542</v>
      </c>
      <c r="U159" s="141">
        <f t="shared" si="163"/>
        <v>4.005033969995374</v>
      </c>
      <c r="V159" s="141">
        <f t="shared" si="163"/>
        <v>3.751835177210997</v>
      </c>
      <c r="W159" s="141">
        <f t="shared" si="163"/>
        <v>3.818629276054097</v>
      </c>
      <c r="X159" s="141">
        <f t="shared" si="163"/>
        <v>3.9245228354560657</v>
      </c>
      <c r="Y159" s="141">
        <f aca="true" t="shared" si="164" ref="Y159">Y87/SUM(Y$87:Y$90)*SUM(Y$91:Y$92)+Y87</f>
        <v>3.8164180437695396</v>
      </c>
      <c r="Z159" s="141">
        <f aca="true" t="shared" si="165" ref="Z159">Z87/SUM(Z$87:Z$90)*SUM(Z$91:Z$92)+Z87</f>
        <v>3.820344628046036</v>
      </c>
      <c r="AA159" s="141">
        <f aca="true" t="shared" si="166" ref="AA159">AA87/SUM(AA$87:AA$90)*SUM(AA$91:AA$92)+AA87</f>
        <v>3.809713687622392</v>
      </c>
      <c r="AB159" s="14"/>
    </row>
    <row r="160" spans="2:28" ht="15">
      <c r="B160" s="13"/>
      <c r="C160" s="130" t="str">
        <f aca="true" t="shared" si="167" ref="C160:F160">C125</f>
        <v>DMI</v>
      </c>
      <c r="D160" s="130" t="str">
        <f t="shared" si="167"/>
        <v>Direct material inputs</v>
      </c>
      <c r="E160" s="130" t="str">
        <f t="shared" si="167"/>
        <v>MF2</v>
      </c>
      <c r="F160" s="129" t="str">
        <f t="shared" si="167"/>
        <v>Metal ores (gross ores)</v>
      </c>
      <c r="G160" s="141">
        <f aca="true" t="shared" si="168" ref="G160:V162">G88/SUM(G$87:G$90)*SUM(G$91:G$92)+G88</f>
        <v>0.911276206220916</v>
      </c>
      <c r="H160" s="141">
        <f t="shared" si="168"/>
        <v>0.8668484422724496</v>
      </c>
      <c r="I160" s="141">
        <f t="shared" si="168"/>
        <v>0.8583932699872904</v>
      </c>
      <c r="J160" s="141">
        <f t="shared" si="168"/>
        <v>0.8910607263107263</v>
      </c>
      <c r="K160" s="141">
        <f t="shared" si="168"/>
        <v>0.9490929964232144</v>
      </c>
      <c r="L160" s="141">
        <f t="shared" si="168"/>
        <v>0.9653266216680013</v>
      </c>
      <c r="M160" s="141">
        <f t="shared" si="168"/>
        <v>0.9854273886775565</v>
      </c>
      <c r="N160" s="141">
        <f t="shared" si="168"/>
        <v>0.9908678581099377</v>
      </c>
      <c r="O160" s="141">
        <f t="shared" si="168"/>
        <v>0.966046408839779</v>
      </c>
      <c r="P160" s="141">
        <f t="shared" si="168"/>
        <v>0.6952927334337349</v>
      </c>
      <c r="Q160" s="141">
        <f t="shared" si="168"/>
        <v>0.8953267936141566</v>
      </c>
      <c r="R160" s="141">
        <f t="shared" si="168"/>
        <v>0.9385246240944787</v>
      </c>
      <c r="S160" s="141">
        <f t="shared" si="168"/>
        <v>0.9103620487423433</v>
      </c>
      <c r="T160" s="141">
        <f t="shared" si="168"/>
        <v>1.0028873567812417</v>
      </c>
      <c r="U160" s="141">
        <f t="shared" si="168"/>
        <v>0.9616920229991408</v>
      </c>
      <c r="V160" s="141">
        <f t="shared" si="168"/>
        <v>0.9868475654190129</v>
      </c>
      <c r="W160" s="141">
        <f t="shared" si="163"/>
        <v>1.0116442588172898</v>
      </c>
      <c r="X160" s="141">
        <f t="shared" si="163"/>
        <v>1.0343625369870062</v>
      </c>
      <c r="Y160" s="141">
        <f aca="true" t="shared" si="169" ref="Y160">Y88/SUM(Y$87:Y$90)*SUM(Y$91:Y$92)+Y88</f>
        <v>1.0803088113315895</v>
      </c>
      <c r="Z160" s="141">
        <f aca="true" t="shared" si="170" ref="Z160">Z88/SUM(Z$87:Z$90)*SUM(Z$91:Z$92)+Z88</f>
        <v>1.048068089757603</v>
      </c>
      <c r="AA160" s="141">
        <f aca="true" t="shared" si="171" ref="AA160">AA88/SUM(AA$87:AA$90)*SUM(AA$91:AA$92)+AA88</f>
        <v>0.9771865082044702</v>
      </c>
      <c r="AB160" s="14"/>
    </row>
    <row r="161" spans="2:28" ht="15">
      <c r="B161" s="13"/>
      <c r="C161" s="130" t="str">
        <f aca="true" t="shared" si="172" ref="C161:F161">C126</f>
        <v>DMI</v>
      </c>
      <c r="D161" s="130" t="str">
        <f t="shared" si="172"/>
        <v>Direct material inputs</v>
      </c>
      <c r="E161" s="130" t="str">
        <f t="shared" si="172"/>
        <v>MF3</v>
      </c>
      <c r="F161" s="129" t="str">
        <f t="shared" si="172"/>
        <v>Non-metallic minerals</v>
      </c>
      <c r="G161" s="141">
        <f t="shared" si="168"/>
        <v>7.59463819495469</v>
      </c>
      <c r="H161" s="141">
        <f t="shared" si="163"/>
        <v>7.7353416615760535</v>
      </c>
      <c r="I161" s="141">
        <f t="shared" si="163"/>
        <v>7.787858379228954</v>
      </c>
      <c r="J161" s="141">
        <f t="shared" si="163"/>
        <v>8.014517977392977</v>
      </c>
      <c r="K161" s="141">
        <f t="shared" si="163"/>
        <v>8.211717664705205</v>
      </c>
      <c r="L161" s="141">
        <f t="shared" si="163"/>
        <v>8.509957499141974</v>
      </c>
      <c r="M161" s="141">
        <f t="shared" si="163"/>
        <v>9.032749216827032</v>
      </c>
      <c r="N161" s="141">
        <f t="shared" si="163"/>
        <v>9.56162334145681</v>
      </c>
      <c r="O161" s="141">
        <f t="shared" si="163"/>
        <v>9.187503867403315</v>
      </c>
      <c r="P161" s="141">
        <f t="shared" si="163"/>
        <v>7.7337481174698794</v>
      </c>
      <c r="Q161" s="141">
        <f t="shared" si="163"/>
        <v>7.225055587613003</v>
      </c>
      <c r="R161" s="141">
        <f t="shared" si="163"/>
        <v>7.786129177573507</v>
      </c>
      <c r="S161" s="141">
        <f t="shared" si="163"/>
        <v>6.896193926756157</v>
      </c>
      <c r="T161" s="141">
        <f t="shared" si="163"/>
        <v>6.511208366640021</v>
      </c>
      <c r="U161" s="141">
        <f t="shared" si="163"/>
        <v>6.527207388804441</v>
      </c>
      <c r="V161" s="141">
        <f t="shared" si="163"/>
        <v>6.650888903610467</v>
      </c>
      <c r="W161" s="141">
        <f t="shared" si="163"/>
        <v>6.636709095730575</v>
      </c>
      <c r="X161" s="141">
        <f t="shared" si="163"/>
        <v>6.947888846005403</v>
      </c>
      <c r="Y161" s="141">
        <f aca="true" t="shared" si="173" ref="Y161">Y89/SUM(Y$87:Y$90)*SUM(Y$91:Y$92)+Y89</f>
        <v>7.178500606137945</v>
      </c>
      <c r="Z161" s="141">
        <f aca="true" t="shared" si="174" ref="Z161">Z89/SUM(Z$87:Z$90)*SUM(Z$91:Z$92)+Z89</f>
        <v>7.363764804217835</v>
      </c>
      <c r="AA161" s="141">
        <f aca="true" t="shared" si="175" ref="AA161">AA89/SUM(AA$87:AA$90)*SUM(AA$91:AA$92)+AA89</f>
        <v>7.187929299750152</v>
      </c>
      <c r="AB161" s="14"/>
    </row>
    <row r="162" spans="2:28" ht="15">
      <c r="B162" s="13"/>
      <c r="C162" s="130" t="str">
        <f aca="true" t="shared" si="176" ref="C162:F162">C127</f>
        <v>DMI</v>
      </c>
      <c r="D162" s="132" t="str">
        <f t="shared" si="176"/>
        <v>Direct material inputs</v>
      </c>
      <c r="E162" s="132" t="str">
        <f t="shared" si="176"/>
        <v>MF4</v>
      </c>
      <c r="F162" s="133" t="str">
        <f t="shared" si="176"/>
        <v>Fossil energy materials/carriers</v>
      </c>
      <c r="G162" s="141">
        <f t="shared" si="168"/>
        <v>4.106268858682341</v>
      </c>
      <c r="H162" s="141">
        <f t="shared" si="163"/>
        <v>4.088149664019548</v>
      </c>
      <c r="I162" s="141">
        <f t="shared" si="163"/>
        <v>4.190446771167463</v>
      </c>
      <c r="J162" s="141">
        <f t="shared" si="163"/>
        <v>4.311486832611832</v>
      </c>
      <c r="K162" s="141">
        <f t="shared" si="163"/>
        <v>4.3318093919464635</v>
      </c>
      <c r="L162" s="141">
        <f t="shared" si="163"/>
        <v>4.311792243450406</v>
      </c>
      <c r="M162" s="141">
        <f t="shared" si="163"/>
        <v>4.34794696800179</v>
      </c>
      <c r="N162" s="141">
        <f t="shared" si="163"/>
        <v>4.281353912808015</v>
      </c>
      <c r="O162" s="141">
        <f t="shared" si="163"/>
        <v>4.242553812154696</v>
      </c>
      <c r="P162" s="141">
        <f t="shared" si="163"/>
        <v>3.928253012048193</v>
      </c>
      <c r="Q162" s="141">
        <f t="shared" si="163"/>
        <v>3.97508982496634</v>
      </c>
      <c r="R162" s="141">
        <f t="shared" si="163"/>
        <v>4.025988677177817</v>
      </c>
      <c r="S162" s="141">
        <f t="shared" si="163"/>
        <v>3.9999536035448977</v>
      </c>
      <c r="T162" s="141">
        <f t="shared" si="163"/>
        <v>3.8633841593391955</v>
      </c>
      <c r="U162" s="141">
        <f t="shared" si="163"/>
        <v>3.7590666182010444</v>
      </c>
      <c r="V162" s="141">
        <f t="shared" si="163"/>
        <v>3.826428353759523</v>
      </c>
      <c r="W162" s="141">
        <f t="shared" si="163"/>
        <v>3.7470173693980375</v>
      </c>
      <c r="X162" s="141">
        <f t="shared" si="163"/>
        <v>3.7812257815515244</v>
      </c>
      <c r="Y162" s="141">
        <f aca="true" t="shared" si="177" ref="Y162">Y90/SUM(Y$87:Y$90)*SUM(Y$91:Y$92)+Y90</f>
        <v>3.7487725387609263</v>
      </c>
      <c r="Z162" s="141">
        <f aca="true" t="shared" si="178" ref="Z162">Z90/SUM(Z$87:Z$90)*SUM(Z$91:Z$92)+Z90</f>
        <v>3.4868224779785253</v>
      </c>
      <c r="AA162" s="141">
        <f aca="true" t="shared" si="179" ref="AA162">AA90/SUM(AA$87:AA$90)*SUM(AA$91:AA$92)+AA90</f>
        <v>2.990170504422986</v>
      </c>
      <c r="AB162" s="14"/>
    </row>
    <row r="163" spans="2:28" ht="15">
      <c r="B163" s="13"/>
      <c r="C163" s="109" t="str">
        <f aca="true" t="shared" si="180" ref="C163:F163">C128</f>
        <v>PTB</v>
      </c>
      <c r="D163" s="109" t="str">
        <f t="shared" si="180"/>
        <v>Physical trade balance</v>
      </c>
      <c r="E163" s="109" t="str">
        <f t="shared" si="180"/>
        <v>TOTAL</v>
      </c>
      <c r="F163" s="134" t="str">
        <f t="shared" si="180"/>
        <v>Total</v>
      </c>
      <c r="G163" s="141">
        <f>G65-G72</f>
        <v>2.4290000000000003</v>
      </c>
      <c r="H163" s="141">
        <f aca="true" t="shared" si="181" ref="H163:X163">H65-H72</f>
        <v>2.378</v>
      </c>
      <c r="I163" s="141">
        <f t="shared" si="181"/>
        <v>2.4699999999999998</v>
      </c>
      <c r="J163" s="141">
        <f t="shared" si="181"/>
        <v>2.63</v>
      </c>
      <c r="K163" s="141">
        <f t="shared" si="181"/>
        <v>2.685</v>
      </c>
      <c r="L163" s="141">
        <f t="shared" si="181"/>
        <v>2.6719999999999997</v>
      </c>
      <c r="M163" s="141">
        <f t="shared" si="181"/>
        <v>2.7110000000000003</v>
      </c>
      <c r="N163" s="141">
        <f t="shared" si="181"/>
        <v>2.739</v>
      </c>
      <c r="O163" s="141">
        <f t="shared" si="181"/>
        <v>2.66</v>
      </c>
      <c r="P163" s="141">
        <f t="shared" si="181"/>
        <v>2.118</v>
      </c>
      <c r="Q163" s="141">
        <f t="shared" si="181"/>
        <v>2.233</v>
      </c>
      <c r="R163" s="141">
        <f t="shared" si="181"/>
        <v>2.25</v>
      </c>
      <c r="S163" s="141">
        <f t="shared" si="181"/>
        <v>2.0300000000000002</v>
      </c>
      <c r="T163" s="141">
        <f t="shared" si="181"/>
        <v>1.924</v>
      </c>
      <c r="U163" s="141">
        <f t="shared" si="181"/>
        <v>1.9389999999999998</v>
      </c>
      <c r="V163" s="141">
        <f t="shared" si="181"/>
        <v>2.071</v>
      </c>
      <c r="W163" s="141">
        <f t="shared" si="181"/>
        <v>2.0570000000000004</v>
      </c>
      <c r="X163" s="141">
        <f t="shared" si="181"/>
        <v>2.09</v>
      </c>
      <c r="Y163" s="141">
        <f aca="true" t="shared" si="182" ref="Y163:Z163">Y65-Y72</f>
        <v>2.209</v>
      </c>
      <c r="Z163" s="141">
        <f t="shared" si="182"/>
        <v>2.1340000000000003</v>
      </c>
      <c r="AA163" s="141">
        <f aca="true" t="shared" si="183" ref="AA163">AA65-AA72</f>
        <v>1.804</v>
      </c>
      <c r="AB163" s="14"/>
    </row>
    <row r="164" spans="2:28" ht="15">
      <c r="B164" s="13"/>
      <c r="C164" s="109" t="str">
        <f aca="true" t="shared" si="184" ref="C164:F164">C129</f>
        <v>PTB</v>
      </c>
      <c r="D164" s="109" t="str">
        <f t="shared" si="184"/>
        <v>Physical trade balance</v>
      </c>
      <c r="E164" s="109" t="str">
        <f t="shared" si="184"/>
        <v>MF1</v>
      </c>
      <c r="F164" s="137" t="str">
        <f t="shared" si="184"/>
        <v>Biomass</v>
      </c>
      <c r="G164" s="141">
        <f>G144-G149</f>
        <v>0.047345841233142116</v>
      </c>
      <c r="H164" s="141">
        <f aca="true" t="shared" si="185" ref="H164:X166">H144-H149</f>
        <v>0.06619931448974437</v>
      </c>
      <c r="I164" s="141">
        <f t="shared" si="185"/>
        <v>0.07620735907132486</v>
      </c>
      <c r="J164" s="141">
        <f t="shared" si="185"/>
        <v>0.06747547002340032</v>
      </c>
      <c r="K164" s="141">
        <f t="shared" si="185"/>
        <v>0.0785607727922103</v>
      </c>
      <c r="L164" s="141">
        <f t="shared" si="185"/>
        <v>0.047474328136995037</v>
      </c>
      <c r="M164" s="141">
        <f t="shared" si="185"/>
        <v>0.03639442752560296</v>
      </c>
      <c r="N164" s="141">
        <f t="shared" si="185"/>
        <v>0.0940255792152136</v>
      </c>
      <c r="O164" s="141">
        <f t="shared" si="185"/>
        <v>0.05810854239400698</v>
      </c>
      <c r="P164" s="141">
        <f t="shared" si="185"/>
        <v>0.0016300280920141796</v>
      </c>
      <c r="Q164" s="141">
        <f t="shared" si="185"/>
        <v>-0.01777524451493523</v>
      </c>
      <c r="R164" s="141">
        <f t="shared" si="185"/>
        <v>-0.003080122390835438</v>
      </c>
      <c r="S164" s="141">
        <f t="shared" si="185"/>
        <v>-0.017703574542284217</v>
      </c>
      <c r="T164" s="141">
        <f t="shared" si="185"/>
        <v>-0.05137263404534986</v>
      </c>
      <c r="U164" s="141">
        <f t="shared" si="185"/>
        <v>-0.03853157729966383</v>
      </c>
      <c r="V164" s="141">
        <f t="shared" si="185"/>
        <v>-0.06311163326684222</v>
      </c>
      <c r="W164" s="141">
        <f t="shared" si="185"/>
        <v>-0.05109225024230357</v>
      </c>
      <c r="X164" s="141">
        <f t="shared" si="185"/>
        <v>-0.030688825984464985</v>
      </c>
      <c r="Y164" s="141">
        <f aca="true" t="shared" si="186" ref="Y164:Z164">Y144-Y149</f>
        <v>0.008237767388140804</v>
      </c>
      <c r="Z164" s="141">
        <f t="shared" si="186"/>
        <v>-0.02809541305693075</v>
      </c>
      <c r="AA164" s="141">
        <f aca="true" t="shared" si="187" ref="AA164">AA144-AA149</f>
        <v>-0.08543271691580478</v>
      </c>
      <c r="AB164" s="14"/>
    </row>
    <row r="165" spans="2:28" ht="15">
      <c r="B165" s="13"/>
      <c r="C165" s="109" t="str">
        <f aca="true" t="shared" si="188" ref="C165:F165">C130</f>
        <v>PTB</v>
      </c>
      <c r="D165" s="109" t="str">
        <f t="shared" si="188"/>
        <v>Physical trade balance</v>
      </c>
      <c r="E165" s="109" t="str">
        <f t="shared" si="188"/>
        <v>MF2</v>
      </c>
      <c r="F165" s="137" t="str">
        <f t="shared" si="188"/>
        <v>Metal ores (gross ores)</v>
      </c>
      <c r="G165" s="141">
        <f aca="true" t="shared" si="189" ref="G165:V166">G145-G150</f>
        <v>0.3517378424531801</v>
      </c>
      <c r="H165" s="141">
        <f t="shared" si="189"/>
        <v>0.32243817269397035</v>
      </c>
      <c r="I165" s="141">
        <f t="shared" si="189"/>
        <v>0.3020807584693734</v>
      </c>
      <c r="J165" s="141">
        <f t="shared" si="189"/>
        <v>0.3380130718954248</v>
      </c>
      <c r="K165" s="141">
        <f t="shared" si="189"/>
        <v>0.37216628230644216</v>
      </c>
      <c r="L165" s="141">
        <f t="shared" si="189"/>
        <v>0.38637900512162454</v>
      </c>
      <c r="M165" s="141">
        <f t="shared" si="189"/>
        <v>0.3931367472851289</v>
      </c>
      <c r="N165" s="141">
        <f t="shared" si="189"/>
        <v>0.4002581836270065</v>
      </c>
      <c r="O165" s="141">
        <f t="shared" si="189"/>
        <v>0.3676548600644829</v>
      </c>
      <c r="P165" s="141">
        <f t="shared" si="189"/>
        <v>0.13506900052513693</v>
      </c>
      <c r="Q165" s="141">
        <f t="shared" si="189"/>
        <v>0.23792234998678297</v>
      </c>
      <c r="R165" s="141">
        <f t="shared" si="189"/>
        <v>0.2326180151174485</v>
      </c>
      <c r="S165" s="141">
        <f t="shared" si="189"/>
        <v>0.1596320836965998</v>
      </c>
      <c r="T165" s="141">
        <f t="shared" si="189"/>
        <v>0.20019281716408527</v>
      </c>
      <c r="U165" s="141">
        <f t="shared" si="189"/>
        <v>0.21846797190420014</v>
      </c>
      <c r="V165" s="141">
        <f t="shared" si="189"/>
        <v>0.2742933655330065</v>
      </c>
      <c r="W165" s="141">
        <f t="shared" si="185"/>
        <v>0.258292642427484</v>
      </c>
      <c r="X165" s="141">
        <f t="shared" si="185"/>
        <v>0.2547215142790896</v>
      </c>
      <c r="Y165" s="141">
        <f aca="true" t="shared" si="190" ref="Y165:Z165">Y145-Y150</f>
        <v>0.2939805189076165</v>
      </c>
      <c r="Z165" s="141">
        <f t="shared" si="190"/>
        <v>0.25473012711427395</v>
      </c>
      <c r="AA165" s="141">
        <f aca="true" t="shared" si="191" ref="AA165">AA145-AA150</f>
        <v>0.20459438907695748</v>
      </c>
      <c r="AB165" s="14"/>
    </row>
    <row r="166" spans="2:28" ht="15">
      <c r="B166" s="13"/>
      <c r="C166" s="109" t="str">
        <f aca="true" t="shared" si="192" ref="C166:F166">C131</f>
        <v>PTB</v>
      </c>
      <c r="D166" s="109" t="str">
        <f t="shared" si="192"/>
        <v>Physical trade balance</v>
      </c>
      <c r="E166" s="109" t="str">
        <f t="shared" si="192"/>
        <v>MF3</v>
      </c>
      <c r="F166" s="137" t="str">
        <f t="shared" si="192"/>
        <v>Non-metallic minerals</v>
      </c>
      <c r="G166" s="141">
        <f t="shared" si="189"/>
        <v>0.037811538019810575</v>
      </c>
      <c r="H166" s="141">
        <f t="shared" si="185"/>
        <v>0.041510262044732044</v>
      </c>
      <c r="I166" s="141">
        <f t="shared" si="185"/>
        <v>0.044137559654722436</v>
      </c>
      <c r="J166" s="141">
        <f t="shared" si="185"/>
        <v>0.058549987896393124</v>
      </c>
      <c r="K166" s="141">
        <f t="shared" si="185"/>
        <v>0.0647907957134182</v>
      </c>
      <c r="L166" s="141">
        <f t="shared" si="185"/>
        <v>0.05923462695446388</v>
      </c>
      <c r="M166" s="141">
        <f t="shared" si="185"/>
        <v>0.07300168976472213</v>
      </c>
      <c r="N166" s="141">
        <f t="shared" si="185"/>
        <v>0.09815376226826608</v>
      </c>
      <c r="O166" s="141">
        <f t="shared" si="185"/>
        <v>0.06860336150485527</v>
      </c>
      <c r="P166" s="141">
        <f t="shared" si="185"/>
        <v>0.026111402586305815</v>
      </c>
      <c r="Q166" s="141">
        <f t="shared" si="185"/>
        <v>0.028393338620142733</v>
      </c>
      <c r="R166" s="141">
        <f t="shared" si="185"/>
        <v>0.03565152350822706</v>
      </c>
      <c r="S166" s="141">
        <f t="shared" si="185"/>
        <v>-0.022464690496948575</v>
      </c>
      <c r="T166" s="141">
        <f t="shared" si="185"/>
        <v>-0.044215664633244195</v>
      </c>
      <c r="U166" s="141">
        <f t="shared" si="185"/>
        <v>-0.05251658625028249</v>
      </c>
      <c r="V166" s="141">
        <f t="shared" si="185"/>
        <v>-0.058653922237714234</v>
      </c>
      <c r="W166" s="141">
        <f t="shared" si="185"/>
        <v>-0.048496879899820045</v>
      </c>
      <c r="X166" s="141">
        <f t="shared" si="185"/>
        <v>-0.027178561077404628</v>
      </c>
      <c r="Y166" s="141">
        <f aca="true" t="shared" si="193" ref="Y166:Z166">Y146-Y151</f>
        <v>-0.011376261899755241</v>
      </c>
      <c r="Z166" s="141">
        <f t="shared" si="193"/>
        <v>0.017463361179867964</v>
      </c>
      <c r="AA166" s="141">
        <f aca="true" t="shared" si="194" ref="AA166">AA146-AA151</f>
        <v>0.022808096837641095</v>
      </c>
      <c r="AB166" s="14"/>
    </row>
    <row r="167" spans="2:28" ht="15">
      <c r="B167" s="13"/>
      <c r="C167" s="110" t="str">
        <f aca="true" t="shared" si="195" ref="C167:F167">C132</f>
        <v>PTB</v>
      </c>
      <c r="D167" s="110" t="str">
        <f t="shared" si="195"/>
        <v>Physical trade balance</v>
      </c>
      <c r="E167" s="110" t="str">
        <f t="shared" si="195"/>
        <v>MF4</v>
      </c>
      <c r="F167" s="138" t="str">
        <f t="shared" si="195"/>
        <v>Fossil energy materials/carriers</v>
      </c>
      <c r="G167" s="253">
        <f>G147-G152</f>
        <v>1.9911047782938671</v>
      </c>
      <c r="H167" s="253">
        <f aca="true" t="shared" si="196" ref="H167:X167">H147-H152</f>
        <v>1.946852250771553</v>
      </c>
      <c r="I167" s="253">
        <f t="shared" si="196"/>
        <v>2.0495743228045793</v>
      </c>
      <c r="J167" s="253">
        <f t="shared" si="196"/>
        <v>2.165961470184782</v>
      </c>
      <c r="K167" s="253">
        <f t="shared" si="196"/>
        <v>2.1694821491879295</v>
      </c>
      <c r="L167" s="253">
        <f t="shared" si="196"/>
        <v>2.1779120397869165</v>
      </c>
      <c r="M167" s="253">
        <f t="shared" si="196"/>
        <v>2.208467135424546</v>
      </c>
      <c r="N167" s="253">
        <f t="shared" si="196"/>
        <v>2.148562474889514</v>
      </c>
      <c r="O167" s="253">
        <f t="shared" si="196"/>
        <v>2.165633236036655</v>
      </c>
      <c r="P167" s="253">
        <f t="shared" si="196"/>
        <v>1.9541895687965432</v>
      </c>
      <c r="Q167" s="253">
        <f t="shared" si="196"/>
        <v>1.9844595559080098</v>
      </c>
      <c r="R167" s="253">
        <f t="shared" si="196"/>
        <v>1.98581058376516</v>
      </c>
      <c r="S167" s="253">
        <f t="shared" si="196"/>
        <v>1.909536181342633</v>
      </c>
      <c r="T167" s="253">
        <f t="shared" si="196"/>
        <v>1.8213954815145086</v>
      </c>
      <c r="U167" s="253">
        <f t="shared" si="196"/>
        <v>1.8115801916457464</v>
      </c>
      <c r="V167" s="253">
        <f t="shared" si="196"/>
        <v>1.9174721899715497</v>
      </c>
      <c r="W167" s="253">
        <f t="shared" si="196"/>
        <v>1.8972964877146394</v>
      </c>
      <c r="X167" s="253">
        <f t="shared" si="196"/>
        <v>1.8941458727827802</v>
      </c>
      <c r="Y167" s="253">
        <f aca="true" t="shared" si="197" ref="Y167:Z167">Y147-Y152</f>
        <v>1.9191579756039978</v>
      </c>
      <c r="Z167" s="253">
        <f t="shared" si="197"/>
        <v>1.888901924762789</v>
      </c>
      <c r="AA167" s="253">
        <f aca="true" t="shared" si="198" ref="AA167">AA147-AA152</f>
        <v>1.6610302310012064</v>
      </c>
      <c r="AB167" s="14"/>
    </row>
    <row r="168" spans="2:28" ht="12.75" thickBot="1">
      <c r="B168" s="16"/>
      <c r="C168" s="142"/>
      <c r="D168" s="142"/>
      <c r="E168" s="142"/>
      <c r="F168" s="17"/>
      <c r="G168" s="17"/>
      <c r="H168" s="17"/>
      <c r="I168" s="17"/>
      <c r="J168" s="17"/>
      <c r="K168" s="17"/>
      <c r="L168" s="17"/>
      <c r="M168" s="17"/>
      <c r="N168" s="17"/>
      <c r="O168" s="17"/>
      <c r="P168" s="17"/>
      <c r="Q168" s="17"/>
      <c r="R168" s="17"/>
      <c r="S168" s="17"/>
      <c r="T168" s="17"/>
      <c r="U168" s="17"/>
      <c r="V168" s="17"/>
      <c r="W168" s="17"/>
      <c r="X168" s="17"/>
      <c r="Y168" s="17"/>
      <c r="Z168" s="17"/>
      <c r="AA168" s="17"/>
      <c r="AB168" s="18"/>
    </row>
    <row r="172" spans="3:27" ht="15">
      <c r="C172" s="8"/>
      <c r="D172" s="8"/>
      <c r="E172" s="8"/>
      <c r="F172" s="8"/>
      <c r="G172" s="8">
        <v>2000</v>
      </c>
      <c r="H172" s="9">
        <v>2001</v>
      </c>
      <c r="I172" s="8">
        <v>2002</v>
      </c>
      <c r="J172" s="9">
        <v>2003</v>
      </c>
      <c r="K172" s="8">
        <v>2004</v>
      </c>
      <c r="L172" s="9">
        <v>2005</v>
      </c>
      <c r="M172" s="8">
        <v>2006</v>
      </c>
      <c r="N172" s="9">
        <v>2007</v>
      </c>
      <c r="O172" s="8">
        <v>2008</v>
      </c>
      <c r="P172" s="9">
        <v>2009</v>
      </c>
      <c r="Q172" s="8">
        <v>2010</v>
      </c>
      <c r="R172" s="9">
        <v>2011</v>
      </c>
      <c r="S172" s="8">
        <v>2012</v>
      </c>
      <c r="T172" s="9">
        <v>2013</v>
      </c>
      <c r="U172" s="8">
        <v>2014</v>
      </c>
      <c r="V172" s="9">
        <v>2015</v>
      </c>
      <c r="W172" s="9">
        <v>2016</v>
      </c>
      <c r="X172" s="9">
        <v>2017</v>
      </c>
      <c r="Y172" s="9">
        <v>2018</v>
      </c>
      <c r="Z172" s="9">
        <v>2019</v>
      </c>
      <c r="AA172" s="9">
        <v>2020</v>
      </c>
    </row>
    <row r="173" spans="7:27" ht="15">
      <c r="G173" s="8"/>
      <c r="H173" s="9"/>
      <c r="I173" s="8"/>
      <c r="J173" s="9"/>
      <c r="K173" s="8"/>
      <c r="L173" s="9"/>
      <c r="M173" s="8"/>
      <c r="N173" s="270" t="s">
        <v>321</v>
      </c>
      <c r="O173" s="271"/>
      <c r="P173" s="270"/>
      <c r="Q173" s="271" t="s">
        <v>322</v>
      </c>
      <c r="R173" s="270"/>
      <c r="S173" s="271"/>
      <c r="T173" s="270"/>
      <c r="U173" s="271"/>
      <c r="V173" s="270"/>
      <c r="W173" s="270"/>
      <c r="X173" s="270" t="s">
        <v>323</v>
      </c>
      <c r="Y173" s="270" t="s">
        <v>323</v>
      </c>
      <c r="Z173" s="270" t="s">
        <v>323</v>
      </c>
      <c r="AA173" s="270" t="s">
        <v>323</v>
      </c>
    </row>
    <row r="174" spans="3:27" ht="15">
      <c r="C174" s="267" t="s">
        <v>80</v>
      </c>
      <c r="D174" s="267" t="s">
        <v>1</v>
      </c>
      <c r="E174" s="267" t="s">
        <v>85</v>
      </c>
      <c r="F174" s="267" t="s">
        <v>33</v>
      </c>
      <c r="G174" s="267"/>
      <c r="H174" s="267"/>
      <c r="I174" s="267"/>
      <c r="J174" s="267"/>
      <c r="K174" s="267"/>
      <c r="L174" s="267"/>
      <c r="M174" s="267"/>
      <c r="N174" s="269">
        <f>N141/G141-1</f>
        <v>0.25462207721587804</v>
      </c>
      <c r="O174" s="267"/>
      <c r="P174" s="267"/>
      <c r="Q174" s="269">
        <f>Q141/N141-1</f>
        <v>-0.24607216383140096</v>
      </c>
      <c r="R174" s="267"/>
      <c r="S174" s="267"/>
      <c r="T174" s="267"/>
      <c r="U174" s="267"/>
      <c r="V174" s="267"/>
      <c r="W174" s="267"/>
      <c r="X174" s="269">
        <f>X141/$Q141-1</f>
        <v>-0.04167864328830129</v>
      </c>
      <c r="Y174" s="269">
        <f>Y141/$Q141-1</f>
        <v>-0.010778959471112404</v>
      </c>
      <c r="Z174" s="269">
        <f>Z141/$Q141-1</f>
        <v>0.013078470824949617</v>
      </c>
      <c r="AA174" s="269">
        <f>AA141/$Q141-1</f>
        <v>-0.010778959471112404</v>
      </c>
    </row>
  </sheetData>
  <printOptions/>
  <pageMargins left="0.7" right="0.7" top="0.75" bottom="0.75" header="0.3" footer="0.3"/>
  <pageSetup horizontalDpi="600" verticalDpi="600" orientation="portrait" paperSize="9" r:id="rId1"/>
  <ignoredErrors>
    <ignoredError sqref="I1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(ESTAT);Maaike.BOUWMEESTER@ec.europa.eu</dc:creator>
  <cp:keywords/>
  <dc:description/>
  <cp:lastModifiedBy>VERDON Dominique (ESTAT)</cp:lastModifiedBy>
  <cp:lastPrinted>2017-11-14T15:24:01Z</cp:lastPrinted>
  <dcterms:created xsi:type="dcterms:W3CDTF">2014-08-08T07:56:32Z</dcterms:created>
  <dcterms:modified xsi:type="dcterms:W3CDTF">2021-09-20T12:32:34Z</dcterms:modified>
  <cp:category/>
  <cp:version/>
  <cp:contentType/>
  <cp:contentStatus/>
</cp:coreProperties>
</file>