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01" windowWidth="15135" windowHeight="10650" tabRatio="1000" activeTab="7"/>
  </bookViews>
  <sheets>
    <sheet name="Figure_1" sheetId="1" r:id="rId1"/>
    <sheet name="Figure_2" sheetId="2" r:id="rId2"/>
    <sheet name="Figure_3" sheetId="3" r:id="rId3"/>
    <sheet name="Figure_4" sheetId="4" r:id="rId4"/>
    <sheet name="Figure_5" sheetId="5" r:id="rId5"/>
    <sheet name="Figure_6" sheetId="6" r:id="rId6"/>
    <sheet name="Figure_7" sheetId="7" r:id="rId7"/>
    <sheet name="Figure_8" sheetId="8" r:id="rId8"/>
    <sheet name="Table 2" sheetId="9" r:id="rId9"/>
    <sheet name="Acidifying gases" sheetId="10" r:id="rId10"/>
    <sheet name="Acid_gases_2000_NACErev1.1" sheetId="11" r:id="rId11"/>
    <sheet name="Acid_gases_2011_NACErev2" sheetId="12" r:id="rId12"/>
    <sheet name="Tropospheric ozone percursors" sheetId="13" r:id="rId13"/>
    <sheet name="Trop_Ozone_2000_NACErev1.1" sheetId="14" r:id="rId14"/>
    <sheet name="Trop_Ozone_2011_NACErev2" sheetId="15" r:id="rId15"/>
    <sheet name="GVAEU27-2000-2011" sheetId="16" r:id="rId16"/>
  </sheets>
  <definedNames>
    <definedName name="_xlnm.Print_Area" localSheetId="9">'Acidifying gases'!$A$34:$N$95</definedName>
    <definedName name="_xlnm.Print_Area" localSheetId="0">'Figure_1'!$A$8:$O$36</definedName>
    <definedName name="_xlnm.Print_Area" localSheetId="1">'Figure_2'!$A$1:$O$38</definedName>
    <definedName name="_xlnm.Print_Area" localSheetId="2">'Figure_3'!$A$1:$F$40</definedName>
    <definedName name="_xlnm.Print_Area" localSheetId="3">'Figure_4'!$A$1:$Q$20</definedName>
    <definedName name="_xlnm.Print_Area" localSheetId="4">'Figure_5'!$A$1:$N$38</definedName>
    <definedName name="_xlnm.Print_Area" localSheetId="5">'Figure_6'!$A$1:$P$47</definedName>
    <definedName name="_xlnm.Print_Area" localSheetId="6">'Figure_7'!$A$1:$G$40</definedName>
    <definedName name="_xlnm.Print_Area" localSheetId="7">'Figure_8'!$A$1:$P$16</definedName>
    <definedName name="_xlnm.Print_Area" localSheetId="8">'Table 2'!$A$3:$G$26</definedName>
    <definedName name="_xlnm.Print_Area" localSheetId="12">'Tropospheric ozone percursors'!$A$31:$O$100</definedName>
  </definedNames>
  <calcPr fullCalcOnLoad="1"/>
</workbook>
</file>

<file path=xl/sharedStrings.xml><?xml version="1.0" encoding="utf-8"?>
<sst xmlns="http://schemas.openxmlformats.org/spreadsheetml/2006/main" count="1473" uniqueCount="325">
  <si>
    <t>Last update</t>
  </si>
  <si>
    <t>Extracted on</t>
  </si>
  <si>
    <t>Eurostat</t>
  </si>
  <si>
    <t>UNIT</t>
  </si>
  <si>
    <t>Tonnes</t>
  </si>
  <si>
    <t/>
  </si>
  <si>
    <t>NACE_R2</t>
  </si>
  <si>
    <t>Total - All NACE activities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</si>
  <si>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</si>
  <si>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</si>
  <si>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</si>
  <si>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</si>
  <si>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</si>
  <si>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</si>
  <si>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</si>
  <si>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</si>
  <si>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</si>
  <si>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</si>
  <si>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</si>
  <si>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</si>
  <si>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</si>
  <si>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</si>
  <si>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</si>
  <si>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</si>
  <si>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</si>
  <si>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</si>
  <si>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</si>
  <si>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</si>
  <si>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extraterritorial organisations and bodies</t>
  </si>
  <si>
    <t>EU27</t>
  </si>
  <si>
    <t>Agriculture, forestry &amp; fishing</t>
  </si>
  <si>
    <t>Mining &amp; quarrying</t>
  </si>
  <si>
    <t>Total activities by households</t>
  </si>
  <si>
    <t>:</t>
  </si>
  <si>
    <t>AI</t>
  </si>
  <si>
    <t>SO2</t>
  </si>
  <si>
    <t>NOx</t>
  </si>
  <si>
    <t>CO</t>
  </si>
  <si>
    <t>NMVOC</t>
  </si>
  <si>
    <t>GEO/TIME</t>
  </si>
  <si>
    <t>NH3</t>
  </si>
  <si>
    <t>Acidifying potential</t>
  </si>
  <si>
    <t>Conversion factors</t>
  </si>
  <si>
    <t>CH4</t>
  </si>
  <si>
    <t>TOFP</t>
  </si>
  <si>
    <t>Mg TOFP Equivalent</t>
  </si>
  <si>
    <t>source: EEA</t>
  </si>
  <si>
    <t>http://www.google.com/url?sa=t&amp;rct=j&amp;q=&amp;esrc=s&amp;frm=1&amp;source=web&amp;cd=1&amp;ved=0CDoQFjAA&amp;url=http%3A%2F%2Fwww.eea.europa.eu%2Fdata-and-maps%2Fdata%2Feea-aggregated-and-gap-filled-air-emission-data-2%2Fair-emissions-factors-and-gap-filling-methodology%2Fair-emissions-factors-and-gap-filling-methodology%2Fat_download%2Ffile&amp;ei=zdNJUcPCJYnXOa7cgfgI&amp;usg=AFQjCNG9CK1vmR1GeJtTcDKIKlrPS89afg&amp;sig2=IYTHLI2rWik3Zdb1T7DnLQ&amp;bvm=bv.44011176,d.ZWU</t>
  </si>
  <si>
    <t>Source of data</t>
  </si>
  <si>
    <t>Tropospheric Ozone Formation Potential</t>
  </si>
  <si>
    <t>Total TOFP</t>
  </si>
  <si>
    <t>Theme</t>
  </si>
  <si>
    <t>Unit</t>
  </si>
  <si>
    <t>Substance</t>
  </si>
  <si>
    <t xml:space="preserve">Acidifying potential </t>
  </si>
  <si>
    <t>SO2-equivalents</t>
  </si>
  <si>
    <t>Nitrogen oxide (NOx)</t>
  </si>
  <si>
    <t>Tropospheric Ozone Formation Potential (TOFP)</t>
  </si>
  <si>
    <t>Carbon monoxide (CO)</t>
  </si>
  <si>
    <t>Non-Methane Volatile Organic Compounds (NMVOC)</t>
  </si>
  <si>
    <t>SO2 equivalents</t>
  </si>
  <si>
    <t>INDIC_NA</t>
  </si>
  <si>
    <t>NACE</t>
  </si>
  <si>
    <t>GEO</t>
  </si>
  <si>
    <t>European Union (27 countries)</t>
  </si>
  <si>
    <t>Air emissions accounts by industry and households (NACE Rev. 1.1) [env_ac_ainah_r1]</t>
  </si>
  <si>
    <t>Sulphur oxides</t>
  </si>
  <si>
    <t>Nitrogen oxides</t>
  </si>
  <si>
    <t>Methane</t>
  </si>
  <si>
    <t>NACE_R1</t>
  </si>
  <si>
    <t>2000</t>
  </si>
  <si>
    <t>Total - all NACE activities</t>
  </si>
  <si>
    <t>Agriculture, hunting and forestry</t>
  </si>
  <si>
    <t>Fishing</t>
  </si>
  <si>
    <t>Electricity, gas and water supply</t>
  </si>
  <si>
    <t>Wholesale and retail trade; repair of motor vehicles, motorcycles and personal and household goods</t>
  </si>
  <si>
    <t>Hotels and restaurants</t>
  </si>
  <si>
    <t>Transport, storage and communication</t>
  </si>
  <si>
    <t>Financial intermediation</t>
  </si>
  <si>
    <t>Health and social work</t>
  </si>
  <si>
    <t>Other community, social and personal service activities</t>
  </si>
  <si>
    <t>Extra-territorial organizations and bodies</t>
  </si>
  <si>
    <t>Special value:</t>
  </si>
  <si>
    <t>not available</t>
  </si>
  <si>
    <t>Carbon monoxide</t>
  </si>
  <si>
    <t>Non-methane volatile organic compounds</t>
  </si>
  <si>
    <t>NOX</t>
  </si>
  <si>
    <t>Nox</t>
  </si>
  <si>
    <t>SOX</t>
  </si>
  <si>
    <t>Ammonia</t>
  </si>
  <si>
    <t>Activities of households as employers of domestic staff</t>
  </si>
  <si>
    <t>Total SO2-eq</t>
  </si>
  <si>
    <t>1000 tonnes</t>
  </si>
  <si>
    <t>Real estate, renting and business activities</t>
  </si>
  <si>
    <t>AP total</t>
  </si>
  <si>
    <t>Share of AP total</t>
  </si>
  <si>
    <t>TOTAL</t>
  </si>
  <si>
    <t>tonnes</t>
  </si>
  <si>
    <t>Air emissions accounts by industry and households (NACE Rev. 2) [env_ac_ainah_r1]</t>
  </si>
  <si>
    <t>NACE REV 2</t>
  </si>
  <si>
    <t>1000 TONNES OF NMVOC-EQUIVALENTS</t>
  </si>
  <si>
    <t>Total SO2-equivalents</t>
  </si>
  <si>
    <t>Total NMVOC-equivalents</t>
  </si>
  <si>
    <t>Check</t>
  </si>
  <si>
    <t>AP intensity - volume</t>
  </si>
  <si>
    <t>Households</t>
  </si>
  <si>
    <t>Total NMVOC-equivalents - Households</t>
  </si>
  <si>
    <t>Total AP emissions</t>
  </si>
  <si>
    <t>% difference</t>
  </si>
  <si>
    <t>Nominal change</t>
  </si>
  <si>
    <t>Share</t>
  </si>
  <si>
    <t>Letzte Aktualisierung</t>
  </si>
  <si>
    <t>Exportierte Daten</t>
  </si>
  <si>
    <t>Quelle der Daten</t>
  </si>
  <si>
    <t>Luftemissionsrechnungen nach Branchen und für Haushalte  (NACE Rev. 2) [env_ac_ainah_r2]</t>
  </si>
  <si>
    <t>Tonnen</t>
  </si>
  <si>
    <t>EU28</t>
  </si>
  <si>
    <t>Decrease</t>
  </si>
  <si>
    <t>Electricity, gas, steam and hot water supply</t>
  </si>
  <si>
    <t>Collection, purification and distribution of water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</si>
  <si>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</si>
  <si>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</si>
  <si>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</si>
  <si>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</si>
  <si>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</si>
  <si>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Land transport and transport via pipelines</t>
  </si>
  <si>
    <t>Warehousing and support activities for transportation</t>
  </si>
  <si>
    <t>Postal and courier activities</t>
  </si>
  <si>
    <t>Other services</t>
  </si>
  <si>
    <t>Transport</t>
  </si>
  <si>
    <t>Other services, water supply &amp; construction</t>
  </si>
  <si>
    <t>Total industry</t>
  </si>
  <si>
    <t>Total household</t>
  </si>
  <si>
    <t>Check total</t>
  </si>
  <si>
    <t>Total - all NACE</t>
  </si>
  <si>
    <t>total</t>
  </si>
  <si>
    <t>decrease</t>
  </si>
  <si>
    <t>SOX - Sulphur oxides</t>
  </si>
  <si>
    <t>EU27 - European Union (27 countries)</t>
  </si>
  <si>
    <t>T - Tonnes</t>
  </si>
  <si>
    <t>NACE_R1/TIME</t>
  </si>
  <si>
    <t>TOTAL - Total - all NACE activities</t>
  </si>
  <si>
    <t>A - Agriculture, hunting and forestry</t>
  </si>
  <si>
    <t>B - Fishing</t>
  </si>
  <si>
    <t>C - Mining and quarrying</t>
  </si>
  <si>
    <t>D - Manufacturing</t>
  </si>
  <si>
    <t>E - Electricity, gas and water supply</t>
  </si>
  <si>
    <t>E40 - Electricity, gas, steam and hot water supply</t>
  </si>
  <si>
    <t>E41 - Collection, purification and distribution of water</t>
  </si>
  <si>
    <t>F - Construction</t>
  </si>
  <si>
    <t>G - Wholesale and retail trade; repair of motor vehicles, motorcycles and personal and household goods</t>
  </si>
  <si>
    <t>H - Hotels and restaurants</t>
  </si>
  <si>
    <t>I - Transport, storage and communication</t>
  </si>
  <si>
    <t>I60 - Land transport; transport via pipelines</t>
  </si>
  <si>
    <t>I61 - Water transport</t>
  </si>
  <si>
    <t>I62 - Air transport</t>
  </si>
  <si>
    <t>I63 - Supporting and auxiliary transport activities; activities of travel agencies</t>
  </si>
  <si>
    <t>I64 - Post and telecommunications</t>
  </si>
  <si>
    <t>J - Financial intermediation</t>
  </si>
  <si>
    <t>K - Real estate, renting and business activities</t>
  </si>
  <si>
    <t>L - Public administration and defence; compulsory social security</t>
  </si>
  <si>
    <t>M - Education</t>
  </si>
  <si>
    <t>N - Health and social work</t>
  </si>
  <si>
    <t>O - Other community, social and personal service activities</t>
  </si>
  <si>
    <t>P95 - Activities of households as employers of domestic staff</t>
  </si>
  <si>
    <t>Q - Extra-territorial organizations and bodies</t>
  </si>
  <si>
    <t>HH - Total activities by households</t>
  </si>
  <si>
    <t>NOX - Nitrogen oxides</t>
  </si>
  <si>
    <t>NH3 - Ammonia</t>
  </si>
  <si>
    <t>Air emissions accounts by industry and households (NACE Rev. 2) [env_ac_ainah_r2]</t>
  </si>
  <si>
    <t>NACE_R2/TIME</t>
  </si>
  <si>
    <t>2011</t>
  </si>
  <si>
    <t>TOTAL - Total - All NACE activities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</si>
  <si>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</si>
  <si>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</si>
  <si>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</si>
  <si>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</si>
  <si>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sewerage, waste management and remediation activities</t>
  </si>
  <si>
    <t>G - Wholesale and retail trade; repair of motor vehicles and motorcycles</t>
  </si>
  <si>
    <t>H - Transportation and storage</t>
  </si>
  <si>
    <t>H49 - Land transport and transport via pipelines</t>
  </si>
  <si>
    <t>H50 - Water transport</t>
  </si>
  <si>
    <t>H51 - Air transport</t>
  </si>
  <si>
    <t>H52 - Warehousing and support activities for transportation</t>
  </si>
  <si>
    <t>H53 - Postal and courier activities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</si>
  <si>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</si>
  <si>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</si>
  <si>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</si>
  <si>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</si>
  <si>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</si>
  <si>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</si>
  <si>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</si>
  <si>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</si>
  <si>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</si>
  <si>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</si>
  <si>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</si>
  <si>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</si>
  <si>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organisations and bodies</t>
  </si>
  <si>
    <t>TOTAL NACE&amp;HH</t>
  </si>
  <si>
    <t xml:space="preserve">Total calculated </t>
  </si>
  <si>
    <t xml:space="preserve">diff_ </t>
  </si>
  <si>
    <t>National Accounts by 64 branches - volumes [nama_nace64_k]</t>
  </si>
  <si>
    <t>MIO_EUR_CLV2005 - Millions of euro, chain-linked volumes, reference year 2005 (at 2005 exchange rates)</t>
  </si>
  <si>
    <t>B1G - Gross value added (at basic prices)</t>
  </si>
  <si>
    <t>A01 - Crop and animal production, hunting and related service activities</t>
  </si>
  <si>
    <t>A02 - Forestry and logging</t>
  </si>
  <si>
    <t>A03 - Fishing and aquaculture</t>
  </si>
  <si>
    <t>C10-C12 - Manufacture of food products; beverages and tobacco products</t>
  </si>
  <si>
    <t>C13-C15 - Manufacture of textiles, wearing apparel, leather and related products</t>
  </si>
  <si>
    <t>C16 - Manufacture of wood and of products of wood and cork, except furniture; manufacture of articles of straw and plaiting materials</t>
  </si>
  <si>
    <t>C17 - Manufacture of paper and paper products</t>
  </si>
  <si>
    <t>C18 - Printing and reproduction of recorded media</t>
  </si>
  <si>
    <t>C19 - Manufacture of coke and refined petroleum products</t>
  </si>
  <si>
    <t>C20 - Manufacture of chemicals and chemical products</t>
  </si>
  <si>
    <t>C21 - Manufacture of basic pharmaceutical products and pharmaceutical preparations</t>
  </si>
  <si>
    <t>C22 - Manufacture of rubber and plastic products</t>
  </si>
  <si>
    <t>C23 - Manufacture of other non-metallic mineral products</t>
  </si>
  <si>
    <t>C24 - Manufacture of basic metals</t>
  </si>
  <si>
    <t>C25 - Manufacture of fabricated metal products, except machinery and equipment</t>
  </si>
  <si>
    <t>C26 - Manufacture of computer, electronic and optical products</t>
  </si>
  <si>
    <t>C27 - Manufacture of electrical equipment</t>
  </si>
  <si>
    <t>C28 - Manufacture of machinery and equipment n.e.c.</t>
  </si>
  <si>
    <t>C29 - Manufacture of motor vehicles, trailers and semi-trailers</t>
  </si>
  <si>
    <t>C30 - Manufacture of other transport equipment</t>
  </si>
  <si>
    <t>C31_C32 - Manufacture of furniture; other manufacturing</t>
  </si>
  <si>
    <t>C33 - Repair and installation of machinery and equipment</t>
  </si>
  <si>
    <t>E36 - Water collection, treatment and supply</t>
  </si>
  <si>
    <t>E37-E39 - Sewerage, waste management, remediation activities</t>
  </si>
  <si>
    <t>G45 - Wholesale and retail trade and repair of motor vehicles and motorcycles</t>
  </si>
  <si>
    <t>G46 - Wholesale trade, except of motor vehicles and motorcycles</t>
  </si>
  <si>
    <t>G47 - Retail trade, except of motor vehicles and motorcycles</t>
  </si>
  <si>
    <t>transport</t>
  </si>
  <si>
    <t>H49_H50</t>
  </si>
  <si>
    <t>J58 - Publishing activities</t>
  </si>
  <si>
    <t>J59_J60 - Motion picture, video, television programme production; programming and broadcasting activities</t>
  </si>
  <si>
    <t>J61 - Telecommunications</t>
  </si>
  <si>
    <t>J62_J63 - Computer programming, consultancy, and information service activities</t>
  </si>
  <si>
    <t>K64 - Financial service activities, except insurance and pension funding</t>
  </si>
  <si>
    <t>K65 - Insurance, reinsurance and pension funding, except compulsory social security</t>
  </si>
  <si>
    <t>K66 - Activities auxiliary to financial services and insurance activities</t>
  </si>
  <si>
    <t>M69_M70 - Legal and accounting activities; activities of head offices; management consultancy activities</t>
  </si>
  <si>
    <t>M71 - Architectural and engineering activities; technical testing and analysis</t>
  </si>
  <si>
    <t>M72 - Scientific research and development</t>
  </si>
  <si>
    <t>M73 - Advertising and market research</t>
  </si>
  <si>
    <t>M74_M75 - Other professional, scientific and technical activities; veterinary activities</t>
  </si>
  <si>
    <t>N77 - Rental and leasing activities</t>
  </si>
  <si>
    <t>N78 - Employment activities</t>
  </si>
  <si>
    <t>N79 - Travel agency, tour operator reservation service and related activities</t>
  </si>
  <si>
    <t>N80-N82 - Security and investigation, service and landscape, office administrative and support activities</t>
  </si>
  <si>
    <t>Q86 - Human health activities</t>
  </si>
  <si>
    <t>Q87_Q88 - Residential care activities and social work activities without accommodation</t>
  </si>
  <si>
    <t>R90-R92 - Creative, arts and entertainment activities; libraries, archives, museums and other cultural activities; gambling and betting activities</t>
  </si>
  <si>
    <t>R93 - Sports activities and amusement and recreation activities</t>
  </si>
  <si>
    <t>S94 - Activities of membership organisations</t>
  </si>
  <si>
    <t>S95 - Repair of computers and personal and household goods</t>
  </si>
  <si>
    <t>S96 - Other personal service activities</t>
  </si>
  <si>
    <t>National Accounts by 21 branches - volumes [nama_nace21_k]</t>
  </si>
  <si>
    <t>National Accounts by 10 branches - volumes [nama_nace10_k]</t>
  </si>
  <si>
    <t>B-E - Industry (except construction)</t>
  </si>
  <si>
    <t>G-I - Wholesale and retail trade, transport, accomodation and food service activities</t>
  </si>
  <si>
    <t>M_N - Professional, scientific and technical activities; administrative and support service activities</t>
  </si>
  <si>
    <t>O-Q - Public administration, defence, education, human health and social work activities</t>
  </si>
  <si>
    <t>R-U - Arts, entertainment and recreation; other service activities; activities of household and extra-territorial organizations and bodies</t>
  </si>
  <si>
    <t xml:space="preserve">combination of NACE A*64, A*21 and A*10 </t>
  </si>
  <si>
    <t>CO - Carbon monoxide</t>
  </si>
  <si>
    <t>NMVOC - Non-methane volatile organic compounds</t>
  </si>
  <si>
    <t>CH4 - Methane</t>
  </si>
  <si>
    <t>NMVOC eqv (1,22)</t>
  </si>
  <si>
    <t>NMVOC eqv (0,11)</t>
  </si>
  <si>
    <t>NMVOC eqv (0,014)</t>
  </si>
  <si>
    <t xml:space="preserve">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</si>
  <si>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</si>
  <si>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% of total</t>
  </si>
  <si>
    <t>% change 2011/2000</t>
  </si>
  <si>
    <t>Total</t>
  </si>
  <si>
    <t>% change</t>
  </si>
  <si>
    <t>Abs change 2011/2000</t>
  </si>
  <si>
    <t xml:space="preserve"> </t>
  </si>
  <si>
    <t>2007</t>
  </si>
  <si>
    <t>2006</t>
  </si>
  <si>
    <t>2005</t>
  </si>
  <si>
    <t>2004</t>
  </si>
  <si>
    <t>2003</t>
  </si>
  <si>
    <t>2002</t>
  </si>
  <si>
    <t>2001</t>
  </si>
  <si>
    <t>1999</t>
  </si>
  <si>
    <t>AI/TIME</t>
  </si>
  <si>
    <t>2008</t>
  </si>
  <si>
    <t>2009</t>
  </si>
  <si>
    <t>2010</t>
  </si>
  <si>
    <t>Air emissions accounts by industry and households (NACE Rev. 1.1) [env_ac_ainah_r1];(NACE Rev. 2) [env_ac_ainah_r2] from 2008</t>
  </si>
  <si>
    <t>NMVOCs</t>
  </si>
  <si>
    <t>TOFP TOTAL</t>
  </si>
  <si>
    <t>TOFP intensity</t>
  </si>
  <si>
    <t>Table 2: Calculation of aggregated environmental pressures</t>
  </si>
  <si>
    <r>
      <t>Figure 1: Total acidifying potential emissions, EU 27, 2000 - 2011, (thousand tonnes of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equivalents of 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, NOx and NH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</si>
  <si>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1000 tonnes,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equivalents</t>
    </r>
  </si>
  <si>
    <r>
      <t>1000 tonnes of  SO</t>
    </r>
    <r>
      <rPr>
        <b/>
        <vertAlign val="subscript"/>
        <sz val="9"/>
        <rFont val="Arial"/>
        <family val="2"/>
      </rPr>
      <t xml:space="preserve">2  </t>
    </r>
    <r>
      <rPr>
        <b/>
        <sz val="9"/>
        <rFont val="Arial"/>
        <family val="2"/>
      </rPr>
      <t>equivalents, Total NACE and households</t>
    </r>
  </si>
  <si>
    <r>
      <t>Figure 3: Acidifying potential emissions, analysis by economic activity, EU-27, 2011 (thousand tonnes of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equivalents of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, NOx and NH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</si>
  <si>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Figure 4: Acidifying potential intensity, analysis by economic activity, EU-27, 2000 and 2011 (grammes of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equivalents of SO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, NOx and NH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 xml:space="preserve"> emissions per EUR )</t>
    </r>
  </si>
  <si>
    <r>
      <t>Figure 5: Total Tropospheric ozone formation potential emissions, EU-27, 2000 - 2011 (thousand tonnes of NMVOC equivalents of NOx, CO, NMVOC and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</si>
  <si>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t>1000 tonnes of NMVOC eqvuivalents  - Total NACE and households</t>
  </si>
  <si>
    <r>
      <t>Figure 7: Tropospheric ozone formation potential emissions, analysis by economic activity, EU-27, 2011 (thousand tonnes of NMVOC equivalents of NOx, CO, NMVOC and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</si>
  <si>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t>NMVOC equivalents</t>
  </si>
  <si>
    <r>
      <t>Sulphur dioxide (SO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</si>
  <si>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Ammonia (NH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</si>
  <si>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Methane (CH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</si>
  <si>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equivalents</t>
    </r>
  </si>
  <si>
    <t>Weighing factor</t>
  </si>
  <si>
    <t>Tonnes of NMVOC eqvivalents</t>
  </si>
  <si>
    <t>1000 Tonnes OF NMVOC equivalents</t>
  </si>
  <si>
    <t>Tropospheric ozone formation potential</t>
  </si>
  <si>
    <r>
      <t>Thousand tonnes of SO</t>
    </r>
    <r>
      <rPr>
        <b/>
        <vertAlign val="subscript"/>
        <sz val="9"/>
        <rFont val="Arial"/>
        <family val="2"/>
      </rPr>
      <t xml:space="preserve">2  </t>
    </r>
    <r>
      <rPr>
        <b/>
        <sz val="9"/>
        <rFont val="Arial"/>
        <family val="2"/>
      </rPr>
      <t>equivalents</t>
    </r>
  </si>
  <si>
    <t>tonnes of SO2  equivalents</t>
  </si>
  <si>
    <t>Acidifying gases</t>
  </si>
  <si>
    <r>
      <t>Sulphur dioxide (SO</t>
    </r>
    <r>
      <rPr>
        <vertAlign val="subscript"/>
        <sz val="9"/>
        <rFont val="Arial"/>
        <family val="2"/>
      </rPr>
      <t>2)</t>
    </r>
  </si>
  <si>
    <t xml:space="preserve">Nitrogen oxides (NOx)  </t>
  </si>
  <si>
    <r>
      <t>Ammonia (NH</t>
    </r>
    <r>
      <rPr>
        <vertAlign val="subscript"/>
        <sz val="9"/>
        <rFont val="Arial"/>
        <family val="2"/>
      </rPr>
      <t>3)</t>
    </r>
  </si>
  <si>
    <t>Nitrogen oxides (NOx)</t>
  </si>
  <si>
    <t>Non-methane volatile organic compounds (NMVOC)</t>
  </si>
  <si>
    <r>
      <t>Methane (CH</t>
    </r>
    <r>
      <rPr>
        <vertAlign val="subscript"/>
        <sz val="9"/>
        <rFont val="Arial"/>
        <family val="2"/>
      </rPr>
      <t>4)</t>
    </r>
  </si>
  <si>
    <t>Methane (CH4)</t>
  </si>
  <si>
    <t>Figure 2: Acidifying potential emissions, analysis by economic activity, EU-27, 2000 and 2011 (% of total emissions of tonnes  SO2 equivalents of  SO2, NOx and NH3)</t>
  </si>
  <si>
    <r>
      <t>Figure 6: Tropospheric ozone formation potential emissions, analysis by economic activity, EU-27, 2000 and 2011 (% of total emissions of tonnes of NMVOC equivalents of NOx, CO, NMVOC and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</si>
  <si>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Figure 8: Tropospheric ozone formation potential intensity, analysis by economic activity, EU-27, 2000 and 2011 (grammes of NMVOC equivalents of NOx, CO, NMVOC and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 xml:space="preserve"> per EUR)</t>
    </r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</si>
</sst>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\ &quot;zł&quot;;\-#,##0\ &quot;zł&quot;"/>
    <numFmt numFmtId="185" formatCode="#,##0\ &quot;zł&quot;;[Red]\-#,##0\ &quot;zł&quot;"/>
    <numFmt numFmtId="186" formatCode="#,##0.00\ &quot;zł&quot;;\-#,##0.00\ &quot;zł&quot;"/>
    <numFmt numFmtId="187" formatCode="#,##0.00\ &quot;zł&quot;;[Red]\-#,##0.00\ &quot;zł&quot;"/>
    <numFmt numFmtId="188" formatCode="_-* #,##0\ &quot;zł&quot;_-;\-* #,##0\ &quot;zł&quot;_-;_-* &quot;-&quot;\ &quot;zł&quot;_-;_-@_-"/>
    <numFmt numFmtId="189" formatCode="_-* #,##0\ _z_ł_-;\-* #,##0\ _z_ł_-;_-* &quot;-&quot;\ _z_ł_-;_-@_-"/>
    <numFmt numFmtId="190" formatCode="_-* #,##0.00\ &quot;zł&quot;_-;\-* #,##0.00\ &quot;zł&quot;_-;_-* &quot;-&quot;??\ &quot;zł&quot;_-;_-@_-"/>
    <numFmt numFmtId="191" formatCode="_-* #,##0.00\ _z_ł_-;\-* #,##0.00\ _z_ł_-;_-* &quot;-&quot;??\ _z_ł_-;_-@_-"/>
    <numFmt numFmtId="192" formatCode="dd\.mm\.yy"/>
    <numFmt numFmtId="193" formatCode="#,##0.0"/>
    <numFmt numFmtId="194" formatCode="0.0E+00"/>
    <numFmt numFmtId="195" formatCode="0.0%"/>
    <numFmt numFmtId="196" formatCode="0.0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[$€-2]\ #,##0.00_);[Red]\([$€-2]\ #,##0.00\)"/>
    <numFmt numFmtId="201" formatCode="[$-41D]&quot;den &quot;d\ mmmm\ yyyy"/>
    <numFmt numFmtId="202" formatCode="#,##0.000"/>
    <numFmt numFmtId="203" formatCode="#\ ##0"/>
    <numFmt numFmtId="204" formatCode="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#,##0.0_i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50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0"/>
    </font>
    <font>
      <b/>
      <vertAlign val="subscript"/>
      <sz val="9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208" fontId="1" fillId="0" borderId="0" applyFill="0" applyBorder="0" applyProtection="0">
      <alignment horizontal="right"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1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9" fontId="1" fillId="33" borderId="0" xfId="0" applyNumberFormat="1" applyFont="1" applyFill="1" applyAlignment="1">
      <alignment/>
    </xf>
    <xf numFmtId="0" fontId="1" fillId="34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196" fontId="1" fillId="33" borderId="0" xfId="0" applyNumberFormat="1" applyFont="1" applyFill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34" borderId="14" xfId="0" applyNumberFormat="1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0" fontId="1" fillId="34" borderId="16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34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34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9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21" xfId="0" applyNumberFormat="1" applyFont="1" applyFill="1" applyBorder="1" applyAlignment="1">
      <alignment/>
    </xf>
    <xf numFmtId="0" fontId="1" fillId="34" borderId="22" xfId="0" applyNumberFormat="1" applyFont="1" applyFill="1" applyBorder="1" applyAlignment="1">
      <alignment/>
    </xf>
    <xf numFmtId="0" fontId="1" fillId="34" borderId="23" xfId="0" applyNumberFormat="1" applyFont="1" applyFill="1" applyBorder="1" applyAlignment="1">
      <alignment/>
    </xf>
    <xf numFmtId="0" fontId="1" fillId="34" borderId="24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35" borderId="26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1" fillId="34" borderId="27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196" fontId="1" fillId="33" borderId="13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4" fillId="0" borderId="0" xfId="53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9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4" xfId="0" applyNumberFormat="1" applyFont="1" applyFill="1" applyBorder="1" applyAlignment="1">
      <alignment/>
    </xf>
    <xf numFmtId="0" fontId="1" fillId="34" borderId="38" xfId="0" applyNumberFormat="1" applyFont="1" applyFill="1" applyBorder="1" applyAlignment="1">
      <alignment/>
    </xf>
    <xf numFmtId="0" fontId="1" fillId="34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0" fontId="1" fillId="36" borderId="14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34" borderId="43" xfId="0" applyNumberFormat="1" applyFont="1" applyFill="1" applyBorder="1" applyAlignment="1">
      <alignment/>
    </xf>
    <xf numFmtId="0" fontId="1" fillId="34" borderId="44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" fontId="1" fillId="0" borderId="29" xfId="0" applyNumberFormat="1" applyFont="1" applyBorder="1" applyAlignment="1">
      <alignment/>
    </xf>
    <xf numFmtId="0" fontId="1" fillId="34" borderId="2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0" fontId="1" fillId="34" borderId="45" xfId="0" applyNumberFormat="1" applyFont="1" applyFill="1" applyBorder="1" applyAlignment="1">
      <alignment/>
    </xf>
    <xf numFmtId="0" fontId="1" fillId="34" borderId="46" xfId="0" applyNumberFormat="1" applyFont="1" applyFill="1" applyBorder="1" applyAlignment="1">
      <alignment/>
    </xf>
    <xf numFmtId="0" fontId="1" fillId="34" borderId="47" xfId="0" applyNumberFormat="1" applyFont="1" applyFill="1" applyBorder="1" applyAlignment="1">
      <alignment/>
    </xf>
    <xf numFmtId="0" fontId="1" fillId="34" borderId="48" xfId="0" applyNumberFormat="1" applyFont="1" applyFill="1" applyBorder="1" applyAlignment="1">
      <alignment horizontal="right"/>
    </xf>
    <xf numFmtId="0" fontId="1" fillId="35" borderId="49" xfId="0" applyNumberFormat="1" applyFont="1" applyFill="1" applyBorder="1" applyAlignment="1">
      <alignment horizontal="right"/>
    </xf>
    <xf numFmtId="0" fontId="1" fillId="35" borderId="48" xfId="0" applyNumberFormat="1" applyFont="1" applyFill="1" applyBorder="1" applyAlignment="1">
      <alignment horizontal="right"/>
    </xf>
    <xf numFmtId="0" fontId="1" fillId="35" borderId="50" xfId="0" applyNumberFormat="1" applyFont="1" applyFill="1" applyBorder="1" applyAlignment="1">
      <alignment horizontal="right"/>
    </xf>
    <xf numFmtId="0" fontId="1" fillId="35" borderId="51" xfId="0" applyNumberFormat="1" applyFont="1" applyFill="1" applyBorder="1" applyAlignment="1">
      <alignment horizontal="right"/>
    </xf>
    <xf numFmtId="0" fontId="1" fillId="35" borderId="52" xfId="0" applyNumberFormat="1" applyFont="1" applyFill="1" applyBorder="1" applyAlignment="1">
      <alignment/>
    </xf>
    <xf numFmtId="0" fontId="1" fillId="35" borderId="46" xfId="0" applyNumberFormat="1" applyFont="1" applyFill="1" applyBorder="1" applyAlignment="1">
      <alignment/>
    </xf>
    <xf numFmtId="0" fontId="1" fillId="35" borderId="53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/>
    </xf>
    <xf numFmtId="0" fontId="1" fillId="34" borderId="14" xfId="59" applyNumberFormat="1" applyFont="1" applyFill="1" applyBorder="1" applyAlignment="1">
      <alignment/>
      <protection/>
    </xf>
    <xf numFmtId="0" fontId="1" fillId="34" borderId="27" xfId="59" applyNumberFormat="1" applyFont="1" applyFill="1" applyBorder="1" applyAlignment="1">
      <alignment/>
      <protection/>
    </xf>
    <xf numFmtId="0" fontId="2" fillId="33" borderId="0" xfId="0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196" fontId="1" fillId="33" borderId="0" xfId="0" applyNumberFormat="1" applyFont="1" applyFill="1" applyBorder="1" applyAlignment="1">
      <alignment/>
    </xf>
    <xf numFmtId="4" fontId="1" fillId="36" borderId="45" xfId="58" applyNumberFormat="1" applyFont="1" applyFill="1" applyBorder="1" applyAlignment="1">
      <alignment/>
      <protection/>
    </xf>
    <xf numFmtId="4" fontId="1" fillId="36" borderId="13" xfId="58" applyNumberFormat="1" applyFont="1" applyFill="1" applyBorder="1" applyAlignment="1">
      <alignment/>
      <protection/>
    </xf>
    <xf numFmtId="4" fontId="1" fillId="0" borderId="45" xfId="58" applyNumberFormat="1" applyFont="1" applyFill="1" applyBorder="1" applyAlignment="1">
      <alignment/>
      <protection/>
    </xf>
    <xf numFmtId="4" fontId="1" fillId="0" borderId="13" xfId="58" applyNumberFormat="1" applyFont="1" applyFill="1" applyBorder="1" applyAlignment="1">
      <alignment/>
      <protection/>
    </xf>
    <xf numFmtId="4" fontId="1" fillId="0" borderId="14" xfId="58" applyNumberFormat="1" applyFont="1" applyFill="1" applyBorder="1" applyAlignment="1">
      <alignment/>
      <protection/>
    </xf>
    <xf numFmtId="4" fontId="1" fillId="33" borderId="13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59" applyFont="1">
      <alignment/>
      <protection/>
    </xf>
    <xf numFmtId="3" fontId="1" fillId="0" borderId="0" xfId="59" applyNumberFormat="1" applyFont="1">
      <alignment/>
      <protection/>
    </xf>
    <xf numFmtId="195" fontId="1" fillId="0" borderId="0" xfId="64" applyNumberFormat="1" applyFont="1" applyAlignment="1">
      <alignment/>
    </xf>
    <xf numFmtId="9" fontId="1" fillId="33" borderId="13" xfId="0" applyNumberFormat="1" applyFont="1" applyFill="1" applyBorder="1" applyAlignment="1">
      <alignment/>
    </xf>
    <xf numFmtId="9" fontId="1" fillId="33" borderId="13" xfId="0" applyNumberFormat="1" applyFont="1" applyFill="1" applyBorder="1" applyAlignment="1">
      <alignment/>
    </xf>
    <xf numFmtId="193" fontId="1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19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37" borderId="13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193" fontId="1" fillId="0" borderId="45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37" borderId="14" xfId="0" applyNumberFormat="1" applyFont="1" applyFill="1" applyBorder="1" applyAlignment="1">
      <alignment/>
    </xf>
    <xf numFmtId="0" fontId="2" fillId="0" borderId="0" xfId="58" applyNumberFormat="1" applyFont="1" applyFill="1" applyBorder="1" applyAlignment="1">
      <alignment/>
      <protection/>
    </xf>
    <xf numFmtId="0" fontId="1" fillId="0" borderId="0" xfId="58" applyFont="1">
      <alignment/>
      <protection/>
    </xf>
    <xf numFmtId="0" fontId="1" fillId="0" borderId="0" xfId="58" applyNumberFormat="1" applyFont="1" applyFill="1" applyBorder="1" applyAlignment="1">
      <alignment/>
      <protection/>
    </xf>
    <xf numFmtId="192" fontId="1" fillId="0" borderId="0" xfId="58" applyNumberFormat="1" applyFont="1" applyFill="1" applyBorder="1" applyAlignment="1">
      <alignment/>
      <protection/>
    </xf>
    <xf numFmtId="0" fontId="1" fillId="34" borderId="14" xfId="58" applyNumberFormat="1" applyFont="1" applyFill="1" applyBorder="1" applyAlignment="1">
      <alignment/>
      <protection/>
    </xf>
    <xf numFmtId="0" fontId="2" fillId="0" borderId="0" xfId="58" applyFont="1">
      <alignment/>
      <protection/>
    </xf>
    <xf numFmtId="0" fontId="1" fillId="34" borderId="45" xfId="58" applyNumberFormat="1" applyFont="1" applyFill="1" applyBorder="1" applyAlignment="1">
      <alignment/>
      <protection/>
    </xf>
    <xf numFmtId="0" fontId="1" fillId="37" borderId="13" xfId="58" applyFont="1" applyFill="1" applyBorder="1">
      <alignment/>
      <protection/>
    </xf>
    <xf numFmtId="4" fontId="1" fillId="0" borderId="18" xfId="58" applyNumberFormat="1" applyFont="1" applyFill="1" applyBorder="1" applyAlignment="1">
      <alignment/>
      <protection/>
    </xf>
    <xf numFmtId="193" fontId="1" fillId="0" borderId="14" xfId="58" applyNumberFormat="1" applyFont="1" applyFill="1" applyBorder="1" applyAlignment="1">
      <alignment/>
      <protection/>
    </xf>
    <xf numFmtId="0" fontId="1" fillId="0" borderId="14" xfId="58" applyNumberFormat="1" applyFont="1" applyFill="1" applyBorder="1" applyAlignment="1">
      <alignment/>
      <protection/>
    </xf>
    <xf numFmtId="4" fontId="1" fillId="0" borderId="0" xfId="58" applyNumberFormat="1" applyFont="1">
      <alignment/>
      <protection/>
    </xf>
    <xf numFmtId="0" fontId="1" fillId="0" borderId="0" xfId="59" applyNumberFormat="1" applyFont="1" applyFill="1" applyBorder="1" applyAlignment="1">
      <alignment/>
      <protection/>
    </xf>
    <xf numFmtId="192" fontId="1" fillId="0" borderId="0" xfId="59" applyNumberFormat="1" applyFont="1" applyFill="1" applyBorder="1" applyAlignment="1">
      <alignment/>
      <protection/>
    </xf>
    <xf numFmtId="0" fontId="2" fillId="0" borderId="0" xfId="59" applyFont="1">
      <alignment/>
      <protection/>
    </xf>
    <xf numFmtId="4" fontId="1" fillId="0" borderId="0" xfId="59" applyNumberFormat="1" applyFont="1">
      <alignment/>
      <protection/>
    </xf>
    <xf numFmtId="0" fontId="2" fillId="35" borderId="0" xfId="59" applyNumberFormat="1" applyFont="1" applyFill="1" applyBorder="1" applyAlignment="1">
      <alignment/>
      <protection/>
    </xf>
    <xf numFmtId="193" fontId="1" fillId="0" borderId="14" xfId="59" applyNumberFormat="1" applyFont="1" applyFill="1" applyBorder="1" applyAlignment="1">
      <alignment/>
      <protection/>
    </xf>
    <xf numFmtId="193" fontId="1" fillId="0" borderId="0" xfId="59" applyNumberFormat="1" applyFont="1">
      <alignment/>
      <protection/>
    </xf>
    <xf numFmtId="0" fontId="1" fillId="0" borderId="14" xfId="59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1" fillId="8" borderId="55" xfId="0" applyFont="1" applyFill="1" applyBorder="1" applyAlignment="1">
      <alignment horizontal="center" vertical="center" wrapText="1"/>
    </xf>
    <xf numFmtId="9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14" borderId="14" xfId="0" applyNumberFormat="1" applyFont="1" applyFill="1" applyBorder="1" applyAlignment="1">
      <alignment/>
    </xf>
    <xf numFmtId="9" fontId="1" fillId="33" borderId="0" xfId="0" applyNumberFormat="1" applyFont="1" applyFill="1" applyBorder="1" applyAlignment="1">
      <alignment/>
    </xf>
    <xf numFmtId="0" fontId="1" fillId="14" borderId="16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93" fontId="7" fillId="0" borderId="14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4" borderId="45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/>
    </xf>
    <xf numFmtId="0" fontId="1" fillId="34" borderId="56" xfId="0" applyNumberFormat="1" applyFont="1" applyFill="1" applyBorder="1" applyAlignment="1">
      <alignment horizontal="center"/>
    </xf>
    <xf numFmtId="0" fontId="1" fillId="34" borderId="57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umberCellStyl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25"/>
          <c:w val="0.983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Figure_1!$A$30</c:f>
              <c:strCache>
                <c:ptCount val="1"/>
                <c:pt idx="0">
                  <c:v>Sulphur dioxide (SO2)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Figure_1!$C$29:$N$29</c:f>
              <c:strCache/>
            </c:strRef>
          </c:cat>
          <c:val>
            <c:numRef>
              <c:f>Figure_1!$C$30:$N$30</c:f>
              <c:numCache/>
            </c:numRef>
          </c:val>
          <c:smooth val="0"/>
        </c:ser>
        <c:ser>
          <c:idx val="1"/>
          <c:order val="1"/>
          <c:tx>
            <c:strRef>
              <c:f>Figure_1!$A$31</c:f>
              <c:strCache>
                <c:ptCount val="1"/>
                <c:pt idx="0">
                  <c:v>Nitrogen oxides (NOx)  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Figure_1!$C$29:$N$29</c:f>
              <c:strCache/>
            </c:strRef>
          </c:cat>
          <c:val>
            <c:numRef>
              <c:f>Figure_1!$C$31:$N$31</c:f>
              <c:numCache/>
            </c:numRef>
          </c:val>
          <c:smooth val="0"/>
        </c:ser>
        <c:ser>
          <c:idx val="2"/>
          <c:order val="2"/>
          <c:tx>
            <c:strRef>
              <c:f>Figure_1!$A$32</c:f>
              <c:strCache>
                <c:ptCount val="1"/>
                <c:pt idx="0">
                  <c:v>Ammonia (NH3)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Figure_1!$C$29:$N$29</c:f>
              <c:strCache/>
            </c:strRef>
          </c:cat>
          <c:val>
            <c:numRef>
              <c:f>Figure_1!$C$32:$N$32</c:f>
              <c:numCache/>
            </c:numRef>
          </c:val>
          <c:smooth val="0"/>
        </c:ser>
        <c:marker val="1"/>
        <c:axId val="46434292"/>
        <c:axId val="15255445"/>
      </c:lineChart>
      <c:catAx>
        <c:axId val="4643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5445"/>
        <c:crosses val="autoZero"/>
        <c:auto val="1"/>
        <c:lblOffset val="100"/>
        <c:tickLblSkip val="1"/>
        <c:noMultiLvlLbl val="0"/>
      </c:catAx>
      <c:valAx>
        <c:axId val="15255445"/>
        <c:scaling>
          <c:orientation val="minMax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6434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75"/>
          <c:y val="0.94225"/>
          <c:w val="0.619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875"/>
          <c:w val="0.962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Figure_8!$B$4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Figure_8!$A$5:$A$10</c:f>
              <c:strCache/>
            </c:strRef>
          </c:cat>
          <c:val>
            <c:numRef>
              <c:f>Figure_8!$B$5:$B$10</c:f>
              <c:numCache/>
            </c:numRef>
          </c:val>
        </c:ser>
        <c:ser>
          <c:idx val="1"/>
          <c:order val="1"/>
          <c:tx>
            <c:strRef>
              <c:f>Figure_8!$C$4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Figure_8!$A$5:$A$10</c:f>
              <c:strCache/>
            </c:strRef>
          </c:cat>
          <c:val>
            <c:numRef>
              <c:f>Figure_8!$C$5:$C$10</c:f>
              <c:numCache/>
            </c:numRef>
          </c:val>
        </c:ser>
        <c:axId val="62013606"/>
        <c:axId val="21251543"/>
      </c:barChart>
      <c:catAx>
        <c:axId val="6201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1543"/>
        <c:crosses val="autoZero"/>
        <c:auto val="1"/>
        <c:lblOffset val="100"/>
        <c:tickLblSkip val="1"/>
        <c:noMultiLvlLbl val="0"/>
      </c:catAx>
      <c:valAx>
        <c:axId val="21251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0" sourceLinked="0"/>
        <c:majorTickMark val="out"/>
        <c:minorTickMark val="none"/>
        <c:tickLblPos val="nextTo"/>
        <c:spPr>
          <a:ln w="3175">
            <a:noFill/>
          </a:ln>
        </c:spPr>
        <c:crossAx val="62013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90975"/>
          <c:w val="0.1302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75"/>
          <c:y val="0.14825"/>
          <c:w val="0.28375"/>
          <c:h val="0.6155"/>
        </c:manualLayout>
      </c:layout>
      <c:pieChart>
        <c:varyColors val="1"/>
        <c:ser>
          <c:idx val="0"/>
          <c:order val="0"/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9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D28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64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7C0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3C07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4C5C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Figure_2!$A$5:$A$11</c:f>
              <c:strCache/>
            </c:strRef>
          </c:cat>
          <c:val>
            <c:numRef>
              <c:f>Figure_2!$C$5:$C$11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675"/>
          <c:y val="0.14825"/>
          <c:w val="0.31775"/>
          <c:h val="0.619"/>
        </c:manualLayout>
      </c:layout>
      <c:pieChart>
        <c:varyColors val="1"/>
        <c:ser>
          <c:idx val="0"/>
          <c:order val="0"/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9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D28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64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7C0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3C07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4C5C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Figure_2!$A$5:$A$11</c:f>
              <c:strCache/>
            </c:strRef>
          </c:cat>
          <c:val>
            <c:numRef>
              <c:f>Figure_2!$B$5:$B$11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125"/>
          <c:w val="0.94575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Figure_3!$B$4</c:f>
              <c:strCache>
                <c:ptCount val="1"/>
                <c:pt idx="0">
                  <c:v>Sulphur dioxide (SO2)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Figure_3!$A$5:$A$11</c:f>
              <c:strCache/>
            </c:strRef>
          </c:cat>
          <c:val>
            <c:numRef>
              <c:f>Figure_3!$B$5:$B$11</c:f>
              <c:numCache/>
            </c:numRef>
          </c:val>
        </c:ser>
        <c:ser>
          <c:idx val="1"/>
          <c:order val="1"/>
          <c:tx>
            <c:strRef>
              <c:f>Figure_3!$C$4</c:f>
              <c:strCache>
                <c:ptCount val="1"/>
                <c:pt idx="0">
                  <c:v>Nitrogen oxides (NOx)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Figure_3!$A$5:$A$11</c:f>
              <c:strCache/>
            </c:strRef>
          </c:cat>
          <c:val>
            <c:numRef>
              <c:f>Figure_3!$C$5:$C$11</c:f>
              <c:numCache/>
            </c:numRef>
          </c:val>
        </c:ser>
        <c:ser>
          <c:idx val="2"/>
          <c:order val="2"/>
          <c:tx>
            <c:strRef>
              <c:f>Figure_3!$D$4</c:f>
              <c:strCache>
                <c:ptCount val="1"/>
                <c:pt idx="0">
                  <c:v>Ammonia (NH3)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Figure_3!$A$5:$A$11</c:f>
              <c:strCache/>
            </c:strRef>
          </c:cat>
          <c:val>
            <c:numRef>
              <c:f>Figure_3!$D$5:$D$11</c:f>
              <c:numCache/>
            </c:numRef>
          </c:val>
        </c:ser>
        <c:overlap val="100"/>
        <c:axId val="3081278"/>
        <c:axId val="27731503"/>
      </c:barChart>
      <c:catAx>
        <c:axId val="308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1503"/>
        <c:crosses val="autoZero"/>
        <c:auto val="1"/>
        <c:lblOffset val="100"/>
        <c:tickLblSkip val="1"/>
        <c:noMultiLvlLbl val="0"/>
      </c:catAx>
      <c:valAx>
        <c:axId val="27731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3081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"/>
          <c:y val="0.95525"/>
          <c:w val="0.6337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625"/>
          <c:w val="0.983"/>
          <c:h val="0.9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Figure_4!$C$4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Figure_4!$B$5:$B$10</c:f>
              <c:strCache/>
            </c:strRef>
          </c:cat>
          <c:val>
            <c:numRef>
              <c:f>Figure_4!$C$5:$C$10</c:f>
              <c:numCache/>
            </c:numRef>
          </c:val>
        </c:ser>
        <c:ser>
          <c:idx val="0"/>
          <c:order val="1"/>
          <c:tx>
            <c:strRef>
              <c:f>Figure_4!$D$4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Figure_4!$B$5:$B$10</c:f>
              <c:strCache/>
            </c:strRef>
          </c:cat>
          <c:val>
            <c:numRef>
              <c:f>Figure_4!$D$5:$D$10</c:f>
              <c:numCache/>
            </c:numRef>
          </c:val>
        </c:ser>
        <c:axId val="48256936"/>
        <c:axId val="31659241"/>
      </c:barChart>
      <c:catAx>
        <c:axId val="4825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9241"/>
        <c:crosses val="autoZero"/>
        <c:auto val="1"/>
        <c:lblOffset val="100"/>
        <c:tickLblSkip val="1"/>
        <c:noMultiLvlLbl val="0"/>
      </c:catAx>
      <c:valAx>
        <c:axId val="31659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25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"/>
          <c:y val="0.91775"/>
          <c:w val="0.129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35"/>
          <c:w val="0.982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Figure_5!$A$32</c:f>
              <c:strCache>
                <c:ptCount val="1"/>
                <c:pt idx="0">
                  <c:v>Nitrogen oxides (NOx)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Figure_5!$B$31:$M$31</c:f>
              <c:strCache/>
            </c:strRef>
          </c:cat>
          <c:val>
            <c:numRef>
              <c:f>Figure_5!$B$32:$M$32</c:f>
              <c:numCache/>
            </c:numRef>
          </c:val>
          <c:smooth val="0"/>
        </c:ser>
        <c:ser>
          <c:idx val="2"/>
          <c:order val="1"/>
          <c:tx>
            <c:strRef>
              <c:f>Figure_5!$A$33</c:f>
              <c:strCache>
                <c:ptCount val="1"/>
                <c:pt idx="0">
                  <c:v>Carbon monoxide (CO)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Figure_5!$B$31:$M$31</c:f>
              <c:strCache/>
            </c:strRef>
          </c:cat>
          <c:val>
            <c:numRef>
              <c:f>Figure_5!$B$33:$M$33</c:f>
              <c:numCache/>
            </c:numRef>
          </c:val>
          <c:smooth val="0"/>
        </c:ser>
        <c:ser>
          <c:idx val="0"/>
          <c:order val="2"/>
          <c:tx>
            <c:strRef>
              <c:f>Figure_5!$A$34</c:f>
              <c:strCache>
                <c:ptCount val="1"/>
                <c:pt idx="0">
                  <c:v>Non-methane volatile organic compounds (NMVOC)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Figure_5!$B$31:$M$31</c:f>
              <c:strCache/>
            </c:strRef>
          </c:cat>
          <c:val>
            <c:numRef>
              <c:f>Figure_5!$B$34:$M$34</c:f>
              <c:numCache/>
            </c:numRef>
          </c:val>
          <c:smooth val="0"/>
        </c:ser>
        <c:ser>
          <c:idx val="3"/>
          <c:order val="3"/>
          <c:tx>
            <c:strRef>
              <c:f>Figure_5!$A$35</c:f>
              <c:strCache>
                <c:ptCount val="1"/>
                <c:pt idx="0">
                  <c:v>Methane (CH4)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Figure_5!$B$31:$M$31</c:f>
              <c:strCache/>
            </c:strRef>
          </c:cat>
          <c:val>
            <c:numRef>
              <c:f>Figure_5!$B$35:$M$35</c:f>
              <c:numCache/>
            </c:numRef>
          </c:val>
          <c:smooth val="0"/>
        </c:ser>
        <c:marker val="1"/>
        <c:axId val="16497714"/>
        <c:axId val="14261699"/>
      </c:lineChart>
      <c:catAx>
        <c:axId val="1649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1699"/>
        <c:crosses val="autoZero"/>
        <c:auto val="1"/>
        <c:lblOffset val="100"/>
        <c:tickLblSkip val="1"/>
        <c:noMultiLvlLbl val="0"/>
      </c:catAx>
      <c:valAx>
        <c:axId val="14261699"/>
        <c:scaling>
          <c:orientation val="minMax"/>
          <c:max val="18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49771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575"/>
          <c:y val="0.899"/>
          <c:w val="0.94875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1625"/>
          <c:w val="0.349"/>
          <c:h val="0.61225"/>
        </c:manualLayout>
      </c:layout>
      <c:pieChart>
        <c:varyColors val="1"/>
        <c:ser>
          <c:idx val="0"/>
          <c:order val="0"/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9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D28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64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7C0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3C07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4C5C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Figure_6!$A$7:$A$13</c:f>
              <c:strCache/>
            </c:strRef>
          </c:cat>
          <c:val>
            <c:numRef>
              <c:f>Figure_6!$C$7:$C$13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75"/>
          <c:y val="0.16025"/>
          <c:w val="0.3775"/>
          <c:h val="0.61425"/>
        </c:manualLayout>
      </c:layout>
      <c:pieChart>
        <c:varyColors val="1"/>
        <c:ser>
          <c:idx val="0"/>
          <c:order val="0"/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9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D28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64A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7C0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3C07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4C5C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Figure_6!$A$7:$A$13</c:f>
              <c:strCache/>
            </c:strRef>
          </c:cat>
          <c:val>
            <c:numRef>
              <c:f>Figure_6!$B$7:$B$13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01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Figure_7!$B$5</c:f>
              <c:strCache>
                <c:ptCount val="1"/>
                <c:pt idx="0">
                  <c:v>Nitrogen oxides (NOx)</c:v>
                </c:pt>
              </c:strCache>
            </c:strRef>
          </c:tx>
          <c:spPr>
            <a:solidFill>
              <a:srgbClr val="638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Figure_7!$A$7:$A$13</c:f>
              <c:strCache/>
            </c:strRef>
          </c:cat>
          <c:val>
            <c:numRef>
              <c:f>Figure_7!$B$7:$B$13</c:f>
              <c:numCache/>
            </c:numRef>
          </c:val>
        </c:ser>
        <c:ser>
          <c:idx val="1"/>
          <c:order val="1"/>
          <c:tx>
            <c:strRef>
              <c:f>Figure_7!$C$5</c:f>
              <c:strCache>
                <c:ptCount val="1"/>
                <c:pt idx="0">
                  <c:v>Carbon monoxide (CO)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Figure_7!$A$7:$A$13</c:f>
              <c:strCache/>
            </c:strRef>
          </c:cat>
          <c:val>
            <c:numRef>
              <c:f>Figure_7!$C$7:$C$13</c:f>
              <c:numCache/>
            </c:numRef>
          </c:val>
        </c:ser>
        <c:ser>
          <c:idx val="2"/>
          <c:order val="2"/>
          <c:tx>
            <c:strRef>
              <c:f>Figure_7!$D$5</c:f>
              <c:strCache>
                <c:ptCount val="1"/>
                <c:pt idx="0">
                  <c:v>Non-methane volatile organic compounds (NMVOC)</c:v>
                </c:pt>
              </c:strCache>
            </c:strRef>
          </c:tx>
          <c:spPr>
            <a:solidFill>
              <a:srgbClr val="4E72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Figure_7!$A$7:$A$13</c:f>
              <c:strCache/>
            </c:strRef>
          </c:cat>
          <c:val>
            <c:numRef>
              <c:f>Figure_7!$D$7:$D$13</c:f>
              <c:numCache/>
            </c:numRef>
          </c:val>
        </c:ser>
        <c:ser>
          <c:idx val="3"/>
          <c:order val="3"/>
          <c:tx>
            <c:strRef>
              <c:f>Figure_7!$E$5</c:f>
              <c:strCache>
                <c:ptCount val="1"/>
                <c:pt idx="0">
                  <c:v>Methane (CH4)</c:v>
                </c:pt>
              </c:strCache>
            </c:strRef>
          </c:tx>
          <c:spPr>
            <a:solidFill>
              <a:srgbClr val="E1D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Figure_7!$A$7:$A$13</c:f>
              <c:strCache/>
            </c:strRef>
          </c:cat>
          <c:val>
            <c:numRef>
              <c:f>Figure_7!$E$7:$E$13</c:f>
              <c:numCache/>
            </c:numRef>
          </c:val>
        </c:ser>
        <c:overlap val="100"/>
        <c:axId val="61246428"/>
        <c:axId val="14346941"/>
      </c:barChart>
      <c:catAx>
        <c:axId val="6124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941"/>
        <c:crosses val="autoZero"/>
        <c:auto val="1"/>
        <c:lblOffset val="100"/>
        <c:tickLblSkip val="1"/>
        <c:noMultiLvlLbl val="0"/>
      </c:catAx>
      <c:valAx>
        <c:axId val="143469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61246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65"/>
          <c:y val="0.80575"/>
          <c:w val="0.9392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38</xdr:row>
      <xdr:rowOff>9525</xdr:rowOff>
    </xdr:from>
    <xdr:to>
      <xdr:col>10</xdr:col>
      <xdr:colOff>590550</xdr:colOff>
      <xdr:row>67</xdr:row>
      <xdr:rowOff>142875</xdr:rowOff>
    </xdr:to>
    <xdr:graphicFrame>
      <xdr:nvGraphicFramePr>
        <xdr:cNvPr id="1" name="Chart 3"/>
        <xdr:cNvGraphicFramePr/>
      </xdr:nvGraphicFramePr>
      <xdr:xfrm>
        <a:off x="2152650" y="6105525"/>
        <a:ext cx="86201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18</xdr:row>
      <xdr:rowOff>9525</xdr:rowOff>
    </xdr:from>
    <xdr:to>
      <xdr:col>13</xdr:col>
      <xdr:colOff>161925</xdr:colOff>
      <xdr:row>36</xdr:row>
      <xdr:rowOff>104775</xdr:rowOff>
    </xdr:to>
    <xdr:graphicFrame>
      <xdr:nvGraphicFramePr>
        <xdr:cNvPr id="1" name="Diagram 8"/>
        <xdr:cNvGraphicFramePr/>
      </xdr:nvGraphicFramePr>
      <xdr:xfrm>
        <a:off x="5895975" y="2771775"/>
        <a:ext cx="6057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1266825</xdr:colOff>
      <xdr:row>18</xdr:row>
      <xdr:rowOff>19050</xdr:rowOff>
    </xdr:from>
    <xdr:to>
      <xdr:col>6</xdr:col>
      <xdr:colOff>790575</xdr:colOff>
      <xdr:row>36</xdr:row>
      <xdr:rowOff>114300</xdr:rowOff>
    </xdr:to>
    <xdr:graphicFrame>
      <xdr:nvGraphicFramePr>
        <xdr:cNvPr id="2" name="Diagram 8"/>
        <xdr:cNvGraphicFramePr/>
      </xdr:nvGraphicFramePr>
      <xdr:xfrm>
        <a:off x="1266825" y="2781300"/>
        <a:ext cx="5448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6</xdr:row>
      <xdr:rowOff>133350</xdr:rowOff>
    </xdr:from>
    <xdr:to>
      <xdr:col>17</xdr:col>
      <xdr:colOff>314325</xdr:colOff>
      <xdr:row>36</xdr:row>
      <xdr:rowOff>123825</xdr:rowOff>
    </xdr:to>
    <xdr:graphicFrame>
      <xdr:nvGraphicFramePr>
        <xdr:cNvPr id="1" name="Diagram 1"/>
        <xdr:cNvGraphicFramePr/>
      </xdr:nvGraphicFramePr>
      <xdr:xfrm>
        <a:off x="7896225" y="1104900"/>
        <a:ext cx="77819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28575</xdr:rowOff>
    </xdr:from>
    <xdr:to>
      <xdr:col>8</xdr:col>
      <xdr:colOff>28575</xdr:colOff>
      <xdr:row>34</xdr:row>
      <xdr:rowOff>38100</xdr:rowOff>
    </xdr:to>
    <xdr:graphicFrame>
      <xdr:nvGraphicFramePr>
        <xdr:cNvPr id="1" name="Diagram 1"/>
        <xdr:cNvGraphicFramePr/>
      </xdr:nvGraphicFramePr>
      <xdr:xfrm>
        <a:off x="133350" y="2028825"/>
        <a:ext cx="8267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2914650</xdr:colOff>
      <xdr:row>39</xdr:row>
      <xdr:rowOff>161925</xdr:rowOff>
    </xdr:from>
    <xdr:to>
      <xdr:col>11</xdr:col>
      <xdr:colOff>495300</xdr:colOff>
      <xdr:row>72</xdr:row>
      <xdr:rowOff>114300</xdr:rowOff>
    </xdr:to>
    <xdr:graphicFrame>
      <xdr:nvGraphicFramePr>
        <xdr:cNvPr id="1" name="Chart 3"/>
        <xdr:cNvGraphicFramePr/>
      </xdr:nvGraphicFramePr>
      <xdr:xfrm>
        <a:off x="2914650" y="6419850"/>
        <a:ext cx="9210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17</xdr:row>
      <xdr:rowOff>85725</xdr:rowOff>
    </xdr:from>
    <xdr:to>
      <xdr:col>16</xdr:col>
      <xdr:colOff>57150</xdr:colOff>
      <xdr:row>45</xdr:row>
      <xdr:rowOff>123825</xdr:rowOff>
    </xdr:to>
    <xdr:graphicFrame>
      <xdr:nvGraphicFramePr>
        <xdr:cNvPr id="1" name="Diagram 10"/>
        <xdr:cNvGraphicFramePr/>
      </xdr:nvGraphicFramePr>
      <xdr:xfrm>
        <a:off x="6753225" y="2695575"/>
        <a:ext cx="75152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16</xdr:row>
      <xdr:rowOff>85725</xdr:rowOff>
    </xdr:from>
    <xdr:to>
      <xdr:col>8</xdr:col>
      <xdr:colOff>142875</xdr:colOff>
      <xdr:row>45</xdr:row>
      <xdr:rowOff>133350</xdr:rowOff>
    </xdr:to>
    <xdr:graphicFrame>
      <xdr:nvGraphicFramePr>
        <xdr:cNvPr id="2" name="Diagram 10"/>
        <xdr:cNvGraphicFramePr/>
      </xdr:nvGraphicFramePr>
      <xdr:xfrm>
        <a:off x="419100" y="2543175"/>
        <a:ext cx="72294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0.9325</cdr:y>
    </cdr:from>
    <cdr:to>
      <cdr:x>0.88625</cdr:x>
      <cdr:y>0.9745</cdr:y>
    </cdr:to>
    <cdr:sp>
      <cdr:nvSpPr>
        <cdr:cNvPr id="1" name="Rectangle 1"/>
        <cdr:cNvSpPr>
          <a:spLocks/>
        </cdr:cNvSpPr>
      </cdr:nvSpPr>
      <cdr:spPr>
        <a:xfrm>
          <a:off x="1019175" y="4057650"/>
          <a:ext cx="5724525" cy="1809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*Note</a:t>
          </a:r>
          <a:r>
            <a:rPr lang="en-US" cap="none" sz="800" b="0" i="0" u="none" baseline="0">
              <a:solidFill>
                <a:srgbClr val="000000"/>
              </a:solidFill>
            </a:rPr>
            <a:t> about Methane: relatively low emissions  in NMVOC-equivalents renders them often unseen in the figure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17</xdr:row>
      <xdr:rowOff>142875</xdr:rowOff>
    </xdr:from>
    <xdr:to>
      <xdr:col>8</xdr:col>
      <xdr:colOff>104775</xdr:colOff>
      <xdr:row>46</xdr:row>
      <xdr:rowOff>76200</xdr:rowOff>
    </xdr:to>
    <xdr:graphicFrame>
      <xdr:nvGraphicFramePr>
        <xdr:cNvPr id="1" name="Diagram 1"/>
        <xdr:cNvGraphicFramePr/>
      </xdr:nvGraphicFramePr>
      <xdr:xfrm>
        <a:off x="1447800" y="2752725"/>
        <a:ext cx="7620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13</xdr:row>
      <xdr:rowOff>66675</xdr:rowOff>
    </xdr:from>
    <xdr:to>
      <xdr:col>8</xdr:col>
      <xdr:colOff>361950</xdr:colOff>
      <xdr:row>32</xdr:row>
      <xdr:rowOff>104775</xdr:rowOff>
    </xdr:to>
    <xdr:graphicFrame>
      <xdr:nvGraphicFramePr>
        <xdr:cNvPr id="1" name="Diagram 1"/>
        <xdr:cNvGraphicFramePr/>
      </xdr:nvGraphicFramePr>
      <xdr:xfrm>
        <a:off x="590550" y="2066925"/>
        <a:ext cx="7620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6.625" style="3" customWidth="1"/>
    <col min="2" max="2" width="26.00390625" style="3" customWidth="1"/>
    <col min="3" max="10" width="11.375" style="3" bestFit="1" customWidth="1"/>
    <col min="11" max="11" width="12.00390625" style="3" bestFit="1" customWidth="1"/>
    <col min="12" max="14" width="11.375" style="3" bestFit="1" customWidth="1"/>
    <col min="15" max="15" width="10.25390625" style="3" bestFit="1" customWidth="1"/>
    <col min="16" max="16384" width="9.00390625" style="3" customWidth="1"/>
  </cols>
  <sheetData>
    <row r="1" ht="13.5">
      <c r="A1" s="5" t="s">
        <v>295</v>
      </c>
    </row>
    <row r="2" ht="12">
      <c r="A2" s="20" t="s">
        <v>290</v>
      </c>
    </row>
    <row r="4" spans="1:2" ht="12">
      <c r="A4" s="20" t="s">
        <v>0</v>
      </c>
      <c r="B4" s="21">
        <v>41409.41678240741</v>
      </c>
    </row>
    <row r="5" spans="1:2" ht="12">
      <c r="A5" s="20" t="s">
        <v>1</v>
      </c>
      <c r="B5" s="21">
        <v>41780.58607972223</v>
      </c>
    </row>
    <row r="6" spans="1:2" ht="12">
      <c r="A6" s="20" t="s">
        <v>48</v>
      </c>
      <c r="B6" s="20" t="s">
        <v>2</v>
      </c>
    </row>
    <row r="8" spans="1:2" ht="12">
      <c r="A8" s="20" t="s">
        <v>63</v>
      </c>
      <c r="B8" s="20" t="s">
        <v>64</v>
      </c>
    </row>
    <row r="9" spans="1:2" ht="12">
      <c r="A9" s="20" t="s">
        <v>69</v>
      </c>
      <c r="B9" s="121" t="s">
        <v>71</v>
      </c>
    </row>
    <row r="10" spans="1:2" ht="12">
      <c r="A10" s="20" t="s">
        <v>3</v>
      </c>
      <c r="B10" s="20" t="s">
        <v>4</v>
      </c>
    </row>
    <row r="12" spans="1:14" ht="12">
      <c r="A12" s="15" t="s">
        <v>286</v>
      </c>
      <c r="B12" s="15" t="s">
        <v>285</v>
      </c>
      <c r="C12" s="15" t="s">
        <v>70</v>
      </c>
      <c r="D12" s="15" t="s">
        <v>284</v>
      </c>
      <c r="E12" s="15" t="s">
        <v>283</v>
      </c>
      <c r="F12" s="15" t="s">
        <v>282</v>
      </c>
      <c r="G12" s="15" t="s">
        <v>281</v>
      </c>
      <c r="H12" s="15" t="s">
        <v>280</v>
      </c>
      <c r="I12" s="15" t="s">
        <v>279</v>
      </c>
      <c r="J12" s="15" t="s">
        <v>278</v>
      </c>
      <c r="K12" s="163" t="s">
        <v>287</v>
      </c>
      <c r="L12" s="163" t="s">
        <v>288</v>
      </c>
      <c r="M12" s="163" t="s">
        <v>289</v>
      </c>
      <c r="N12" s="163" t="s">
        <v>171</v>
      </c>
    </row>
    <row r="13" spans="1:14" ht="12">
      <c r="A13" s="15" t="s">
        <v>66</v>
      </c>
      <c r="B13" s="27">
        <v>11670560.23</v>
      </c>
      <c r="C13" s="27">
        <v>10819333.55</v>
      </c>
      <c r="D13" s="27">
        <v>10448820.41</v>
      </c>
      <c r="E13" s="27">
        <v>9939830.4</v>
      </c>
      <c r="F13" s="27">
        <v>9662543.21</v>
      </c>
      <c r="G13" s="27">
        <v>9282069.7</v>
      </c>
      <c r="H13" s="27">
        <v>8592575.96</v>
      </c>
      <c r="I13" s="27">
        <v>8288750.05</v>
      </c>
      <c r="J13" s="27">
        <v>7859700.87</v>
      </c>
      <c r="K13" s="27">
        <v>6102122.21</v>
      </c>
      <c r="L13" s="27">
        <v>5199940.74</v>
      </c>
      <c r="M13" s="27">
        <v>4760003.15</v>
      </c>
      <c r="N13" s="27">
        <v>4766110.4</v>
      </c>
    </row>
    <row r="14" spans="1:14" ht="12">
      <c r="A14" s="15" t="s">
        <v>67</v>
      </c>
      <c r="B14" s="27">
        <v>12005809</v>
      </c>
      <c r="C14" s="27">
        <v>11718391.86</v>
      </c>
      <c r="D14" s="27">
        <v>11613672.16</v>
      </c>
      <c r="E14" s="27">
        <v>11564365.06</v>
      </c>
      <c r="F14" s="27">
        <v>11664992.43</v>
      </c>
      <c r="G14" s="27">
        <v>11727182.77</v>
      </c>
      <c r="H14" s="27">
        <v>11809756.23</v>
      </c>
      <c r="I14" s="27">
        <v>11774016.94</v>
      </c>
      <c r="J14" s="27">
        <v>11730789.04</v>
      </c>
      <c r="K14" s="27">
        <v>10723843.14</v>
      </c>
      <c r="L14" s="27">
        <v>9688555.3</v>
      </c>
      <c r="M14" s="27">
        <v>9567361.53</v>
      </c>
      <c r="N14" s="27">
        <v>9543162.94</v>
      </c>
    </row>
    <row r="15" spans="1:14" ht="12">
      <c r="A15" s="15" t="s">
        <v>89</v>
      </c>
      <c r="B15" s="27">
        <v>4110095.16</v>
      </c>
      <c r="C15" s="27">
        <v>3971313.52</v>
      </c>
      <c r="D15" s="27">
        <v>3925483.95</v>
      </c>
      <c r="E15" s="27">
        <v>3874953.48</v>
      </c>
      <c r="F15" s="27">
        <v>3825783.29</v>
      </c>
      <c r="G15" s="27">
        <v>3799395.37</v>
      </c>
      <c r="H15" s="27">
        <v>3760684.4</v>
      </c>
      <c r="I15" s="27">
        <v>3767690.88</v>
      </c>
      <c r="J15" s="27">
        <v>3778531.58</v>
      </c>
      <c r="K15" s="27">
        <v>3597032.81</v>
      </c>
      <c r="L15" s="27">
        <v>3558742.62</v>
      </c>
      <c r="M15" s="27">
        <v>3502355.21</v>
      </c>
      <c r="N15" s="27">
        <v>3515654.64</v>
      </c>
    </row>
    <row r="16" spans="2:15" ht="12">
      <c r="B16" s="130">
        <f>B13+B14*0.7+B15*1.9</f>
        <v>27883807.334</v>
      </c>
      <c r="C16" s="130">
        <f aca="true" t="shared" si="0" ref="C16:N16">C13+C14*0.7+C15*1.9</f>
        <v>26567703.54</v>
      </c>
      <c r="D16" s="130">
        <f t="shared" si="0"/>
        <v>26036810.426999997</v>
      </c>
      <c r="E16" s="130">
        <f t="shared" si="0"/>
        <v>25397297.554</v>
      </c>
      <c r="F16" s="130">
        <f t="shared" si="0"/>
        <v>25097026.162</v>
      </c>
      <c r="G16" s="130">
        <f t="shared" si="0"/>
        <v>24709948.842</v>
      </c>
      <c r="H16" s="130">
        <f t="shared" si="0"/>
        <v>24004705.681</v>
      </c>
      <c r="I16" s="130">
        <f t="shared" si="0"/>
        <v>23689174.58</v>
      </c>
      <c r="J16" s="130">
        <f t="shared" si="0"/>
        <v>23250463.2</v>
      </c>
      <c r="K16" s="130">
        <f t="shared" si="0"/>
        <v>20443174.747</v>
      </c>
      <c r="L16" s="130">
        <f t="shared" si="0"/>
        <v>18743540.428</v>
      </c>
      <c r="M16" s="130">
        <f t="shared" si="0"/>
        <v>18111631.12</v>
      </c>
      <c r="N16" s="130">
        <f t="shared" si="0"/>
        <v>18126068.274</v>
      </c>
      <c r="O16" s="3" t="s">
        <v>277</v>
      </c>
    </row>
    <row r="17" spans="2:14" ht="12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12">
      <c r="A18" s="20" t="s">
        <v>63</v>
      </c>
      <c r="B18" s="20" t="s">
        <v>64</v>
      </c>
      <c r="K18" s="130"/>
      <c r="L18" s="130"/>
      <c r="M18" s="130"/>
      <c r="N18" s="130"/>
    </row>
    <row r="19" spans="1:2" ht="12">
      <c r="A19" s="20" t="s">
        <v>69</v>
      </c>
      <c r="B19" s="121" t="s">
        <v>32</v>
      </c>
    </row>
    <row r="20" spans="1:2" ht="12">
      <c r="A20" s="20" t="s">
        <v>3</v>
      </c>
      <c r="B20" s="20" t="s">
        <v>4</v>
      </c>
    </row>
    <row r="22" spans="1:14" ht="12">
      <c r="A22" s="15" t="s">
        <v>286</v>
      </c>
      <c r="B22" s="15" t="s">
        <v>285</v>
      </c>
      <c r="C22" s="15" t="s">
        <v>70</v>
      </c>
      <c r="D22" s="15" t="s">
        <v>284</v>
      </c>
      <c r="E22" s="15" t="s">
        <v>283</v>
      </c>
      <c r="F22" s="15" t="s">
        <v>282</v>
      </c>
      <c r="G22" s="15" t="s">
        <v>281</v>
      </c>
      <c r="H22" s="15" t="s">
        <v>280</v>
      </c>
      <c r="I22" s="15" t="s">
        <v>279</v>
      </c>
      <c r="J22" s="15" t="s">
        <v>278</v>
      </c>
      <c r="K22" s="163" t="s">
        <v>287</v>
      </c>
      <c r="L22" s="163" t="s">
        <v>288</v>
      </c>
      <c r="M22" s="163" t="s">
        <v>289</v>
      </c>
      <c r="N22" s="163" t="s">
        <v>171</v>
      </c>
    </row>
    <row r="23" spans="1:14" ht="12">
      <c r="A23" s="15" t="s">
        <v>66</v>
      </c>
      <c r="B23" s="23">
        <v>687790.28</v>
      </c>
      <c r="C23" s="23">
        <v>561311.44</v>
      </c>
      <c r="D23" s="23">
        <v>575070.74</v>
      </c>
      <c r="E23" s="127">
        <v>512584.5</v>
      </c>
      <c r="F23" s="23">
        <v>509438.32</v>
      </c>
      <c r="G23" s="127">
        <v>492979.4</v>
      </c>
      <c r="H23" s="23">
        <v>470939.77</v>
      </c>
      <c r="I23" s="23">
        <v>487313.78</v>
      </c>
      <c r="J23" s="23">
        <v>428513.49</v>
      </c>
      <c r="K23" s="23">
        <v>419869.57</v>
      </c>
      <c r="L23" s="23">
        <v>402137.56</v>
      </c>
      <c r="M23" s="23">
        <v>419912.13</v>
      </c>
      <c r="N23" s="127">
        <v>382007.9</v>
      </c>
    </row>
    <row r="24" spans="1:14" ht="12">
      <c r="A24" s="109" t="s">
        <v>67</v>
      </c>
      <c r="B24" s="23">
        <v>2973065.72</v>
      </c>
      <c r="C24" s="23">
        <v>2742392.54</v>
      </c>
      <c r="D24" s="23">
        <v>2671993.58</v>
      </c>
      <c r="E24" s="23">
        <v>2550623.98</v>
      </c>
      <c r="F24" s="23">
        <v>2464540.75</v>
      </c>
      <c r="G24" s="23">
        <v>2359550.73</v>
      </c>
      <c r="H24" s="23">
        <v>2265508.23</v>
      </c>
      <c r="I24" s="23">
        <v>2155582.87</v>
      </c>
      <c r="J24" s="23">
        <v>2067157.63</v>
      </c>
      <c r="K24" s="127">
        <v>1960920.1</v>
      </c>
      <c r="L24" s="23">
        <v>1854729.09</v>
      </c>
      <c r="M24" s="23">
        <v>1831530.53</v>
      </c>
      <c r="N24" s="23">
        <v>1664583.55</v>
      </c>
    </row>
    <row r="25" spans="1:14" ht="12">
      <c r="A25" s="109" t="s">
        <v>89</v>
      </c>
      <c r="B25" s="23">
        <v>108551.14</v>
      </c>
      <c r="C25" s="23">
        <v>119454.55</v>
      </c>
      <c r="D25" s="23">
        <v>118496.84</v>
      </c>
      <c r="E25" s="23">
        <v>116525.82</v>
      </c>
      <c r="F25" s="23">
        <v>113686.86</v>
      </c>
      <c r="G25" s="23">
        <v>110219.35</v>
      </c>
      <c r="H25" s="23">
        <v>109222.66</v>
      </c>
      <c r="I25" s="127">
        <v>106657.7</v>
      </c>
      <c r="J25" s="23">
        <v>102281.57</v>
      </c>
      <c r="K25" s="127">
        <v>146045.6</v>
      </c>
      <c r="L25" s="23">
        <v>134321.54</v>
      </c>
      <c r="M25" s="23">
        <v>127100.59</v>
      </c>
      <c r="N25" s="23">
        <v>121124.63</v>
      </c>
    </row>
    <row r="26" spans="1:14" ht="12">
      <c r="A26" s="41"/>
      <c r="B26" s="41">
        <f>B23+B24*0.7+B25*1.9</f>
        <v>2975183.45</v>
      </c>
      <c r="C26" s="41">
        <f aca="true" t="shared" si="1" ref="C26:N26">C23+C24*0.7+C25*1.9</f>
        <v>2707949.863</v>
      </c>
      <c r="D26" s="41">
        <f t="shared" si="1"/>
        <v>2670610.2419999996</v>
      </c>
      <c r="E26" s="41">
        <f t="shared" si="1"/>
        <v>2519420.344</v>
      </c>
      <c r="F26" s="41">
        <f t="shared" si="1"/>
        <v>2450621.8789999997</v>
      </c>
      <c r="G26" s="41">
        <f t="shared" si="1"/>
        <v>2354081.676</v>
      </c>
      <c r="H26" s="41">
        <f t="shared" si="1"/>
        <v>2264318.585</v>
      </c>
      <c r="I26" s="41">
        <f t="shared" si="1"/>
        <v>2198871.419</v>
      </c>
      <c r="J26" s="41">
        <f t="shared" si="1"/>
        <v>2069858.8139999998</v>
      </c>
      <c r="K26" s="41">
        <f t="shared" si="1"/>
        <v>2070000.2800000003</v>
      </c>
      <c r="L26" s="41">
        <f t="shared" si="1"/>
        <v>1955658.849</v>
      </c>
      <c r="M26" s="41">
        <f t="shared" si="1"/>
        <v>1943474.6220000002</v>
      </c>
      <c r="N26" s="41">
        <f t="shared" si="1"/>
        <v>1777353.1819999998</v>
      </c>
    </row>
    <row r="27" spans="1:10" ht="12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3.5">
      <c r="A28" s="121" t="s">
        <v>297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4" ht="12">
      <c r="A29" s="121"/>
      <c r="B29" s="15" t="s">
        <v>285</v>
      </c>
      <c r="C29" s="15" t="s">
        <v>70</v>
      </c>
      <c r="D29" s="15" t="s">
        <v>284</v>
      </c>
      <c r="E29" s="15" t="s">
        <v>283</v>
      </c>
      <c r="F29" s="15" t="s">
        <v>282</v>
      </c>
      <c r="G29" s="15" t="s">
        <v>281</v>
      </c>
      <c r="H29" s="15" t="s">
        <v>280</v>
      </c>
      <c r="I29" s="15" t="s">
        <v>279</v>
      </c>
      <c r="J29" s="15" t="s">
        <v>278</v>
      </c>
      <c r="K29" s="163" t="s">
        <v>287</v>
      </c>
      <c r="L29" s="163" t="s">
        <v>288</v>
      </c>
      <c r="M29" s="163" t="s">
        <v>289</v>
      </c>
      <c r="N29" s="163" t="s">
        <v>171</v>
      </c>
    </row>
    <row r="30" spans="1:14" ht="13.5">
      <c r="A30" s="15" t="s">
        <v>315</v>
      </c>
      <c r="B30" s="162">
        <f>(B13+B23)/1000</f>
        <v>12358.35051</v>
      </c>
      <c r="C30" s="162">
        <f aca="true" t="shared" si="2" ref="C30:N30">(C13+C23)/1000</f>
        <v>11380.64499</v>
      </c>
      <c r="D30" s="162">
        <f t="shared" si="2"/>
        <v>11023.89115</v>
      </c>
      <c r="E30" s="162">
        <f t="shared" si="2"/>
        <v>10452.4149</v>
      </c>
      <c r="F30" s="162">
        <f t="shared" si="2"/>
        <v>10171.981530000001</v>
      </c>
      <c r="G30" s="162">
        <f t="shared" si="2"/>
        <v>9775.0491</v>
      </c>
      <c r="H30" s="162">
        <f t="shared" si="2"/>
        <v>9063.515730000001</v>
      </c>
      <c r="I30" s="162">
        <f t="shared" si="2"/>
        <v>8776.063830000001</v>
      </c>
      <c r="J30" s="162">
        <f t="shared" si="2"/>
        <v>8288.21436</v>
      </c>
      <c r="K30" s="162">
        <f t="shared" si="2"/>
        <v>6521.99178</v>
      </c>
      <c r="L30" s="162">
        <f t="shared" si="2"/>
        <v>5602.0783</v>
      </c>
      <c r="M30" s="162">
        <f t="shared" si="2"/>
        <v>5179.91528</v>
      </c>
      <c r="N30" s="162">
        <f t="shared" si="2"/>
        <v>5148.118300000001</v>
      </c>
    </row>
    <row r="31" spans="1:14" ht="12">
      <c r="A31" s="15" t="s">
        <v>316</v>
      </c>
      <c r="B31" s="130">
        <f>(B14*0.7+B24*0.7)/1000</f>
        <v>10485.212303999999</v>
      </c>
      <c r="C31" s="130">
        <f aca="true" t="shared" si="3" ref="C31:N31">(C14*0.7+C24*0.7)/1000</f>
        <v>10122.549079999999</v>
      </c>
      <c r="D31" s="130">
        <f t="shared" si="3"/>
        <v>9999.966018</v>
      </c>
      <c r="E31" s="130">
        <f t="shared" si="3"/>
        <v>9880.492328</v>
      </c>
      <c r="F31" s="130">
        <f t="shared" si="3"/>
        <v>9890.673225999999</v>
      </c>
      <c r="G31" s="130">
        <f t="shared" si="3"/>
        <v>9860.71345</v>
      </c>
      <c r="H31" s="130">
        <f t="shared" si="3"/>
        <v>9852.685121999999</v>
      </c>
      <c r="I31" s="130">
        <f t="shared" si="3"/>
        <v>9750.719866999998</v>
      </c>
      <c r="J31" s="130">
        <f t="shared" si="3"/>
        <v>9658.562668999997</v>
      </c>
      <c r="K31" s="130">
        <f t="shared" si="3"/>
        <v>8879.334267999999</v>
      </c>
      <c r="L31" s="130">
        <f t="shared" si="3"/>
        <v>8080.299073</v>
      </c>
      <c r="M31" s="130">
        <f t="shared" si="3"/>
        <v>7979.224442</v>
      </c>
      <c r="N31" s="130">
        <f t="shared" si="3"/>
        <v>7845.422543</v>
      </c>
    </row>
    <row r="32" spans="1:14" ht="13.5">
      <c r="A32" s="15" t="s">
        <v>317</v>
      </c>
      <c r="B32" s="130">
        <f>(B15*1.9+B25*1.9)/1000</f>
        <v>8015.42797</v>
      </c>
      <c r="C32" s="130">
        <f aca="true" t="shared" si="4" ref="C32:N32">(C15*1.9+C25*1.9)/1000</f>
        <v>7772.459333</v>
      </c>
      <c r="D32" s="130">
        <f t="shared" si="4"/>
        <v>7683.5635010000005</v>
      </c>
      <c r="E32" s="130">
        <f t="shared" si="4"/>
        <v>7583.81067</v>
      </c>
      <c r="F32" s="130">
        <f t="shared" si="4"/>
        <v>7484.9932850000005</v>
      </c>
      <c r="G32" s="130">
        <f t="shared" si="4"/>
        <v>7428.267967999999</v>
      </c>
      <c r="H32" s="130">
        <f t="shared" si="4"/>
        <v>7352.823413999999</v>
      </c>
      <c r="I32" s="130">
        <f t="shared" si="4"/>
        <v>7361.262301999999</v>
      </c>
      <c r="J32" s="130">
        <f t="shared" si="4"/>
        <v>7373.5449849999995</v>
      </c>
      <c r="K32" s="130">
        <f t="shared" si="4"/>
        <v>7111.848978999999</v>
      </c>
      <c r="L32" s="130">
        <f t="shared" si="4"/>
        <v>7016.821904</v>
      </c>
      <c r="M32" s="130">
        <f t="shared" si="4"/>
        <v>6895.96602</v>
      </c>
      <c r="N32" s="130">
        <f t="shared" si="4"/>
        <v>6909.880613</v>
      </c>
    </row>
    <row r="33" spans="2:14" ht="12">
      <c r="B33" s="162">
        <f>B30+B31+B32</f>
        <v>30858.990783999998</v>
      </c>
      <c r="C33" s="162">
        <f aca="true" t="shared" si="5" ref="C33:N33">C30+C31+C32</f>
        <v>29275.653402999997</v>
      </c>
      <c r="D33" s="162">
        <f t="shared" si="5"/>
        <v>28707.420669</v>
      </c>
      <c r="E33" s="162">
        <f t="shared" si="5"/>
        <v>27916.717898</v>
      </c>
      <c r="F33" s="162">
        <f t="shared" si="5"/>
        <v>27547.648041</v>
      </c>
      <c r="G33" s="162">
        <f t="shared" si="5"/>
        <v>27064.030518</v>
      </c>
      <c r="H33" s="162">
        <f t="shared" si="5"/>
        <v>26269.024266</v>
      </c>
      <c r="I33" s="162">
        <f t="shared" si="5"/>
        <v>25888.045998999998</v>
      </c>
      <c r="J33" s="162">
        <f t="shared" si="5"/>
        <v>25320.322013999998</v>
      </c>
      <c r="K33" s="162">
        <f t="shared" si="5"/>
        <v>22513.175026999997</v>
      </c>
      <c r="L33" s="162">
        <f t="shared" si="5"/>
        <v>20699.199277</v>
      </c>
      <c r="M33" s="162">
        <f t="shared" si="5"/>
        <v>20055.105742</v>
      </c>
      <c r="N33" s="162">
        <f t="shared" si="5"/>
        <v>19903.421456</v>
      </c>
    </row>
    <row r="34" spans="2:10" ht="12">
      <c r="B34" s="130"/>
      <c r="C34" s="130"/>
      <c r="D34" s="130"/>
      <c r="E34" s="130"/>
      <c r="F34" s="130"/>
      <c r="G34" s="130"/>
      <c r="H34" s="130"/>
      <c r="I34" s="130"/>
      <c r="J34" s="130"/>
    </row>
  </sheetData>
  <sheetProtection/>
  <printOptions/>
  <pageMargins left="0.75" right="0.75" top="1" bottom="1" header="0.5" footer="0.5"/>
  <pageSetup fitToHeight="1" fitToWidth="1" horizontalDpi="300" verticalDpi="300" orientation="landscape" pageOrder="overThenDown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172"/>
  <sheetViews>
    <sheetView zoomScalePageLayoutView="0" workbookViewId="0" topLeftCell="A1">
      <selection activeCell="K129" sqref="K129"/>
    </sheetView>
  </sheetViews>
  <sheetFormatPr defaultColWidth="11.00390625" defaultRowHeight="14.25"/>
  <cols>
    <col min="1" max="1" width="36.125" style="3" customWidth="1"/>
    <col min="2" max="2" width="13.00390625" style="3" customWidth="1"/>
    <col min="3" max="3" width="12.375" style="3" bestFit="1" customWidth="1"/>
    <col min="4" max="4" width="13.75390625" style="3" customWidth="1"/>
    <col min="5" max="5" width="14.25390625" style="3" customWidth="1"/>
    <col min="6" max="6" width="12.125" style="3" bestFit="1" customWidth="1"/>
    <col min="7" max="7" width="10.375" style="3" customWidth="1"/>
    <col min="8" max="8" width="11.625" style="3" bestFit="1" customWidth="1"/>
    <col min="9" max="9" width="11.25390625" style="32" customWidth="1"/>
    <col min="10" max="10" width="13.00390625" style="3" customWidth="1"/>
    <col min="11" max="11" width="31.50390625" style="3" customWidth="1"/>
    <col min="12" max="16384" width="11.00390625" style="3" customWidth="1"/>
  </cols>
  <sheetData>
    <row r="1" spans="1:38" ht="12">
      <c r="A1" s="108" t="s">
        <v>314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">
      <c r="A2" s="2"/>
      <c r="B2" s="5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3.5">
      <c r="A3" s="5" t="s">
        <v>312</v>
      </c>
      <c r="B3" s="108"/>
      <c r="C3" s="2"/>
      <c r="D3" s="2">
        <v>0.7</v>
      </c>
      <c r="E3" s="2"/>
      <c r="F3" s="2">
        <v>1.9</v>
      </c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">
      <c r="A4" s="2"/>
      <c r="B4" s="94" t="s">
        <v>66</v>
      </c>
      <c r="C4" s="102" t="s">
        <v>66</v>
      </c>
      <c r="D4" s="95" t="s">
        <v>67</v>
      </c>
      <c r="E4" s="103" t="s">
        <v>67</v>
      </c>
      <c r="F4" s="96" t="s">
        <v>89</v>
      </c>
      <c r="G4" s="104" t="s">
        <v>89</v>
      </c>
      <c r="H4" s="177" t="s">
        <v>91</v>
      </c>
      <c r="I4" s="17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">
      <c r="A5" s="2"/>
      <c r="B5" s="92" t="s">
        <v>70</v>
      </c>
      <c r="C5" s="98">
        <v>2011</v>
      </c>
      <c r="D5" s="97">
        <v>2000</v>
      </c>
      <c r="E5" s="99">
        <v>2011</v>
      </c>
      <c r="F5" s="97">
        <v>2000</v>
      </c>
      <c r="G5" s="100">
        <v>2011</v>
      </c>
      <c r="H5" s="97">
        <v>2000</v>
      </c>
      <c r="I5" s="101">
        <v>2011</v>
      </c>
      <c r="J5" s="10" t="s">
        <v>108</v>
      </c>
      <c r="K5" s="10" t="s">
        <v>109</v>
      </c>
      <c r="L5" s="10" t="s">
        <v>110</v>
      </c>
      <c r="M5" s="2" t="s">
        <v>275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">
      <c r="A6" s="105" t="s">
        <v>134</v>
      </c>
      <c r="B6" s="93">
        <f aca="true" t="shared" si="0" ref="B6:I14">B22/1000</f>
        <v>10819.333550000001</v>
      </c>
      <c r="C6" s="93">
        <f t="shared" si="0"/>
        <v>4766.1104000000005</v>
      </c>
      <c r="D6" s="93">
        <f t="shared" si="0"/>
        <v>8202.874301999998</v>
      </c>
      <c r="E6" s="93">
        <f t="shared" si="0"/>
        <v>6680.214058</v>
      </c>
      <c r="F6" s="93">
        <f t="shared" si="0"/>
        <v>7545.495688</v>
      </c>
      <c r="G6" s="93">
        <f t="shared" si="0"/>
        <v>6679.743815999999</v>
      </c>
      <c r="H6" s="93">
        <f t="shared" si="0"/>
        <v>26567.70354</v>
      </c>
      <c r="I6" s="93">
        <f t="shared" si="0"/>
        <v>18126.068274</v>
      </c>
      <c r="J6" s="11">
        <f aca="true" t="shared" si="1" ref="J6:J13">I6/H6*100</f>
        <v>68.22595052940734</v>
      </c>
      <c r="K6" s="57">
        <f>I6-H6</f>
        <v>-8441.635265999998</v>
      </c>
      <c r="L6" s="58">
        <f aca="true" t="shared" si="2" ref="L6:L15">I6*100/($I$15)</f>
        <v>91.07011231245266</v>
      </c>
      <c r="M6" s="164">
        <f>(I6-H6)/H6</f>
        <v>-0.31774049470592663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">
      <c r="A7" s="10" t="s">
        <v>30</v>
      </c>
      <c r="B7" s="93">
        <f t="shared" si="0"/>
        <v>135.83661999999998</v>
      </c>
      <c r="C7" s="93">
        <f t="shared" si="0"/>
        <v>100.86653</v>
      </c>
      <c r="D7" s="93">
        <f t="shared" si="0"/>
        <v>857.595991</v>
      </c>
      <c r="E7" s="93">
        <f t="shared" si="0"/>
        <v>720.6138309999999</v>
      </c>
      <c r="F7" s="93">
        <f t="shared" si="0"/>
        <v>7235.317705</v>
      </c>
      <c r="G7" s="93">
        <f t="shared" si="0"/>
        <v>6344.749363</v>
      </c>
      <c r="H7" s="93">
        <f t="shared" si="0"/>
        <v>8228.750316</v>
      </c>
      <c r="I7" s="93">
        <f t="shared" si="0"/>
        <v>7166.229724</v>
      </c>
      <c r="J7" s="11">
        <f t="shared" si="1"/>
        <v>87.08770407173454</v>
      </c>
      <c r="K7" s="57">
        <f aca="true" t="shared" si="3" ref="K7:K15">I7-H7</f>
        <v>-1062.5205919999999</v>
      </c>
      <c r="L7" s="58">
        <f t="shared" si="2"/>
        <v>36.00501421246697</v>
      </c>
      <c r="M7" s="164">
        <f aca="true" t="shared" si="4" ref="M7:M15">(I7-H7)/H7</f>
        <v>-0.1291229592826547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">
      <c r="A8" s="10" t="s">
        <v>31</v>
      </c>
      <c r="B8" s="93">
        <f t="shared" si="0"/>
        <v>110.22577</v>
      </c>
      <c r="C8" s="93">
        <f t="shared" si="0"/>
        <v>48.680330000000005</v>
      </c>
      <c r="D8" s="93">
        <f t="shared" si="0"/>
        <v>126.005299</v>
      </c>
      <c r="E8" s="93">
        <f t="shared" si="0"/>
        <v>92.73917099999998</v>
      </c>
      <c r="F8" s="93">
        <f t="shared" si="0"/>
        <v>0.583395</v>
      </c>
      <c r="G8" s="93">
        <f t="shared" si="0"/>
        <v>0.6002669999999999</v>
      </c>
      <c r="H8" s="93">
        <f t="shared" si="0"/>
        <v>236.81446400000002</v>
      </c>
      <c r="I8" s="93">
        <f t="shared" si="0"/>
        <v>142.01976799999997</v>
      </c>
      <c r="J8" s="11">
        <f t="shared" si="1"/>
        <v>59.97090110171648</v>
      </c>
      <c r="K8" s="57">
        <f t="shared" si="3"/>
        <v>-94.79469600000004</v>
      </c>
      <c r="L8" s="58">
        <f t="shared" si="2"/>
        <v>0.7135444944175028</v>
      </c>
      <c r="M8" s="164">
        <f t="shared" si="4"/>
        <v>-0.40029098898283527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">
      <c r="A9" s="10" t="s">
        <v>10</v>
      </c>
      <c r="B9" s="93">
        <f t="shared" si="0"/>
        <v>2703.50467</v>
      </c>
      <c r="C9" s="93">
        <f t="shared" si="0"/>
        <v>1443.52864</v>
      </c>
      <c r="D9" s="93">
        <f t="shared" si="0"/>
        <v>1562.4467040000002</v>
      </c>
      <c r="E9" s="93">
        <f t="shared" si="0"/>
        <v>1037.4664649999997</v>
      </c>
      <c r="F9" s="93">
        <f t="shared" si="0"/>
        <v>147.01795299999998</v>
      </c>
      <c r="G9" s="93">
        <f t="shared" si="0"/>
        <v>149.230598</v>
      </c>
      <c r="H9" s="93">
        <f t="shared" si="0"/>
        <v>4412.969327</v>
      </c>
      <c r="I9" s="93">
        <f t="shared" si="0"/>
        <v>2630.2257029999996</v>
      </c>
      <c r="J9" s="11">
        <f t="shared" si="1"/>
        <v>59.60217504589058</v>
      </c>
      <c r="K9" s="57">
        <f t="shared" si="3"/>
        <v>-1782.7436240000002</v>
      </c>
      <c r="L9" s="58">
        <f t="shared" si="2"/>
        <v>13.21494251033459</v>
      </c>
      <c r="M9" s="164">
        <f t="shared" si="4"/>
        <v>-0.4039782495410941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">
      <c r="A10" s="10" t="s">
        <v>11</v>
      </c>
      <c r="B10" s="93">
        <f t="shared" si="0"/>
        <v>6366.669059999999</v>
      </c>
      <c r="C10" s="93">
        <f t="shared" si="0"/>
        <v>2275.7142000000003</v>
      </c>
      <c r="D10" s="93">
        <f t="shared" si="0"/>
        <v>1531.229441</v>
      </c>
      <c r="E10" s="93">
        <f t="shared" si="0"/>
        <v>1140.5093909999998</v>
      </c>
      <c r="F10" s="93">
        <f t="shared" si="0"/>
        <v>7.430482</v>
      </c>
      <c r="G10" s="93">
        <f t="shared" si="0"/>
        <v>8.730747</v>
      </c>
      <c r="H10" s="93">
        <f t="shared" si="0"/>
        <v>7905.328982999999</v>
      </c>
      <c r="I10" s="93">
        <f t="shared" si="0"/>
        <v>3424.954338</v>
      </c>
      <c r="J10" s="11">
        <f t="shared" si="1"/>
        <v>43.3246275438402</v>
      </c>
      <c r="K10" s="57">
        <f t="shared" si="3"/>
        <v>-4480.374645</v>
      </c>
      <c r="L10" s="58">
        <f t="shared" si="2"/>
        <v>17.207867228111816</v>
      </c>
      <c r="M10" s="164">
        <f t="shared" si="4"/>
        <v>-0.5667537245615981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">
      <c r="A11" s="10" t="s">
        <v>129</v>
      </c>
      <c r="B11" s="93">
        <f t="shared" si="0"/>
        <v>1229.74631</v>
      </c>
      <c r="C11" s="93">
        <f t="shared" si="0"/>
        <v>756.7213600000001</v>
      </c>
      <c r="D11" s="93">
        <f t="shared" si="0"/>
        <v>2690.751973</v>
      </c>
      <c r="E11" s="93">
        <f t="shared" si="0"/>
        <v>2745.360275</v>
      </c>
      <c r="F11" s="93">
        <f t="shared" si="0"/>
        <v>8.493379999999998</v>
      </c>
      <c r="G11" s="93">
        <f t="shared" si="0"/>
        <v>11.800880999999999</v>
      </c>
      <c r="H11" s="93">
        <f t="shared" si="0"/>
        <v>3928.991663</v>
      </c>
      <c r="I11" s="93">
        <f t="shared" si="0"/>
        <v>3513.8825159999997</v>
      </c>
      <c r="J11" s="11">
        <f t="shared" si="1"/>
        <v>89.43471550451085</v>
      </c>
      <c r="K11" s="57">
        <f t="shared" si="3"/>
        <v>-415.1091470000001</v>
      </c>
      <c r="L11" s="58">
        <f t="shared" si="2"/>
        <v>17.654665675286296</v>
      </c>
      <c r="M11" s="164">
        <f t="shared" si="4"/>
        <v>-0.10565284495489145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">
      <c r="A12" s="10" t="s">
        <v>130</v>
      </c>
      <c r="B12" s="93">
        <f t="shared" si="0"/>
        <v>273.35112999999996</v>
      </c>
      <c r="C12" s="93">
        <f t="shared" si="0"/>
        <v>140.59934999999984</v>
      </c>
      <c r="D12" s="93">
        <f t="shared" si="0"/>
        <v>1434.844908</v>
      </c>
      <c r="E12" s="93">
        <f t="shared" si="0"/>
        <v>943.5249180000001</v>
      </c>
      <c r="F12" s="93">
        <f t="shared" si="0"/>
        <v>146.652754</v>
      </c>
      <c r="G12" s="93">
        <f t="shared" si="0"/>
        <v>164.63199799999995</v>
      </c>
      <c r="H12" s="93">
        <f t="shared" si="0"/>
        <v>1854.848792</v>
      </c>
      <c r="I12" s="93">
        <f t="shared" si="0"/>
        <v>1248.7562659999999</v>
      </c>
      <c r="J12" s="11">
        <f t="shared" si="1"/>
        <v>67.32388491104561</v>
      </c>
      <c r="K12" s="57">
        <f t="shared" si="3"/>
        <v>-606.0925260000001</v>
      </c>
      <c r="L12" s="58">
        <f t="shared" si="2"/>
        <v>6.274078397830214</v>
      </c>
      <c r="M12" s="164">
        <f t="shared" si="4"/>
        <v>-0.3267611508895438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">
      <c r="A13" s="10" t="s">
        <v>131</v>
      </c>
      <c r="B13" s="93">
        <f t="shared" si="0"/>
        <v>10819.333560000001</v>
      </c>
      <c r="C13" s="93">
        <f t="shared" si="0"/>
        <v>4766.11041</v>
      </c>
      <c r="D13" s="93">
        <f t="shared" si="0"/>
        <v>8202.874316</v>
      </c>
      <c r="E13" s="93">
        <f t="shared" si="0"/>
        <v>6680.214050999999</v>
      </c>
      <c r="F13" s="93">
        <f t="shared" si="0"/>
        <v>7545.495668999999</v>
      </c>
      <c r="G13" s="93">
        <f t="shared" si="0"/>
        <v>6679.743854</v>
      </c>
      <c r="H13" s="93">
        <f t="shared" si="0"/>
        <v>26567.703545</v>
      </c>
      <c r="I13" s="93">
        <f t="shared" si="0"/>
        <v>18126.068314999997</v>
      </c>
      <c r="J13" s="11">
        <f t="shared" si="1"/>
        <v>68.22595067089001</v>
      </c>
      <c r="K13" s="57">
        <f t="shared" si="3"/>
        <v>-8441.635230000004</v>
      </c>
      <c r="L13" s="58">
        <f t="shared" si="2"/>
        <v>91.07011251844737</v>
      </c>
      <c r="M13" s="164">
        <f t="shared" si="4"/>
        <v>-0.3177404932910999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">
      <c r="A14" s="10" t="s">
        <v>132</v>
      </c>
      <c r="B14" s="93">
        <f t="shared" si="0"/>
        <v>561.31144</v>
      </c>
      <c r="C14" s="93">
        <f t="shared" si="0"/>
        <v>382.0079</v>
      </c>
      <c r="D14" s="93">
        <f t="shared" si="0"/>
        <v>1919.6747779999998</v>
      </c>
      <c r="E14" s="93">
        <f t="shared" si="0"/>
        <v>1165.2084849999999</v>
      </c>
      <c r="F14" s="93">
        <f t="shared" si="0"/>
        <v>226.96364499999999</v>
      </c>
      <c r="G14" s="93">
        <f t="shared" si="0"/>
        <v>230.136797</v>
      </c>
      <c r="H14" s="93">
        <f t="shared" si="0"/>
        <v>2707.949863</v>
      </c>
      <c r="I14" s="93">
        <f t="shared" si="0"/>
        <v>1777.3531819999998</v>
      </c>
      <c r="J14" s="11"/>
      <c r="K14" s="57">
        <f t="shared" si="3"/>
        <v>-930.596681</v>
      </c>
      <c r="L14" s="58">
        <f t="shared" si="2"/>
        <v>8.92988768754734</v>
      </c>
      <c r="M14" s="164">
        <f t="shared" si="4"/>
        <v>-0.3436535859526732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">
      <c r="A15" s="2" t="s">
        <v>198</v>
      </c>
      <c r="B15" s="52">
        <f aca="true" t="shared" si="5" ref="B15:I15">B6+B14</f>
        <v>11380.64499</v>
      </c>
      <c r="C15" s="52">
        <f t="shared" si="5"/>
        <v>5148.1183</v>
      </c>
      <c r="D15" s="52">
        <f t="shared" si="5"/>
        <v>10122.549079999999</v>
      </c>
      <c r="E15" s="52">
        <f t="shared" si="5"/>
        <v>7845.422543</v>
      </c>
      <c r="F15" s="52">
        <f t="shared" si="5"/>
        <v>7772.459333</v>
      </c>
      <c r="G15" s="52">
        <f t="shared" si="5"/>
        <v>6909.880612999999</v>
      </c>
      <c r="H15" s="52">
        <f t="shared" si="5"/>
        <v>29275.653402999997</v>
      </c>
      <c r="I15" s="52">
        <f t="shared" si="5"/>
        <v>19903.421456</v>
      </c>
      <c r="J15" s="2"/>
      <c r="K15" s="57">
        <f t="shared" si="3"/>
        <v>-9372.231946999997</v>
      </c>
      <c r="L15" s="58">
        <f t="shared" si="2"/>
        <v>100</v>
      </c>
      <c r="M15" s="164">
        <f t="shared" si="4"/>
        <v>-0.3201374130915071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">
      <c r="A16" s="2"/>
      <c r="B16" s="52"/>
      <c r="C16" s="52">
        <f>B15-C15</f>
        <v>6232.526690000001</v>
      </c>
      <c r="D16" s="52"/>
      <c r="E16" s="52"/>
      <c r="F16" s="52"/>
      <c r="G16" s="52"/>
      <c r="H16" s="52"/>
      <c r="I16" s="52"/>
      <c r="J16" s="2"/>
      <c r="K16" s="2"/>
      <c r="L16" s="11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">
      <c r="A17" s="2"/>
      <c r="B17" s="52"/>
      <c r="C17" s="52"/>
      <c r="D17" s="52"/>
      <c r="E17" s="52"/>
      <c r="F17" s="52"/>
      <c r="G17" s="52"/>
      <c r="H17" s="52"/>
      <c r="I17" s="52"/>
      <c r="J17" s="2"/>
      <c r="K17" s="2"/>
      <c r="L17" s="1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">
      <c r="A18" s="5" t="s">
        <v>313</v>
      </c>
      <c r="B18" s="5" t="s">
        <v>55</v>
      </c>
      <c r="D18" s="2"/>
      <c r="E18" s="2"/>
      <c r="F18" s="2"/>
      <c r="G18" s="2"/>
      <c r="H18" s="2"/>
      <c r="I18" s="3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">
      <c r="A19" s="2"/>
      <c r="B19" s="2"/>
      <c r="C19" s="2"/>
      <c r="D19" s="2">
        <v>0.7</v>
      </c>
      <c r="E19" s="2"/>
      <c r="F19" s="2">
        <v>1.9</v>
      </c>
      <c r="G19" s="2"/>
      <c r="H19" s="2"/>
      <c r="I19" s="3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">
      <c r="A20" s="2"/>
      <c r="B20" s="94" t="s">
        <v>66</v>
      </c>
      <c r="C20" s="102" t="s">
        <v>66</v>
      </c>
      <c r="D20" s="95" t="s">
        <v>67</v>
      </c>
      <c r="E20" s="103" t="s">
        <v>67</v>
      </c>
      <c r="F20" s="96" t="s">
        <v>89</v>
      </c>
      <c r="G20" s="104" t="s">
        <v>89</v>
      </c>
      <c r="H20" s="177" t="s">
        <v>91</v>
      </c>
      <c r="I20" s="17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">
      <c r="A21" s="2"/>
      <c r="B21" s="92" t="s">
        <v>70</v>
      </c>
      <c r="C21" s="98">
        <v>2011</v>
      </c>
      <c r="D21" s="97">
        <v>2000</v>
      </c>
      <c r="E21" s="99">
        <v>2011</v>
      </c>
      <c r="F21" s="97">
        <v>2000</v>
      </c>
      <c r="G21" s="100">
        <v>2011</v>
      </c>
      <c r="H21" s="97">
        <v>2000</v>
      </c>
      <c r="I21" s="101">
        <v>2011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">
      <c r="A22" s="105" t="s">
        <v>134</v>
      </c>
      <c r="B22" s="93">
        <f>'Acid_gases_2000_NACErev1.1'!B12</f>
        <v>10819333.55</v>
      </c>
      <c r="C22" s="93">
        <f>Acid_gases_2011_NACErev2!B12</f>
        <v>4766110.4</v>
      </c>
      <c r="D22" s="93">
        <f>'Acid_gases_2000_NACErev1.1'!B47*$D$19</f>
        <v>8202874.301999999</v>
      </c>
      <c r="E22" s="93">
        <f>Acid_gases_2011_NACErev2!B49*D19</f>
        <v>6680214.057999999</v>
      </c>
      <c r="F22" s="93">
        <f>'Acid_gases_2000_NACErev1.1'!B82*F19</f>
        <v>7545495.688</v>
      </c>
      <c r="G22" s="93">
        <f>Acid_gases_2011_NACErev2!B86*F19</f>
        <v>6679743.816</v>
      </c>
      <c r="H22" s="116">
        <f>B22+D22+F22</f>
        <v>26567703.54</v>
      </c>
      <c r="I22" s="116">
        <f>C22+E22+G22</f>
        <v>18126068.274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">
      <c r="A23" s="10" t="s">
        <v>30</v>
      </c>
      <c r="B23" s="11">
        <f>'Acid_gases_2000_NACErev1.1'!B13+'Acid_gases_2000_NACErev1.1'!B14</f>
        <v>135836.62</v>
      </c>
      <c r="C23" s="11">
        <f>Acid_gases_2011_NACErev2!B13</f>
        <v>100866.53</v>
      </c>
      <c r="D23" s="11">
        <f>('Acid_gases_2000_NACErev1.1'!B48+'Acid_gases_2000_NACErev1.1'!B49)*D19</f>
        <v>857595.991</v>
      </c>
      <c r="E23" s="11">
        <f>Acid_gases_2011_NACErev2!B50*D19</f>
        <v>720613.8309999999</v>
      </c>
      <c r="F23" s="11">
        <f>('Acid_gases_2000_NACErev1.1'!B83+'Acid_gases_2000_NACErev1.1'!B84)*1.9</f>
        <v>7235317.705</v>
      </c>
      <c r="G23" s="11">
        <f>Acid_gases_2011_NACErev2!B87*F19</f>
        <v>6344749.363</v>
      </c>
      <c r="H23" s="116">
        <f aca="true" t="shared" si="6" ref="H23:H30">B23+D23+F23</f>
        <v>8228750.316</v>
      </c>
      <c r="I23" s="116">
        <f aca="true" t="shared" si="7" ref="I23:I30">C23+E23+G23</f>
        <v>7166229.723999999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">
      <c r="A24" s="10" t="s">
        <v>31</v>
      </c>
      <c r="B24" s="11">
        <f>'Acid_gases_2000_NACErev1.1'!B15</f>
        <v>110225.77</v>
      </c>
      <c r="C24" s="11">
        <f>Acid_gases_2011_NACErev2!B14</f>
        <v>48680.33</v>
      </c>
      <c r="D24" s="11">
        <f>'Acid_gases_2000_NACErev1.1'!B50*D19</f>
        <v>126005.299</v>
      </c>
      <c r="E24" s="11">
        <f>Acid_gases_2011_NACErev2!B51*D19</f>
        <v>92739.17099999999</v>
      </c>
      <c r="F24" s="11">
        <f>'Acid_gases_2000_NACErev1.1'!B85*F19</f>
        <v>583.395</v>
      </c>
      <c r="G24" s="11">
        <f>Acid_gases_2011_NACErev2!B88*F19</f>
        <v>600.2669999999999</v>
      </c>
      <c r="H24" s="116">
        <f t="shared" si="6"/>
        <v>236814.464</v>
      </c>
      <c r="I24" s="116">
        <f t="shared" si="7"/>
        <v>142019.76799999998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">
      <c r="A25" s="10" t="s">
        <v>10</v>
      </c>
      <c r="B25" s="11">
        <f>'Acid_gases_2000_NACErev1.1'!B16</f>
        <v>2703504.67</v>
      </c>
      <c r="C25" s="11">
        <f>Acid_gases_2011_NACErev2!B15</f>
        <v>1443528.64</v>
      </c>
      <c r="D25" s="11">
        <f>'Acid_gases_2000_NACErev1.1'!B51*D19</f>
        <v>1562446.7040000001</v>
      </c>
      <c r="E25" s="11">
        <f>Acid_gases_2011_NACErev2!B52*D19</f>
        <v>1037466.4649999999</v>
      </c>
      <c r="F25" s="11">
        <f>'Acid_gases_2000_NACErev1.1'!B86*F19</f>
        <v>147017.95299999998</v>
      </c>
      <c r="G25" s="11">
        <f>Acid_gases_2011_NACErev2!B89*F19</f>
        <v>149230.598</v>
      </c>
      <c r="H25" s="116">
        <f t="shared" si="6"/>
        <v>4412969.327</v>
      </c>
      <c r="I25" s="116">
        <f t="shared" si="7"/>
        <v>2630225.7029999997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">
      <c r="A26" s="10" t="s">
        <v>11</v>
      </c>
      <c r="B26" s="11">
        <f>'Acid_gases_2000_NACErev1.1'!B18</f>
        <v>6366669.06</v>
      </c>
      <c r="C26" s="11">
        <f>Acid_gases_2011_NACErev2!B16</f>
        <v>2275714.2</v>
      </c>
      <c r="D26" s="11">
        <f>'Acid_gases_2000_NACErev1.1'!B53*D19</f>
        <v>1531229.4409999999</v>
      </c>
      <c r="E26" s="11">
        <f>Acid_gases_2011_NACErev2!B53*D19</f>
        <v>1140509.3909999998</v>
      </c>
      <c r="F26" s="11">
        <f>'Acid_gases_2000_NACErev1.1'!B88*F19</f>
        <v>7430.482</v>
      </c>
      <c r="G26" s="11">
        <f>Acid_gases_2011_NACErev2!B90*F19</f>
        <v>8730.747</v>
      </c>
      <c r="H26" s="116">
        <f t="shared" si="6"/>
        <v>7905328.982999999</v>
      </c>
      <c r="I26" s="116">
        <f t="shared" si="7"/>
        <v>3424954.338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">
      <c r="A27" s="10" t="s">
        <v>129</v>
      </c>
      <c r="B27" s="11">
        <f>'Acid_gases_2000_NACErev1.1'!B24+'Acid_gases_2000_NACErev1.1'!B25+'Acid_gases_2000_NACErev1.1'!B26</f>
        <v>1229746.31</v>
      </c>
      <c r="C27" s="11">
        <f>Acid_gases_2011_NACErev2!B21+Acid_gases_2011_NACErev2!B22+Acid_gases_2011_NACErev2!B23</f>
        <v>756721.3600000001</v>
      </c>
      <c r="D27" s="11">
        <f>('Acid_gases_2000_NACErev1.1'!B59+'Acid_gases_2000_NACErev1.1'!B60+'Acid_gases_2000_NACErev1.1'!B61)*D19</f>
        <v>2690751.9729999998</v>
      </c>
      <c r="E27" s="11">
        <f>(Acid_gases_2011_NACErev2!B58+Acid_gases_2011_NACErev2!B59+Acid_gases_2011_NACErev2!B60)*D19</f>
        <v>2745360.275</v>
      </c>
      <c r="F27" s="11">
        <f>('Acid_gases_2000_NACErev1.1'!B94+'Acid_gases_2000_NACErev1.1'!B95+'Acid_gases_2000_NACErev1.1'!B96)*F19</f>
        <v>8493.38</v>
      </c>
      <c r="G27" s="11">
        <f>(Acid_gases_2011_NACErev2!B95+Acid_gases_2011_NACErev2!B96+Acid_gases_2011_NACErev2!B97)*F19</f>
        <v>11800.881</v>
      </c>
      <c r="H27" s="116">
        <f t="shared" si="6"/>
        <v>3928991.6629999997</v>
      </c>
      <c r="I27" s="116">
        <f t="shared" si="7"/>
        <v>3513882.516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">
      <c r="A28" s="10" t="s">
        <v>130</v>
      </c>
      <c r="B28" s="11">
        <f>'Acid_gases_2000_NACErev1.1'!B19+'Acid_gases_2000_NACErev1.1'!B20+'Acid_gases_2000_NACErev1.1'!B21+'Acid_gases_2000_NACErev1.1'!B22+'Acid_gases_2000_NACErev1.1'!B27+'Acid_gases_2000_NACErev1.1'!B28+'Acid_gases_2000_NACErev1.1'!B29+'Acid_gases_2000_NACErev1.1'!B30+'Acid_gases_2000_NACErev1.1'!B31+'Acid_gases_2000_NACErev1.1'!B32+'Acid_gases_2000_NACErev1.1'!B33+'Acid_gases_2000_NACErev1.1'!B34+'Acid_gases_2000_NACErev1.1'!B35+'Acid_gases_2000_NACErev1.1'!B36</f>
        <v>273351.12999999995</v>
      </c>
      <c r="C28" s="11">
        <f>Acid_gases_2011_NACErev2!B17+Acid_gases_2011_NACErev2!B18+(Acid_gases_2011_NACErev2!B19+Acid_gases_2011_NACErev2!B20-(Acid_gases_2011_NACErev2!B21+Acid_gases_2011_NACErev2!B22+Acid_gases_2011_NACErev2!B23))+Acid_gases_2011_NACErev2!B26+Acid_gases_2011_NACErev2!B27+Acid_gases_2011_NACErev2!B28+Acid_gases_2011_NACErev2!B29+Acid_gases_2011_NACErev2!B30+Acid_gases_2011_NACErev2!B31+Acid_gases_2011_NACErev2!B32+Acid_gases_2011_NACErev2!B33+Acid_gases_2011_NACErev2!B34+Acid_gases_2011_NACErev2!B35+Acid_gases_2011_NACErev2!B36+Acid_gases_2011_NACErev2!B37+Acid_gases_2011_NACErev2!B38</f>
        <v>140599.34999999983</v>
      </c>
      <c r="D28" s="11">
        <f>SUM('Acid_gases_2000_NACErev1.1'!B54,'Acid_gases_2000_NACErev1.1'!B55,'Acid_gases_2000_NACErev1.1'!B56,'Acid_gases_2000_NACErev1.1'!B57,'Acid_gases_2000_NACErev1.1'!B62:B71)*D19</f>
        <v>1434844.908</v>
      </c>
      <c r="E28" s="11">
        <f>(SUM(Acid_gases_2011_NACErev2!B54:B57,Acid_gases_2011_NACErev2!B63:B75)-SUM(Acid_gases_2011_NACErev2!B58:B60))*D19</f>
        <v>943524.9180000001</v>
      </c>
      <c r="F28" s="11">
        <f>SUM('Acid_gases_2000_NACErev1.1'!B89,'Acid_gases_2000_NACErev1.1'!B90,'Acid_gases_2000_NACErev1.1'!B91,'Acid_gases_2000_NACErev1.1'!B92,'Acid_gases_2000_NACErev1.1'!B97:B105)*F19</f>
        <v>146652.754</v>
      </c>
      <c r="G28" s="11">
        <f>(SUM(Acid_gases_2011_NACErev2!B91,Acid_gases_2011_NACErev2!B92,Acid_gases_2011_NACErev2!B93,Acid_gases_2011_NACErev2!B94,Acid_gases_2011_NACErev2!B100,Acid_gases_2011_NACErev2!B101,Acid_gases_2011_NACErev2!B102,Acid_gases_2011_NACErev2!B103,Acid_gases_2011_NACErev2!B104,Acid_gases_2011_NACErev2!B105,Acid_gases_2011_NACErev2!B106,Acid_gases_2011_NACErev2!B107,Acid_gases_2011_NACErev2!B108,Acid_gases_2011_NACErev2!B109,Acid_gases_2011_NACErev2!B110,Acid_gases_2011_NACErev2!B111,Acid_gases_2011_NACErev2!B112)-SUM(Acid_gases_2011_NACErev2!B95,Acid_gases_2011_NACErev2!B96,Acid_gases_2011_NACErev2!B97))*F19</f>
        <v>164631.99799999996</v>
      </c>
      <c r="H28" s="116">
        <f t="shared" si="6"/>
        <v>1854848.792</v>
      </c>
      <c r="I28" s="116">
        <f t="shared" si="7"/>
        <v>1248756.2659999998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">
      <c r="A29" s="10" t="s">
        <v>131</v>
      </c>
      <c r="B29" s="11">
        <f aca="true" t="shared" si="8" ref="B29:G29">SUM(B23:B28)</f>
        <v>10819333.56</v>
      </c>
      <c r="C29" s="11">
        <f t="shared" si="8"/>
        <v>4766110.41</v>
      </c>
      <c r="D29" s="11">
        <f t="shared" si="8"/>
        <v>8202874.316</v>
      </c>
      <c r="E29" s="11">
        <f t="shared" si="8"/>
        <v>6680214.050999999</v>
      </c>
      <c r="F29" s="11">
        <f t="shared" si="8"/>
        <v>7545495.668999999</v>
      </c>
      <c r="G29" s="11">
        <f t="shared" si="8"/>
        <v>6679743.854</v>
      </c>
      <c r="H29" s="116">
        <f t="shared" si="6"/>
        <v>26567703.545</v>
      </c>
      <c r="I29" s="116">
        <f t="shared" si="7"/>
        <v>18126068.314999998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">
      <c r="A30" s="10" t="s">
        <v>132</v>
      </c>
      <c r="B30" s="11">
        <f>'Acid_gases_2000_NACErev1.1'!B37</f>
        <v>561311.44</v>
      </c>
      <c r="C30" s="11">
        <f>Acid_gases_2011_NACErev2!B39</f>
        <v>382007.9</v>
      </c>
      <c r="D30" s="11">
        <f>'Acid_gases_2000_NACErev1.1'!B72*D19</f>
        <v>1919674.778</v>
      </c>
      <c r="E30" s="11">
        <f>Acid_gases_2011_NACErev2!B76*D19</f>
        <v>1165208.4849999999</v>
      </c>
      <c r="F30" s="11">
        <f>'Acid_gases_2000_NACErev1.1'!B107*F19</f>
        <v>226963.645</v>
      </c>
      <c r="G30" s="11">
        <f>Acid_gases_2011_NACErev2!B113*F19</f>
        <v>230136.797</v>
      </c>
      <c r="H30" s="116">
        <f t="shared" si="6"/>
        <v>2707949.863</v>
      </c>
      <c r="I30" s="116">
        <f t="shared" si="7"/>
        <v>1777353.1819999998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">
      <c r="A31" s="2" t="s">
        <v>198</v>
      </c>
      <c r="B31" s="52">
        <f aca="true" t="shared" si="9" ref="B31:I31">B22+B30</f>
        <v>11380644.99</v>
      </c>
      <c r="C31" s="52">
        <f t="shared" si="9"/>
        <v>5148118.300000001</v>
      </c>
      <c r="D31" s="52">
        <f t="shared" si="9"/>
        <v>10122549.079999998</v>
      </c>
      <c r="E31" s="52">
        <f t="shared" si="9"/>
        <v>7845422.543</v>
      </c>
      <c r="F31" s="52">
        <f t="shared" si="9"/>
        <v>7772459.333</v>
      </c>
      <c r="G31" s="52">
        <f t="shared" si="9"/>
        <v>6909880.613</v>
      </c>
      <c r="H31" s="117">
        <f t="shared" si="9"/>
        <v>29275653.402999997</v>
      </c>
      <c r="I31" s="117">
        <f t="shared" si="9"/>
        <v>19903421.456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">
      <c r="A32" s="2"/>
      <c r="B32" s="52"/>
      <c r="C32" s="52"/>
      <c r="D32" s="52"/>
      <c r="E32" s="52"/>
      <c r="F32" s="52"/>
      <c r="G32" s="52"/>
      <c r="H32" s="5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">
      <c r="A33" s="2"/>
      <c r="B33" s="52"/>
      <c r="C33" s="52"/>
      <c r="D33" s="52"/>
      <c r="E33" s="52"/>
      <c r="F33" s="52"/>
      <c r="G33" s="52"/>
      <c r="H33" s="52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11" ht="12" hidden="1">
      <c r="A34" s="20" t="s">
        <v>65</v>
      </c>
      <c r="K34" s="20" t="s">
        <v>98</v>
      </c>
    </row>
    <row r="35" ht="12" hidden="1"/>
    <row r="36" spans="1:12" ht="12" hidden="1">
      <c r="A36" s="20" t="s">
        <v>0</v>
      </c>
      <c r="B36" s="21">
        <v>41409.41678240741</v>
      </c>
      <c r="E36" s="3" t="s">
        <v>36</v>
      </c>
      <c r="F36" s="3">
        <v>0.7</v>
      </c>
      <c r="G36" s="3" t="s">
        <v>60</v>
      </c>
      <c r="K36" s="20" t="s">
        <v>111</v>
      </c>
      <c r="L36" s="21">
        <v>41710.49328703704</v>
      </c>
    </row>
    <row r="37" spans="1:12" ht="12" hidden="1">
      <c r="A37" s="20" t="s">
        <v>1</v>
      </c>
      <c r="B37" s="21">
        <v>41717.90109787037</v>
      </c>
      <c r="E37" s="3" t="s">
        <v>40</v>
      </c>
      <c r="F37" s="3">
        <v>1.9</v>
      </c>
      <c r="G37" s="3" t="s">
        <v>60</v>
      </c>
      <c r="K37" s="20" t="s">
        <v>112</v>
      </c>
      <c r="L37" s="21">
        <v>41717.90491706019</v>
      </c>
    </row>
    <row r="38" spans="1:40" ht="12" hidden="1">
      <c r="A38" s="2" t="s">
        <v>48</v>
      </c>
      <c r="B38" s="2" t="s">
        <v>2</v>
      </c>
      <c r="C38" s="2"/>
      <c r="D38" s="2"/>
      <c r="E38" s="2" t="s">
        <v>35</v>
      </c>
      <c r="F38" s="2">
        <v>1</v>
      </c>
      <c r="G38" s="2" t="s">
        <v>60</v>
      </c>
      <c r="H38" s="2"/>
      <c r="I38" s="33"/>
      <c r="J38" s="2"/>
      <c r="K38" s="20" t="s">
        <v>113</v>
      </c>
      <c r="L38" s="20" t="s">
        <v>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" hidden="1">
      <c r="A39" s="2"/>
      <c r="B39" s="2"/>
      <c r="C39" s="2"/>
      <c r="D39" s="2"/>
      <c r="E39" s="2"/>
      <c r="F39" s="2"/>
      <c r="G39" s="2"/>
      <c r="H39" s="2"/>
      <c r="I39" s="3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" hidden="1">
      <c r="A40" s="2" t="s">
        <v>3</v>
      </c>
      <c r="B40" s="2" t="s">
        <v>4</v>
      </c>
      <c r="C40" s="2"/>
      <c r="D40" s="2"/>
      <c r="E40" s="2"/>
      <c r="F40" s="2"/>
      <c r="G40" s="2"/>
      <c r="H40" s="2"/>
      <c r="I40" s="3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38" ht="12" hidden="1">
      <c r="A41" s="2"/>
      <c r="B41" s="2"/>
      <c r="C41" s="10" t="s">
        <v>88</v>
      </c>
      <c r="D41" s="10" t="s">
        <v>86</v>
      </c>
      <c r="E41" s="34" t="s">
        <v>40</v>
      </c>
      <c r="F41" s="20"/>
      <c r="G41" s="33"/>
      <c r="H41" s="20"/>
      <c r="I41" s="33"/>
      <c r="J41" s="2"/>
      <c r="K41" s="10" t="s">
        <v>5</v>
      </c>
      <c r="L41" s="10" t="s">
        <v>34</v>
      </c>
      <c r="M41" s="10" t="s">
        <v>35</v>
      </c>
      <c r="N41" s="10" t="s">
        <v>36</v>
      </c>
      <c r="O41" s="10" t="s">
        <v>40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" hidden="1">
      <c r="A42" s="17" t="s">
        <v>5</v>
      </c>
      <c r="B42" s="35" t="s">
        <v>34</v>
      </c>
      <c r="C42" s="36" t="s">
        <v>66</v>
      </c>
      <c r="D42" s="36" t="s">
        <v>67</v>
      </c>
      <c r="E42" s="37" t="s">
        <v>89</v>
      </c>
      <c r="F42" s="20"/>
      <c r="G42" s="33"/>
      <c r="H42" s="20"/>
      <c r="I42" s="33"/>
      <c r="J42" s="2"/>
      <c r="K42" s="10" t="s">
        <v>6</v>
      </c>
      <c r="L42" s="10" t="s">
        <v>39</v>
      </c>
      <c r="M42" s="10">
        <v>2011</v>
      </c>
      <c r="N42" s="10">
        <v>2011</v>
      </c>
      <c r="O42" s="10">
        <v>2011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" hidden="1">
      <c r="A43" s="10" t="s">
        <v>69</v>
      </c>
      <c r="B43" s="10" t="s">
        <v>39</v>
      </c>
      <c r="C43" s="10" t="s">
        <v>70</v>
      </c>
      <c r="D43" s="10" t="s">
        <v>70</v>
      </c>
      <c r="E43" s="34" t="s">
        <v>70</v>
      </c>
      <c r="F43" s="20"/>
      <c r="G43" s="33"/>
      <c r="H43" s="20"/>
      <c r="I43" s="33"/>
      <c r="J43" s="38"/>
      <c r="K43" s="10" t="s">
        <v>7</v>
      </c>
      <c r="L43" s="10" t="s">
        <v>29</v>
      </c>
      <c r="M43" s="39">
        <v>4766110.4</v>
      </c>
      <c r="N43" s="39">
        <v>9543162.94</v>
      </c>
      <c r="O43" s="39">
        <v>3515654.64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" hidden="1">
      <c r="A44" s="10" t="s">
        <v>71</v>
      </c>
      <c r="B44" s="10" t="s">
        <v>64</v>
      </c>
      <c r="C44" s="39">
        <v>10819333.55</v>
      </c>
      <c r="D44" s="39">
        <v>11718391.86</v>
      </c>
      <c r="E44" s="40">
        <v>3971313.52</v>
      </c>
      <c r="F44" s="41"/>
      <c r="G44" s="33"/>
      <c r="H44" s="41"/>
      <c r="I44" s="20"/>
      <c r="J44" s="38"/>
      <c r="K44" s="10" t="s">
        <v>8</v>
      </c>
      <c r="L44" s="10" t="s">
        <v>29</v>
      </c>
      <c r="M44" s="39">
        <v>100866.53</v>
      </c>
      <c r="N44" s="39">
        <v>1029448.33</v>
      </c>
      <c r="O44" s="39">
        <v>3339341.77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" hidden="1">
      <c r="A45" s="10" t="s">
        <v>72</v>
      </c>
      <c r="B45" s="10" t="s">
        <v>64</v>
      </c>
      <c r="C45" s="39">
        <v>114346.92</v>
      </c>
      <c r="D45" s="39">
        <v>1125900.12</v>
      </c>
      <c r="E45" s="40">
        <v>3807835.56</v>
      </c>
      <c r="F45" s="41"/>
      <c r="G45" s="33"/>
      <c r="H45" s="41"/>
      <c r="I45" s="20"/>
      <c r="J45" s="38"/>
      <c r="K45" s="10" t="s">
        <v>9</v>
      </c>
      <c r="L45" s="10" t="s">
        <v>29</v>
      </c>
      <c r="M45" s="39">
        <v>48680.33</v>
      </c>
      <c r="N45" s="39">
        <v>132484.53</v>
      </c>
      <c r="O45" s="39">
        <v>315.93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" hidden="1">
      <c r="A46" s="10" t="s">
        <v>73</v>
      </c>
      <c r="B46" s="10" t="s">
        <v>64</v>
      </c>
      <c r="C46" s="39">
        <v>21489.7</v>
      </c>
      <c r="D46" s="39">
        <v>99237.01</v>
      </c>
      <c r="E46" s="40">
        <v>226.39</v>
      </c>
      <c r="F46" s="33"/>
      <c r="G46" s="33"/>
      <c r="H46" s="33"/>
      <c r="I46" s="20"/>
      <c r="J46" s="38"/>
      <c r="K46" s="10" t="s">
        <v>10</v>
      </c>
      <c r="L46" s="10" t="s">
        <v>29</v>
      </c>
      <c r="M46" s="39">
        <v>1443528.64</v>
      </c>
      <c r="N46" s="39">
        <v>1482094.95</v>
      </c>
      <c r="O46" s="39">
        <v>78542.42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" hidden="1">
      <c r="A47" s="10" t="s">
        <v>9</v>
      </c>
      <c r="B47" s="10" t="s">
        <v>64</v>
      </c>
      <c r="C47" s="39">
        <v>110225.77</v>
      </c>
      <c r="D47" s="39">
        <v>180007.57</v>
      </c>
      <c r="E47" s="40">
        <v>307.05</v>
      </c>
      <c r="F47" s="41"/>
      <c r="G47" s="33"/>
      <c r="H47" s="41"/>
      <c r="I47" s="20"/>
      <c r="J47" s="38"/>
      <c r="K47" s="10" t="s">
        <v>11</v>
      </c>
      <c r="L47" s="10" t="s">
        <v>29</v>
      </c>
      <c r="M47" s="39">
        <v>2275714.2</v>
      </c>
      <c r="N47" s="39">
        <v>1629299.13</v>
      </c>
      <c r="O47" s="39">
        <v>4595.13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7.25" customHeight="1" hidden="1">
      <c r="A48" s="10" t="s">
        <v>10</v>
      </c>
      <c r="B48" s="10" t="s">
        <v>64</v>
      </c>
      <c r="C48" s="39">
        <v>2703504.67</v>
      </c>
      <c r="D48" s="39">
        <v>2232066.72</v>
      </c>
      <c r="E48" s="40">
        <v>77377.87</v>
      </c>
      <c r="F48" s="41"/>
      <c r="G48" s="33"/>
      <c r="H48" s="41"/>
      <c r="I48" s="20"/>
      <c r="J48" s="38"/>
      <c r="K48" s="10" t="s">
        <v>12</v>
      </c>
      <c r="L48" s="10" t="s">
        <v>29</v>
      </c>
      <c r="M48" s="39">
        <v>17695.85</v>
      </c>
      <c r="N48" s="39">
        <v>123143.1</v>
      </c>
      <c r="O48" s="39">
        <v>71866.35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" hidden="1">
      <c r="A49" s="10" t="s">
        <v>74</v>
      </c>
      <c r="B49" s="10" t="s">
        <v>64</v>
      </c>
      <c r="C49" s="39">
        <v>6376796.15</v>
      </c>
      <c r="D49" s="39">
        <v>2196592.84</v>
      </c>
      <c r="E49" s="40">
        <v>3957.26</v>
      </c>
      <c r="F49" s="33"/>
      <c r="G49" s="33"/>
      <c r="H49" s="33"/>
      <c r="I49" s="20"/>
      <c r="J49" s="38"/>
      <c r="K49" s="10" t="s">
        <v>13</v>
      </c>
      <c r="L49" s="10" t="s">
        <v>29</v>
      </c>
      <c r="M49" s="39">
        <v>18539.87</v>
      </c>
      <c r="N49" s="39">
        <v>278949.39</v>
      </c>
      <c r="O49" s="39">
        <v>1019.68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" hidden="1">
      <c r="A50" s="42" t="s">
        <v>118</v>
      </c>
      <c r="B50" s="10" t="s">
        <v>64</v>
      </c>
      <c r="C50" s="39">
        <v>6366669.06</v>
      </c>
      <c r="D50" s="39">
        <v>2187470.63</v>
      </c>
      <c r="E50" s="40">
        <v>3910.78</v>
      </c>
      <c r="F50" s="41"/>
      <c r="G50" s="33"/>
      <c r="H50" s="41"/>
      <c r="I50" s="20"/>
      <c r="J50" s="38"/>
      <c r="K50" s="10" t="s">
        <v>14</v>
      </c>
      <c r="L50" s="10" t="s">
        <v>29</v>
      </c>
      <c r="M50" s="39">
        <v>25281.62</v>
      </c>
      <c r="N50" s="39">
        <v>321679.04</v>
      </c>
      <c r="O50" s="39">
        <v>2104.03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" hidden="1">
      <c r="A51" s="42" t="s">
        <v>119</v>
      </c>
      <c r="B51" s="10" t="s">
        <v>64</v>
      </c>
      <c r="C51" s="39">
        <v>10127.09</v>
      </c>
      <c r="D51" s="39">
        <v>9122.21</v>
      </c>
      <c r="E51" s="40">
        <v>46.48</v>
      </c>
      <c r="F51" s="41"/>
      <c r="G51" s="33"/>
      <c r="H51" s="41"/>
      <c r="I51" s="20"/>
      <c r="J51" s="38"/>
      <c r="K51" s="10" t="s">
        <v>15</v>
      </c>
      <c r="L51" s="10" t="s">
        <v>29</v>
      </c>
      <c r="M51" s="39">
        <v>761067.32</v>
      </c>
      <c r="N51" s="39">
        <v>4028752.08</v>
      </c>
      <c r="O51" s="39">
        <v>6540.69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" hidden="1">
      <c r="A52" s="10" t="s">
        <v>13</v>
      </c>
      <c r="B52" s="10" t="s">
        <v>64</v>
      </c>
      <c r="C52" s="39">
        <v>50856.98</v>
      </c>
      <c r="D52" s="39">
        <v>485402.15</v>
      </c>
      <c r="E52" s="40">
        <v>1744.8</v>
      </c>
      <c r="F52" s="41"/>
      <c r="G52" s="33"/>
      <c r="H52" s="41"/>
      <c r="I52" s="20"/>
      <c r="J52" s="38"/>
      <c r="K52" s="42" t="s">
        <v>125</v>
      </c>
      <c r="M52" s="39">
        <v>9255</v>
      </c>
      <c r="N52" s="39">
        <v>1279896.69</v>
      </c>
      <c r="O52" s="39">
        <v>4268.11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" hidden="1">
      <c r="A53" s="10" t="s">
        <v>75</v>
      </c>
      <c r="B53" s="10" t="s">
        <v>64</v>
      </c>
      <c r="C53" s="39">
        <v>42564.82</v>
      </c>
      <c r="D53" s="39">
        <v>501220.8</v>
      </c>
      <c r="E53" s="40">
        <v>5285.97</v>
      </c>
      <c r="F53" s="41"/>
      <c r="G53" s="33"/>
      <c r="H53" s="41"/>
      <c r="I53" s="20"/>
      <c r="J53" s="38"/>
      <c r="K53" s="42" t="s">
        <v>121</v>
      </c>
      <c r="M53" s="39">
        <v>728113.55</v>
      </c>
      <c r="N53" s="39">
        <v>2304407.77</v>
      </c>
      <c r="O53" s="39">
        <v>398.06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" hidden="1">
      <c r="A54" s="10" t="s">
        <v>76</v>
      </c>
      <c r="B54" s="10" t="s">
        <v>64</v>
      </c>
      <c r="C54" s="39">
        <v>7275.08</v>
      </c>
      <c r="D54" s="39">
        <v>43503.6</v>
      </c>
      <c r="E54" s="40">
        <v>276.58</v>
      </c>
      <c r="F54" s="41"/>
      <c r="G54" s="33"/>
      <c r="H54" s="41"/>
      <c r="I54" s="20"/>
      <c r="J54" s="38"/>
      <c r="K54" s="42" t="s">
        <v>122</v>
      </c>
      <c r="M54" s="39">
        <v>19352.81</v>
      </c>
      <c r="N54" s="39">
        <v>337638.79</v>
      </c>
      <c r="O54" s="39">
        <v>1544.82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" hidden="1">
      <c r="A55" s="10" t="s">
        <v>77</v>
      </c>
      <c r="B55" s="10" t="s">
        <v>64</v>
      </c>
      <c r="C55" s="39">
        <v>1252698.5</v>
      </c>
      <c r="D55" s="39">
        <v>4146578.83</v>
      </c>
      <c r="E55" s="40">
        <v>5187.03</v>
      </c>
      <c r="F55" s="41"/>
      <c r="G55" s="33"/>
      <c r="H55" s="41"/>
      <c r="I55" s="20"/>
      <c r="J55" s="38"/>
      <c r="K55" s="42" t="s">
        <v>126</v>
      </c>
      <c r="M55" s="39">
        <v>3660.93</v>
      </c>
      <c r="N55" s="39">
        <v>84395.84</v>
      </c>
      <c r="O55" s="39">
        <v>257.54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" hidden="1">
      <c r="A56" s="42" t="s">
        <v>120</v>
      </c>
      <c r="B56" s="10" t="s">
        <v>64</v>
      </c>
      <c r="C56" s="39">
        <v>51220.27</v>
      </c>
      <c r="D56" s="39">
        <v>1712571.55</v>
      </c>
      <c r="E56" s="40">
        <v>2717.35</v>
      </c>
      <c r="F56" s="41"/>
      <c r="G56" s="33"/>
      <c r="H56" s="41"/>
      <c r="I56" s="20"/>
      <c r="J56" s="38"/>
      <c r="K56" s="42" t="s">
        <v>127</v>
      </c>
      <c r="M56" s="39">
        <v>686.78</v>
      </c>
      <c r="N56" s="39">
        <v>22503.89</v>
      </c>
      <c r="O56" s="39">
        <v>73.42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" hidden="1">
      <c r="A57" s="42" t="s">
        <v>121</v>
      </c>
      <c r="B57" s="10" t="s">
        <v>64</v>
      </c>
      <c r="C57" s="39">
        <v>1156952.08</v>
      </c>
      <c r="D57" s="39">
        <v>1755511.04</v>
      </c>
      <c r="E57" s="40">
        <v>286.34</v>
      </c>
      <c r="F57" s="41"/>
      <c r="G57" s="33"/>
      <c r="H57" s="41"/>
      <c r="I57" s="20"/>
      <c r="J57" s="38"/>
      <c r="K57" s="10" t="s">
        <v>16</v>
      </c>
      <c r="L57" s="10" t="s">
        <v>29</v>
      </c>
      <c r="M57" s="39">
        <v>6439.52</v>
      </c>
      <c r="N57" s="39">
        <v>35448.68</v>
      </c>
      <c r="O57" s="39">
        <v>235.48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" hidden="1">
      <c r="A58" s="42" t="s">
        <v>122</v>
      </c>
      <c r="B58" s="10" t="s">
        <v>64</v>
      </c>
      <c r="C58" s="39">
        <v>21573.96</v>
      </c>
      <c r="D58" s="39">
        <v>375848.8</v>
      </c>
      <c r="E58" s="40">
        <v>1466.51</v>
      </c>
      <c r="F58" s="41"/>
      <c r="G58" s="33"/>
      <c r="H58" s="41"/>
      <c r="I58" s="20"/>
      <c r="J58" s="38"/>
      <c r="K58" s="10" t="s">
        <v>17</v>
      </c>
      <c r="L58" s="10" t="s">
        <v>29</v>
      </c>
      <c r="M58" s="39">
        <v>3628.19</v>
      </c>
      <c r="N58" s="39">
        <v>38642.64</v>
      </c>
      <c r="O58" s="39">
        <v>285.84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" hidden="1">
      <c r="A59" s="42" t="s">
        <v>123</v>
      </c>
      <c r="B59" s="10" t="s">
        <v>64</v>
      </c>
      <c r="C59" s="39">
        <v>17107.73</v>
      </c>
      <c r="D59" s="39">
        <v>193074.18</v>
      </c>
      <c r="E59" s="40">
        <v>365.16</v>
      </c>
      <c r="F59" s="41"/>
      <c r="G59" s="33"/>
      <c r="H59" s="41"/>
      <c r="I59" s="20"/>
      <c r="J59" s="38"/>
      <c r="K59" s="10" t="s">
        <v>18</v>
      </c>
      <c r="L59" s="10" t="s">
        <v>29</v>
      </c>
      <c r="M59" s="39">
        <v>2343.61</v>
      </c>
      <c r="N59" s="39">
        <v>21863.57</v>
      </c>
      <c r="O59" s="39">
        <v>244.37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" hidden="1">
      <c r="A60" s="42" t="s">
        <v>124</v>
      </c>
      <c r="B60" s="10" t="s">
        <v>64</v>
      </c>
      <c r="C60" s="39">
        <v>5844.45</v>
      </c>
      <c r="D60" s="39">
        <v>109573.27</v>
      </c>
      <c r="E60" s="40">
        <v>351.67</v>
      </c>
      <c r="F60" s="41"/>
      <c r="G60" s="33"/>
      <c r="H60" s="41"/>
      <c r="I60" s="20"/>
      <c r="J60" s="38"/>
      <c r="K60" s="10" t="s">
        <v>19</v>
      </c>
      <c r="L60" s="10" t="s">
        <v>29</v>
      </c>
      <c r="M60" s="39">
        <v>5277.73</v>
      </c>
      <c r="N60" s="39">
        <v>17049.97</v>
      </c>
      <c r="O60" s="39">
        <v>292.44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" hidden="1">
      <c r="A61" s="10" t="s">
        <v>78</v>
      </c>
      <c r="B61" s="10" t="s">
        <v>64</v>
      </c>
      <c r="C61" s="39">
        <v>5958.22</v>
      </c>
      <c r="D61" s="39">
        <v>27778.18</v>
      </c>
      <c r="E61" s="40">
        <v>484.35</v>
      </c>
      <c r="F61" s="41"/>
      <c r="G61" s="33"/>
      <c r="H61" s="41"/>
      <c r="I61" s="20"/>
      <c r="J61" s="38"/>
      <c r="K61" s="10" t="s">
        <v>20</v>
      </c>
      <c r="L61" s="10" t="s">
        <v>29</v>
      </c>
      <c r="M61" s="39">
        <v>4917.06</v>
      </c>
      <c r="N61" s="39">
        <v>67737.61</v>
      </c>
      <c r="O61" s="39">
        <v>675.66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" hidden="1">
      <c r="A62" s="10" t="s">
        <v>93</v>
      </c>
      <c r="B62" s="10"/>
      <c r="C62" s="39">
        <v>21864.24</v>
      </c>
      <c r="D62" s="39">
        <v>314335.73</v>
      </c>
      <c r="E62" s="40">
        <v>2600.02</v>
      </c>
      <c r="F62" s="41"/>
      <c r="G62" s="33"/>
      <c r="H62" s="41"/>
      <c r="I62" s="20"/>
      <c r="J62" s="38"/>
      <c r="K62" s="10" t="s">
        <v>21</v>
      </c>
      <c r="L62" s="10" t="s">
        <v>29</v>
      </c>
      <c r="M62" s="39">
        <v>3177.7</v>
      </c>
      <c r="N62" s="39">
        <v>73977.57</v>
      </c>
      <c r="O62" s="39">
        <v>728.1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" hidden="1">
      <c r="A63" s="10" t="s">
        <v>22</v>
      </c>
      <c r="B63" s="10" t="s">
        <v>64</v>
      </c>
      <c r="C63" s="39">
        <v>42366.9</v>
      </c>
      <c r="D63" s="39">
        <v>125856.83</v>
      </c>
      <c r="E63" s="40">
        <v>4338.3</v>
      </c>
      <c r="F63" s="41"/>
      <c r="G63" s="33"/>
      <c r="H63" s="41"/>
      <c r="I63" s="20"/>
      <c r="J63" s="38"/>
      <c r="K63" s="10" t="s">
        <v>22</v>
      </c>
      <c r="L63" s="10" t="s">
        <v>29</v>
      </c>
      <c r="M63" s="39">
        <v>20576.56</v>
      </c>
      <c r="N63" s="39">
        <v>109607.89</v>
      </c>
      <c r="O63" s="39">
        <v>3995.38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" hidden="1">
      <c r="A64" s="10" t="s">
        <v>23</v>
      </c>
      <c r="B64" s="10" t="s">
        <v>64</v>
      </c>
      <c r="C64" s="39">
        <v>16592.47</v>
      </c>
      <c r="D64" s="39">
        <v>40549.82</v>
      </c>
      <c r="E64" s="40">
        <v>452.08</v>
      </c>
      <c r="F64" s="41"/>
      <c r="G64" s="33"/>
      <c r="H64" s="41"/>
      <c r="I64" s="20"/>
      <c r="J64" s="38"/>
      <c r="K64" s="10" t="s">
        <v>23</v>
      </c>
      <c r="L64" s="10" t="s">
        <v>29</v>
      </c>
      <c r="M64" s="39">
        <v>13745.6</v>
      </c>
      <c r="N64" s="39">
        <v>46413.42</v>
      </c>
      <c r="O64" s="39">
        <v>526.28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" hidden="1">
      <c r="A65" s="10" t="s">
        <v>79</v>
      </c>
      <c r="B65" s="10" t="s">
        <v>64</v>
      </c>
      <c r="C65" s="39">
        <v>23132.39</v>
      </c>
      <c r="D65" s="39">
        <v>61585.76</v>
      </c>
      <c r="E65" s="40">
        <v>511.87</v>
      </c>
      <c r="F65" s="41"/>
      <c r="G65" s="33"/>
      <c r="H65" s="41"/>
      <c r="I65" s="20"/>
      <c r="K65" s="10" t="s">
        <v>24</v>
      </c>
      <c r="L65" s="10" t="s">
        <v>29</v>
      </c>
      <c r="M65" s="39">
        <v>9548.88</v>
      </c>
      <c r="N65" s="39">
        <v>54298.55</v>
      </c>
      <c r="O65" s="39">
        <v>470.62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" hidden="1">
      <c r="A66" s="10" t="s">
        <v>128</v>
      </c>
      <c r="B66" s="10" t="s">
        <v>64</v>
      </c>
      <c r="C66" s="39">
        <v>28904.94</v>
      </c>
      <c r="D66" s="39">
        <v>137025.13</v>
      </c>
      <c r="E66" s="40">
        <v>60727.74</v>
      </c>
      <c r="F66" s="41"/>
      <c r="G66" s="33"/>
      <c r="H66" s="41"/>
      <c r="I66" s="20"/>
      <c r="J66" s="2"/>
      <c r="K66" s="10" t="s">
        <v>25</v>
      </c>
      <c r="L66" s="10" t="s">
        <v>29</v>
      </c>
      <c r="M66" s="39">
        <v>2166.88</v>
      </c>
      <c r="N66" s="39">
        <v>18006.16</v>
      </c>
      <c r="O66" s="39">
        <v>3589.81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" hidden="1">
      <c r="A67" s="10" t="s">
        <v>90</v>
      </c>
      <c r="B67" s="10" t="s">
        <v>64</v>
      </c>
      <c r="C67" s="39">
        <v>49.6</v>
      </c>
      <c r="D67" s="39">
        <v>294.33</v>
      </c>
      <c r="E67" s="40">
        <v>0.64</v>
      </c>
      <c r="F67" s="41"/>
      <c r="G67" s="33"/>
      <c r="H67" s="41"/>
      <c r="I67" s="20"/>
      <c r="J67" s="2"/>
      <c r="K67" s="10" t="s">
        <v>26</v>
      </c>
      <c r="L67" s="10" t="s">
        <v>29</v>
      </c>
      <c r="M67" s="39">
        <v>2806.11</v>
      </c>
      <c r="N67" s="39">
        <v>33482.48</v>
      </c>
      <c r="O67" s="39">
        <v>279.37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" hidden="1">
      <c r="A68" s="10" t="s">
        <v>81</v>
      </c>
      <c r="B68" s="10" t="s">
        <v>64</v>
      </c>
      <c r="C68" s="39">
        <v>706.22</v>
      </c>
      <c r="D68" s="39">
        <v>456.45</v>
      </c>
      <c r="E68" s="40" t="s">
        <v>33</v>
      </c>
      <c r="F68" s="41"/>
      <c r="G68" s="33"/>
      <c r="H68" s="41"/>
      <c r="I68" s="20"/>
      <c r="J68" s="2"/>
      <c r="K68" s="10" t="s">
        <v>27</v>
      </c>
      <c r="L68" s="10" t="s">
        <v>29</v>
      </c>
      <c r="M68" s="39">
        <v>103.22</v>
      </c>
      <c r="N68" s="39">
        <v>770.31</v>
      </c>
      <c r="O68" s="39">
        <v>4.59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" hidden="1">
      <c r="A69" s="10" t="s">
        <v>101</v>
      </c>
      <c r="B69" s="10" t="s">
        <v>64</v>
      </c>
      <c r="C69" s="39">
        <f>C44</f>
        <v>10819333.55</v>
      </c>
      <c r="D69" s="39">
        <f>D44*F36</f>
        <v>8202874.301999999</v>
      </c>
      <c r="E69" s="40">
        <f>E44*F37</f>
        <v>7545495.688</v>
      </c>
      <c r="F69" s="41"/>
      <c r="G69" s="33"/>
      <c r="H69" s="41"/>
      <c r="I69" s="33"/>
      <c r="J69" s="2"/>
      <c r="K69" s="10" t="s">
        <v>28</v>
      </c>
      <c r="L69" s="10" t="s">
        <v>29</v>
      </c>
      <c r="M69" s="39">
        <v>4.99</v>
      </c>
      <c r="N69" s="39">
        <v>13.53</v>
      </c>
      <c r="O69" s="39">
        <v>0.72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" hidden="1">
      <c r="A70" s="36" t="s">
        <v>32</v>
      </c>
      <c r="B70" s="36" t="s">
        <v>64</v>
      </c>
      <c r="C70" s="43">
        <v>561311.44</v>
      </c>
      <c r="D70" s="43">
        <v>2742392.54</v>
      </c>
      <c r="E70" s="44">
        <v>119454.55</v>
      </c>
      <c r="F70" s="41"/>
      <c r="G70" s="33"/>
      <c r="H70" s="41"/>
      <c r="I70" s="33"/>
      <c r="J70" s="2"/>
      <c r="K70" s="36" t="s">
        <v>32</v>
      </c>
      <c r="L70" s="36" t="s">
        <v>29</v>
      </c>
      <c r="M70" s="43">
        <v>382007.9</v>
      </c>
      <c r="N70" s="43">
        <v>1664583.55</v>
      </c>
      <c r="O70" s="43">
        <v>121124.63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2:8" s="33" customFormat="1" ht="12" hidden="1">
      <c r="B71" s="20"/>
      <c r="C71" s="45"/>
      <c r="D71" s="46"/>
      <c r="E71" s="46"/>
      <c r="F71" s="46"/>
      <c r="H71" s="46"/>
    </row>
    <row r="72" spans="2:8" s="33" customFormat="1" ht="12" hidden="1">
      <c r="B72" s="20"/>
      <c r="C72" s="46"/>
      <c r="D72" s="46"/>
      <c r="E72" s="46"/>
      <c r="F72" s="46"/>
      <c r="H72" s="46"/>
    </row>
    <row r="73" spans="2:8" s="33" customFormat="1" ht="12" hidden="1">
      <c r="B73" s="20"/>
      <c r="C73" s="46"/>
      <c r="D73" s="46"/>
      <c r="E73" s="46"/>
      <c r="F73" s="46"/>
      <c r="H73" s="46"/>
    </row>
    <row r="74" spans="2:8" s="33" customFormat="1" ht="12" hidden="1">
      <c r="B74" s="20"/>
      <c r="C74" s="46"/>
      <c r="D74" s="46"/>
      <c r="E74" s="46"/>
      <c r="F74" s="46"/>
      <c r="H74" s="46"/>
    </row>
    <row r="75" spans="1:38" ht="12" hidden="1">
      <c r="A75" s="20" t="s">
        <v>82</v>
      </c>
      <c r="B75" s="2"/>
      <c r="C75" s="47"/>
      <c r="D75" s="47"/>
      <c r="E75" s="47"/>
      <c r="F75" s="47"/>
      <c r="H75" s="47"/>
      <c r="I75" s="3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" hidden="1">
      <c r="A76" s="2" t="s">
        <v>33</v>
      </c>
      <c r="B76" s="20" t="s">
        <v>83</v>
      </c>
      <c r="C76" s="47"/>
      <c r="D76" s="48"/>
      <c r="E76" s="48"/>
      <c r="F76" s="48"/>
      <c r="H76" s="48"/>
      <c r="I76" s="3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" hidden="1">
      <c r="A77" s="2"/>
      <c r="B77" s="2"/>
      <c r="C77" s="2"/>
      <c r="D77" s="2"/>
      <c r="E77" s="2"/>
      <c r="F77" s="2"/>
      <c r="G77" s="2"/>
      <c r="H77" s="2"/>
      <c r="I77" s="3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" hidden="1">
      <c r="A78" s="2"/>
      <c r="B78" s="2"/>
      <c r="C78" s="2"/>
      <c r="D78" s="2"/>
      <c r="E78" s="2"/>
      <c r="F78" s="2"/>
      <c r="G78" s="2"/>
      <c r="H78" s="2"/>
      <c r="I78" s="33"/>
      <c r="J78" s="2"/>
      <c r="K78" s="2"/>
      <c r="L78" s="2"/>
      <c r="M78" s="52"/>
      <c r="N78" s="52"/>
      <c r="O78" s="52"/>
      <c r="P78" s="5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" hidden="1">
      <c r="A79" s="3" t="s">
        <v>92</v>
      </c>
      <c r="B79" s="17" t="s">
        <v>66</v>
      </c>
      <c r="C79" s="17" t="s">
        <v>66</v>
      </c>
      <c r="D79" s="17" t="s">
        <v>67</v>
      </c>
      <c r="E79" s="17" t="s">
        <v>67</v>
      </c>
      <c r="F79" s="49" t="s">
        <v>89</v>
      </c>
      <c r="G79" s="50" t="s">
        <v>89</v>
      </c>
      <c r="H79" s="177" t="s">
        <v>91</v>
      </c>
      <c r="I79" s="177"/>
      <c r="J79" s="2"/>
      <c r="K79" s="51"/>
      <c r="L79" s="51"/>
      <c r="M79" s="51"/>
      <c r="N79" s="51"/>
      <c r="O79" s="51"/>
      <c r="P79" s="5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" hidden="1">
      <c r="A80" s="2"/>
      <c r="B80" s="10" t="s">
        <v>70</v>
      </c>
      <c r="C80" s="10">
        <v>2011</v>
      </c>
      <c r="D80" s="10" t="s">
        <v>70</v>
      </c>
      <c r="E80" s="10">
        <v>2011</v>
      </c>
      <c r="F80" s="10" t="s">
        <v>70</v>
      </c>
      <c r="G80" s="10">
        <v>2011</v>
      </c>
      <c r="H80" s="10">
        <v>2000</v>
      </c>
      <c r="I80" s="10">
        <v>2011</v>
      </c>
      <c r="J80" s="10" t="s">
        <v>108</v>
      </c>
      <c r="K80" s="10" t="s">
        <v>109</v>
      </c>
      <c r="L80" s="10" t="s">
        <v>110</v>
      </c>
      <c r="M80" s="51"/>
      <c r="N80" s="51"/>
      <c r="O80" s="51"/>
      <c r="P80" s="5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" hidden="1">
      <c r="A81" s="10" t="s">
        <v>134</v>
      </c>
      <c r="B81" s="11">
        <f aca="true" t="shared" si="10" ref="B81:G89">B100/1000</f>
        <v>10819.333550000001</v>
      </c>
      <c r="C81" s="11">
        <f t="shared" si="10"/>
        <v>4766.1104000000005</v>
      </c>
      <c r="D81" s="11">
        <f t="shared" si="10"/>
        <v>8202.874301999998</v>
      </c>
      <c r="E81" s="11">
        <f t="shared" si="10"/>
        <v>6680.214058</v>
      </c>
      <c r="F81" s="11">
        <f t="shared" si="10"/>
        <v>7545.495688</v>
      </c>
      <c r="G81" s="11">
        <f t="shared" si="10"/>
        <v>6679.743815999999</v>
      </c>
      <c r="H81" s="11">
        <f>B81+D81+F81</f>
        <v>26567.70354</v>
      </c>
      <c r="I81" s="53">
        <f>C81+E81+G81</f>
        <v>18126.068273999997</v>
      </c>
      <c r="J81" s="11">
        <f aca="true" t="shared" si="11" ref="J81:J88">I81/H81*100</f>
        <v>68.22595052940731</v>
      </c>
      <c r="K81" s="57">
        <f>I81-H81</f>
        <v>-8441.635266000001</v>
      </c>
      <c r="L81" s="58">
        <f aca="true" t="shared" si="12" ref="L81:L86">I81*100/($I$90)</f>
        <v>91.07011231245265</v>
      </c>
      <c r="M81" s="59">
        <f>I81*100/H81-100</f>
        <v>-31.774049470592672</v>
      </c>
      <c r="N81" s="51"/>
      <c r="O81" s="51"/>
      <c r="P81" s="5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" hidden="1">
      <c r="A82" s="10" t="s">
        <v>30</v>
      </c>
      <c r="B82" s="11">
        <f t="shared" si="10"/>
        <v>135.83661999999998</v>
      </c>
      <c r="C82" s="11">
        <f t="shared" si="10"/>
        <v>100.86653</v>
      </c>
      <c r="D82" s="11">
        <f t="shared" si="10"/>
        <v>857.595991</v>
      </c>
      <c r="E82" s="11">
        <f t="shared" si="10"/>
        <v>720.6138309999999</v>
      </c>
      <c r="F82" s="11">
        <f t="shared" si="10"/>
        <v>7235.317705</v>
      </c>
      <c r="G82" s="11">
        <f t="shared" si="10"/>
        <v>6344.749363</v>
      </c>
      <c r="H82" s="11">
        <f aca="true" t="shared" si="13" ref="H82:H87">B82+D82+F82</f>
        <v>8228.750316</v>
      </c>
      <c r="I82" s="53">
        <f aca="true" t="shared" si="14" ref="I82:I87">C82+E82+G82</f>
        <v>7166.229724</v>
      </c>
      <c r="J82" s="11">
        <f t="shared" si="11"/>
        <v>87.08770407173454</v>
      </c>
      <c r="K82" s="57">
        <f aca="true" t="shared" si="15" ref="K82:K88">I82-H82</f>
        <v>-1062.5205919999999</v>
      </c>
      <c r="L82" s="58">
        <f t="shared" si="12"/>
        <v>36.00501421246697</v>
      </c>
      <c r="M82" s="59">
        <f aca="true" t="shared" si="16" ref="M82:M90">I82*100/H82-100</f>
        <v>-12.912295928265465</v>
      </c>
      <c r="N82" s="54"/>
      <c r="O82" s="54"/>
      <c r="P82" s="54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" hidden="1">
      <c r="A83" s="10" t="s">
        <v>31</v>
      </c>
      <c r="B83" s="11">
        <f t="shared" si="10"/>
        <v>110.22577</v>
      </c>
      <c r="C83" s="11">
        <f t="shared" si="10"/>
        <v>48.680330000000005</v>
      </c>
      <c r="D83" s="11">
        <f t="shared" si="10"/>
        <v>126.005299</v>
      </c>
      <c r="E83" s="11">
        <f t="shared" si="10"/>
        <v>92.73917099999998</v>
      </c>
      <c r="F83" s="11">
        <f t="shared" si="10"/>
        <v>0.583395</v>
      </c>
      <c r="G83" s="11">
        <f t="shared" si="10"/>
        <v>0.6002669999999999</v>
      </c>
      <c r="H83" s="11">
        <f t="shared" si="13"/>
        <v>236.814464</v>
      </c>
      <c r="I83" s="53">
        <f t="shared" si="14"/>
        <v>142.019768</v>
      </c>
      <c r="J83" s="11">
        <f t="shared" si="11"/>
        <v>59.97090110171649</v>
      </c>
      <c r="K83" s="57">
        <f t="shared" si="15"/>
        <v>-94.79469599999999</v>
      </c>
      <c r="L83" s="58">
        <f t="shared" si="12"/>
        <v>0.7135444944175029</v>
      </c>
      <c r="M83" s="59">
        <f t="shared" si="16"/>
        <v>-40.02909889828351</v>
      </c>
      <c r="N83" s="54"/>
      <c r="O83" s="54"/>
      <c r="P83" s="54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" hidden="1">
      <c r="A84" s="10" t="s">
        <v>10</v>
      </c>
      <c r="B84" s="11">
        <f t="shared" si="10"/>
        <v>2703.50467</v>
      </c>
      <c r="C84" s="11">
        <f t="shared" si="10"/>
        <v>1443.52864</v>
      </c>
      <c r="D84" s="11">
        <f t="shared" si="10"/>
        <v>1562.4467040000002</v>
      </c>
      <c r="E84" s="11">
        <f t="shared" si="10"/>
        <v>1037.4664649999997</v>
      </c>
      <c r="F84" s="11">
        <f t="shared" si="10"/>
        <v>147.01795299999998</v>
      </c>
      <c r="G84" s="11">
        <f t="shared" si="10"/>
        <v>149.230598</v>
      </c>
      <c r="H84" s="11">
        <f t="shared" si="13"/>
        <v>4412.969327</v>
      </c>
      <c r="I84" s="53">
        <f t="shared" si="14"/>
        <v>2630.225703</v>
      </c>
      <c r="J84" s="11">
        <f t="shared" si="11"/>
        <v>59.60217504589059</v>
      </c>
      <c r="K84" s="57">
        <f t="shared" si="15"/>
        <v>-1782.7436239999997</v>
      </c>
      <c r="L84" s="58">
        <f t="shared" si="12"/>
        <v>13.214942510334591</v>
      </c>
      <c r="M84" s="59">
        <f t="shared" si="16"/>
        <v>-40.3978249541094</v>
      </c>
      <c r="N84" s="54"/>
      <c r="O84" s="54"/>
      <c r="P84" s="5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" hidden="1">
      <c r="A85" s="10" t="s">
        <v>11</v>
      </c>
      <c r="B85" s="11">
        <f t="shared" si="10"/>
        <v>6366.669059999999</v>
      </c>
      <c r="C85" s="11">
        <f t="shared" si="10"/>
        <v>2275.7142000000003</v>
      </c>
      <c r="D85" s="11">
        <f t="shared" si="10"/>
        <v>1531.229441</v>
      </c>
      <c r="E85" s="11">
        <f t="shared" si="10"/>
        <v>1140.5093909999998</v>
      </c>
      <c r="F85" s="11">
        <f t="shared" si="10"/>
        <v>7.430482</v>
      </c>
      <c r="G85" s="11">
        <f t="shared" si="10"/>
        <v>8.730747</v>
      </c>
      <c r="H85" s="11">
        <f t="shared" si="13"/>
        <v>7905.328982999999</v>
      </c>
      <c r="I85" s="53">
        <f t="shared" si="14"/>
        <v>3424.954338</v>
      </c>
      <c r="J85" s="11">
        <f t="shared" si="11"/>
        <v>43.3246275438402</v>
      </c>
      <c r="K85" s="57">
        <f t="shared" si="15"/>
        <v>-4480.374645</v>
      </c>
      <c r="L85" s="58">
        <f t="shared" si="12"/>
        <v>17.207867228111816</v>
      </c>
      <c r="M85" s="59">
        <f t="shared" si="16"/>
        <v>-56.6753724561598</v>
      </c>
      <c r="N85" s="54"/>
      <c r="O85" s="54"/>
      <c r="P85" s="54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" hidden="1">
      <c r="A86" s="10" t="s">
        <v>129</v>
      </c>
      <c r="B86" s="11">
        <f t="shared" si="10"/>
        <v>1229.74631</v>
      </c>
      <c r="C86" s="11">
        <f t="shared" si="10"/>
        <v>756.7213600000001</v>
      </c>
      <c r="D86" s="11">
        <f t="shared" si="10"/>
        <v>2690.751973</v>
      </c>
      <c r="E86" s="11">
        <f t="shared" si="10"/>
        <v>2745.360275</v>
      </c>
      <c r="F86" s="11">
        <f t="shared" si="10"/>
        <v>8.493379999999998</v>
      </c>
      <c r="G86" s="11">
        <f t="shared" si="10"/>
        <v>11.800880999999999</v>
      </c>
      <c r="H86" s="11">
        <f t="shared" si="13"/>
        <v>3928.991663</v>
      </c>
      <c r="I86" s="53">
        <f t="shared" si="14"/>
        <v>3513.882516</v>
      </c>
      <c r="J86" s="11">
        <f t="shared" si="11"/>
        <v>89.43471550451086</v>
      </c>
      <c r="K86" s="57">
        <f t="shared" si="15"/>
        <v>-415.10914699999967</v>
      </c>
      <c r="L86" s="58">
        <f t="shared" si="12"/>
        <v>17.654665675286296</v>
      </c>
      <c r="M86" s="59">
        <f t="shared" si="16"/>
        <v>-10.565284495489138</v>
      </c>
      <c r="N86" s="54"/>
      <c r="O86" s="54"/>
      <c r="P86" s="54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" hidden="1">
      <c r="A87" s="10" t="s">
        <v>130</v>
      </c>
      <c r="B87" s="11">
        <f t="shared" si="10"/>
        <v>273.35112000000106</v>
      </c>
      <c r="C87" s="11">
        <f t="shared" si="10"/>
        <v>140.59933999999984</v>
      </c>
      <c r="D87" s="11">
        <f t="shared" si="10"/>
        <v>1434.8448939999994</v>
      </c>
      <c r="E87" s="11">
        <f t="shared" si="10"/>
        <v>943.5249249999998</v>
      </c>
      <c r="F87" s="11">
        <f t="shared" si="10"/>
        <v>146.65277300000096</v>
      </c>
      <c r="G87" s="11">
        <f t="shared" si="10"/>
        <v>164.63195999999903</v>
      </c>
      <c r="H87" s="11">
        <f t="shared" si="13"/>
        <v>1854.8487870000015</v>
      </c>
      <c r="I87" s="53">
        <f t="shared" si="14"/>
        <v>1248.7562249999987</v>
      </c>
      <c r="J87" s="11">
        <f t="shared" si="11"/>
        <v>67.32388288210352</v>
      </c>
      <c r="K87" s="57">
        <f t="shared" si="15"/>
        <v>-606.0925620000028</v>
      </c>
      <c r="L87" s="58">
        <f>I87*100/$I$89</f>
        <v>70.25931804925864</v>
      </c>
      <c r="M87" s="59">
        <f t="shared" si="16"/>
        <v>-32.67611711789648</v>
      </c>
      <c r="N87" s="54"/>
      <c r="O87" s="54"/>
      <c r="P87" s="5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" hidden="1">
      <c r="A88" s="10" t="s">
        <v>131</v>
      </c>
      <c r="B88" s="11">
        <f t="shared" si="10"/>
        <v>10819.333550000001</v>
      </c>
      <c r="C88" s="11">
        <f t="shared" si="10"/>
        <v>4766.1104000000005</v>
      </c>
      <c r="D88" s="11">
        <f t="shared" si="10"/>
        <v>8202.874301999998</v>
      </c>
      <c r="E88" s="11">
        <f t="shared" si="10"/>
        <v>6680.214058</v>
      </c>
      <c r="F88" s="11">
        <f t="shared" si="10"/>
        <v>7545.495688</v>
      </c>
      <c r="G88" s="11">
        <f t="shared" si="10"/>
        <v>6679.743815999999</v>
      </c>
      <c r="H88" s="11">
        <f>H107/1000</f>
        <v>26567.70354</v>
      </c>
      <c r="I88" s="53">
        <f>I107/1000</f>
        <v>18126.068274</v>
      </c>
      <c r="J88" s="11">
        <f t="shared" si="11"/>
        <v>68.22595052940734</v>
      </c>
      <c r="K88" s="57">
        <f t="shared" si="15"/>
        <v>-8441.635265999998</v>
      </c>
      <c r="L88" s="58"/>
      <c r="M88" s="59">
        <f t="shared" si="16"/>
        <v>-31.774049470592658</v>
      </c>
      <c r="N88" s="54"/>
      <c r="O88" s="54"/>
      <c r="P88" s="5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" hidden="1">
      <c r="A89" s="10" t="s">
        <v>132</v>
      </c>
      <c r="B89" s="11">
        <f t="shared" si="10"/>
        <v>561.31144</v>
      </c>
      <c r="C89" s="11">
        <f t="shared" si="10"/>
        <v>382.0079</v>
      </c>
      <c r="D89" s="11">
        <f t="shared" si="10"/>
        <v>1919.6747779999998</v>
      </c>
      <c r="E89" s="11">
        <f t="shared" si="10"/>
        <v>1165.2084849999999</v>
      </c>
      <c r="F89" s="11">
        <f t="shared" si="10"/>
        <v>226.96364499999999</v>
      </c>
      <c r="G89" s="11">
        <f t="shared" si="10"/>
        <v>230.136797</v>
      </c>
      <c r="H89" s="11">
        <f>B89+D89+F89</f>
        <v>2707.949863</v>
      </c>
      <c r="I89" s="53">
        <f>C89+E89+G89</f>
        <v>1777.3531819999998</v>
      </c>
      <c r="J89" s="11">
        <f>I89/H89*100</f>
        <v>65.63464140473269</v>
      </c>
      <c r="K89" s="57">
        <f>I89-H89</f>
        <v>-930.596681</v>
      </c>
      <c r="L89" s="60"/>
      <c r="M89" s="59">
        <f t="shared" si="16"/>
        <v>-34.365358595267324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" hidden="1">
      <c r="A90" s="10" t="s">
        <v>133</v>
      </c>
      <c r="B90" s="55"/>
      <c r="C90" s="55"/>
      <c r="D90" s="55"/>
      <c r="E90" s="55"/>
      <c r="F90" s="55"/>
      <c r="G90" s="55"/>
      <c r="H90" s="55">
        <f>H88+H89</f>
        <v>29275.653402999997</v>
      </c>
      <c r="I90" s="55">
        <f>I88+I89</f>
        <v>19903.421456</v>
      </c>
      <c r="J90" s="55"/>
      <c r="K90" s="52"/>
      <c r="L90" s="61"/>
      <c r="M90" s="59">
        <f t="shared" si="16"/>
        <v>-32.01374130915072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" hidden="1">
      <c r="A91" s="2"/>
      <c r="B91" s="2"/>
      <c r="C91" s="2"/>
      <c r="D91" s="2"/>
      <c r="E91" s="2"/>
      <c r="F91" s="2"/>
      <c r="G91" s="2"/>
      <c r="H91" s="2"/>
      <c r="I91" s="3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" hidden="1">
      <c r="A92" s="2" t="s">
        <v>117</v>
      </c>
      <c r="B92" s="2"/>
      <c r="C92" s="61">
        <f>(C88+C89)*100/(B88+B89)-100</f>
        <v>-54.76426595747804</v>
      </c>
      <c r="D92" s="2"/>
      <c r="E92" s="61">
        <f>(E88+E89)*100/(D88+D89)-100</f>
        <v>-22.495584056975503</v>
      </c>
      <c r="F92" s="2"/>
      <c r="G92" s="61">
        <f>(G88+G89)*100/(F88+F89)-100</f>
        <v>-11.097886563879442</v>
      </c>
      <c r="H92" s="2"/>
      <c r="I92" s="33">
        <f>I85*100/H85-100</f>
        <v>-56.6753724561598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" hidden="1">
      <c r="A93" s="2"/>
      <c r="B93" s="2"/>
      <c r="C93" s="2"/>
      <c r="D93" s="2"/>
      <c r="E93" s="2"/>
      <c r="F93" s="2"/>
      <c r="G93" s="2"/>
      <c r="H93" s="2"/>
      <c r="I93" s="3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" hidden="1">
      <c r="A94" s="2" t="s">
        <v>110</v>
      </c>
      <c r="B94" s="2"/>
      <c r="C94" s="61">
        <f>(C88+C89)*100/($I$88+$I$89)</f>
        <v>25.865494087942707</v>
      </c>
      <c r="D94" s="2"/>
      <c r="E94" s="61">
        <f>(E88+E89)*100/($I$88+$I$89)</f>
        <v>39.41745674402605</v>
      </c>
      <c r="F94" s="2"/>
      <c r="G94" s="61">
        <f>(G88+G89)*100/($I$88+$I$89)</f>
        <v>34.71704916803124</v>
      </c>
      <c r="H94" s="2"/>
      <c r="I94" s="3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" hidden="1">
      <c r="A95" s="2"/>
      <c r="B95" s="2"/>
      <c r="C95" s="2"/>
      <c r="D95" s="2"/>
      <c r="E95" s="2"/>
      <c r="F95" s="2"/>
      <c r="G95" s="2"/>
      <c r="H95" s="2"/>
      <c r="I95" s="3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" hidden="1">
      <c r="A96" s="108" t="s">
        <v>97</v>
      </c>
      <c r="B96" s="5" t="s">
        <v>55</v>
      </c>
      <c r="D96" s="2"/>
      <c r="E96" s="2"/>
      <c r="F96" s="2"/>
      <c r="G96" s="2"/>
      <c r="H96" s="2"/>
      <c r="I96" s="3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" hidden="1">
      <c r="A97" s="2"/>
      <c r="B97" s="2"/>
      <c r="C97" s="2"/>
      <c r="D97" s="2"/>
      <c r="E97" s="2"/>
      <c r="F97" s="2"/>
      <c r="G97" s="2"/>
      <c r="H97" s="2"/>
      <c r="I97" s="3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:38" ht="12" hidden="1">
      <c r="B98" s="15" t="s">
        <v>66</v>
      </c>
      <c r="C98" s="15" t="s">
        <v>66</v>
      </c>
      <c r="D98" s="15" t="s">
        <v>67</v>
      </c>
      <c r="E98" s="15" t="s">
        <v>67</v>
      </c>
      <c r="F98" s="49" t="s">
        <v>89</v>
      </c>
      <c r="G98" s="50" t="s">
        <v>89</v>
      </c>
      <c r="H98" s="178" t="s">
        <v>91</v>
      </c>
      <c r="I98" s="179"/>
      <c r="J98" s="2"/>
      <c r="K98" s="51"/>
      <c r="L98" s="51"/>
      <c r="M98" s="51"/>
      <c r="N98" s="51"/>
      <c r="O98" s="5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" hidden="1">
      <c r="A99" s="2"/>
      <c r="B99" s="17" t="s">
        <v>70</v>
      </c>
      <c r="C99" s="17">
        <v>2011</v>
      </c>
      <c r="D99" s="17" t="s">
        <v>70</v>
      </c>
      <c r="E99" s="17">
        <v>2011</v>
      </c>
      <c r="F99" s="17" t="s">
        <v>70</v>
      </c>
      <c r="G99" s="35">
        <v>2011</v>
      </c>
      <c r="H99" s="17">
        <v>2000</v>
      </c>
      <c r="I99" s="35">
        <v>2011</v>
      </c>
      <c r="J99" s="2"/>
      <c r="K99" s="51"/>
      <c r="L99" s="51"/>
      <c r="M99" s="51"/>
      <c r="N99" s="51"/>
      <c r="O99" s="5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" hidden="1">
      <c r="A100" s="10" t="s">
        <v>134</v>
      </c>
      <c r="B100" s="54">
        <f>C44</f>
        <v>10819333.55</v>
      </c>
      <c r="C100" s="54">
        <f>M43</f>
        <v>4766110.4</v>
      </c>
      <c r="D100" s="54">
        <f>D44*$F$36</f>
        <v>8202874.301999999</v>
      </c>
      <c r="E100" s="54">
        <f>N43*$F$36</f>
        <v>6680214.057999999</v>
      </c>
      <c r="F100" s="54">
        <f>E44*$F$37</f>
        <v>7545495.688</v>
      </c>
      <c r="G100" s="54">
        <f>O43*$F$37</f>
        <v>6679743.816</v>
      </c>
      <c r="H100" s="54">
        <f>B100+D100+F100</f>
        <v>26567703.54</v>
      </c>
      <c r="I100" s="54">
        <f>C100+E100+G100</f>
        <v>18126068.274</v>
      </c>
      <c r="J100" s="52"/>
      <c r="K100" s="51"/>
      <c r="L100" s="51"/>
      <c r="M100" s="51"/>
      <c r="N100" s="51"/>
      <c r="O100" s="5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" hidden="1">
      <c r="A101" s="10" t="s">
        <v>30</v>
      </c>
      <c r="B101" s="11">
        <f>C45+C46</f>
        <v>135836.62</v>
      </c>
      <c r="C101" s="11">
        <f>M44</f>
        <v>100866.53</v>
      </c>
      <c r="D101" s="11">
        <f>(D45+D46)*$F$36</f>
        <v>857595.991</v>
      </c>
      <c r="E101" s="11">
        <f>N44*$F$36</f>
        <v>720613.8309999999</v>
      </c>
      <c r="F101" s="11">
        <f>(E45+E46)*$F$37</f>
        <v>7235317.705</v>
      </c>
      <c r="G101" s="11">
        <f>O44*$F$37</f>
        <v>6344749.363</v>
      </c>
      <c r="H101" s="11">
        <f>B101+D101+F101</f>
        <v>8228750.316</v>
      </c>
      <c r="I101" s="53">
        <f>C101+E101+G101</f>
        <v>7166229.723999999</v>
      </c>
      <c r="J101" s="2"/>
      <c r="K101" s="54"/>
      <c r="L101" s="51"/>
      <c r="M101" s="54"/>
      <c r="N101" s="54"/>
      <c r="O101" s="54"/>
      <c r="P101" s="5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" hidden="1">
      <c r="A102" s="10" t="s">
        <v>31</v>
      </c>
      <c r="B102" s="11">
        <f>C47</f>
        <v>110225.77</v>
      </c>
      <c r="C102" s="11">
        <f>M45</f>
        <v>48680.33</v>
      </c>
      <c r="D102" s="11">
        <f>D47*$F$36</f>
        <v>126005.299</v>
      </c>
      <c r="E102" s="11">
        <f>N45*$F$36</f>
        <v>92739.17099999999</v>
      </c>
      <c r="F102" s="11">
        <f>E47*$F$37</f>
        <v>583.395</v>
      </c>
      <c r="G102" s="11">
        <f>O45*$F$37</f>
        <v>600.2669999999999</v>
      </c>
      <c r="H102" s="11">
        <f aca="true" t="shared" si="17" ref="H102:H108">B102+D102+F102</f>
        <v>236814.464</v>
      </c>
      <c r="I102" s="53">
        <f aca="true" t="shared" si="18" ref="I102:I107">C102+E102+G102</f>
        <v>142019.76799999998</v>
      </c>
      <c r="J102" s="2"/>
      <c r="K102" s="51"/>
      <c r="L102" s="51"/>
      <c r="M102" s="54"/>
      <c r="N102" s="54"/>
      <c r="O102" s="54"/>
      <c r="P102" s="54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" hidden="1">
      <c r="A103" s="10" t="s">
        <v>10</v>
      </c>
      <c r="B103" s="11">
        <f>C48</f>
        <v>2703504.67</v>
      </c>
      <c r="C103" s="11">
        <f>M46</f>
        <v>1443528.64</v>
      </c>
      <c r="D103" s="11">
        <f>D48*$F$36</f>
        <v>1562446.7040000001</v>
      </c>
      <c r="E103" s="11">
        <f>N46*$F$36</f>
        <v>1037466.4649999999</v>
      </c>
      <c r="F103" s="11">
        <f>E48*$F$37</f>
        <v>147017.95299999998</v>
      </c>
      <c r="G103" s="11">
        <f>O46*$F$37</f>
        <v>149230.598</v>
      </c>
      <c r="H103" s="11">
        <f t="shared" si="17"/>
        <v>4412969.327</v>
      </c>
      <c r="I103" s="53">
        <f t="shared" si="18"/>
        <v>2630225.7029999997</v>
      </c>
      <c r="J103" s="2"/>
      <c r="K103" s="51"/>
      <c r="L103" s="51"/>
      <c r="M103" s="54"/>
      <c r="N103" s="54"/>
      <c r="O103" s="54"/>
      <c r="P103" s="54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" hidden="1">
      <c r="A104" s="10" t="s">
        <v>11</v>
      </c>
      <c r="B104" s="11">
        <f>C50</f>
        <v>6366669.06</v>
      </c>
      <c r="C104" s="11">
        <f>M47</f>
        <v>2275714.2</v>
      </c>
      <c r="D104" s="11">
        <f>D50*$F$36</f>
        <v>1531229.4409999999</v>
      </c>
      <c r="E104" s="11">
        <f>N47*$F$36</f>
        <v>1140509.3909999998</v>
      </c>
      <c r="F104" s="11">
        <f>E50*$F$37</f>
        <v>7430.482</v>
      </c>
      <c r="G104" s="11">
        <f>O47*$F$37</f>
        <v>8730.747</v>
      </c>
      <c r="H104" s="11">
        <f t="shared" si="17"/>
        <v>7905328.982999999</v>
      </c>
      <c r="I104" s="53">
        <f t="shared" si="18"/>
        <v>3424954.338</v>
      </c>
      <c r="J104" s="2"/>
      <c r="K104" s="51"/>
      <c r="L104" s="51"/>
      <c r="M104" s="54"/>
      <c r="N104" s="54"/>
      <c r="O104" s="54"/>
      <c r="P104" s="5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" hidden="1">
      <c r="A105" s="10" t="s">
        <v>129</v>
      </c>
      <c r="B105" s="11">
        <f>SUM(C56:C58)</f>
        <v>1229746.31</v>
      </c>
      <c r="C105" s="11">
        <f>SUM(M52:M54)</f>
        <v>756721.3600000001</v>
      </c>
      <c r="D105" s="11">
        <f>SUM(D56:D58)*$F$36</f>
        <v>2690751.9729999998</v>
      </c>
      <c r="E105" s="11">
        <f>SUM(N52:N54)*$F$36</f>
        <v>2745360.275</v>
      </c>
      <c r="F105" s="11">
        <f>SUM(E56:E58)*$F$37</f>
        <v>8493.38</v>
      </c>
      <c r="G105" s="11">
        <f>SUM(O52:O54)*$F$37</f>
        <v>11800.881</v>
      </c>
      <c r="H105" s="11">
        <f t="shared" si="17"/>
        <v>3928991.6629999997</v>
      </c>
      <c r="I105" s="53">
        <f t="shared" si="18"/>
        <v>3513882.516</v>
      </c>
      <c r="J105" s="2"/>
      <c r="K105" s="51"/>
      <c r="L105" s="51"/>
      <c r="M105" s="54"/>
      <c r="N105" s="54"/>
      <c r="O105" s="54"/>
      <c r="P105" s="5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" hidden="1">
      <c r="A106" s="10" t="s">
        <v>130</v>
      </c>
      <c r="B106" s="11">
        <f aca="true" t="shared" si="19" ref="B106:G106">B100-SUM(B101:B105)</f>
        <v>273351.12000000104</v>
      </c>
      <c r="C106" s="11">
        <f t="shared" si="19"/>
        <v>140599.33999999985</v>
      </c>
      <c r="D106" s="11">
        <f t="shared" si="19"/>
        <v>1434844.8939999994</v>
      </c>
      <c r="E106" s="11">
        <f t="shared" si="19"/>
        <v>943524.9249999998</v>
      </c>
      <c r="F106" s="11">
        <f t="shared" si="19"/>
        <v>146652.77300000098</v>
      </c>
      <c r="G106" s="11">
        <f t="shared" si="19"/>
        <v>164631.95999999903</v>
      </c>
      <c r="H106" s="11">
        <f t="shared" si="17"/>
        <v>1854848.7870000014</v>
      </c>
      <c r="I106" s="53">
        <f t="shared" si="18"/>
        <v>1248756.2249999987</v>
      </c>
      <c r="J106" s="2"/>
      <c r="K106" s="51"/>
      <c r="L106" s="51"/>
      <c r="M106" s="54"/>
      <c r="N106" s="54"/>
      <c r="O106" s="54"/>
      <c r="P106" s="5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" hidden="1">
      <c r="A107" s="10" t="s">
        <v>131</v>
      </c>
      <c r="B107" s="11">
        <f>C69</f>
        <v>10819333.55</v>
      </c>
      <c r="C107" s="11">
        <f>M43</f>
        <v>4766110.4</v>
      </c>
      <c r="D107" s="11">
        <f>D69</f>
        <v>8202874.301999999</v>
      </c>
      <c r="E107" s="11">
        <f>N43*$F$36</f>
        <v>6680214.057999999</v>
      </c>
      <c r="F107" s="11">
        <f>E69</f>
        <v>7545495.688</v>
      </c>
      <c r="G107" s="11">
        <f>O43*$F$37</f>
        <v>6679743.816</v>
      </c>
      <c r="H107" s="11">
        <f t="shared" si="17"/>
        <v>26567703.54</v>
      </c>
      <c r="I107" s="53">
        <f t="shared" si="18"/>
        <v>18126068.274</v>
      </c>
      <c r="J107" s="2"/>
      <c r="K107" s="51"/>
      <c r="L107" s="51"/>
      <c r="M107" s="54"/>
      <c r="N107" s="54"/>
      <c r="O107" s="54"/>
      <c r="P107" s="5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" hidden="1">
      <c r="A108" s="10" t="s">
        <v>132</v>
      </c>
      <c r="B108" s="55">
        <f>C70</f>
        <v>561311.44</v>
      </c>
      <c r="C108" s="55">
        <f>M70</f>
        <v>382007.9</v>
      </c>
      <c r="D108" s="55">
        <f>D70*$F$36</f>
        <v>1919674.778</v>
      </c>
      <c r="E108" s="55">
        <f>N70*$F$36</f>
        <v>1165208.4849999999</v>
      </c>
      <c r="F108" s="55">
        <f>E70*$F$37</f>
        <v>226963.645</v>
      </c>
      <c r="G108" s="55">
        <f>O70*$F$37</f>
        <v>230136.797</v>
      </c>
      <c r="H108" s="11">
        <f t="shared" si="17"/>
        <v>2707949.863</v>
      </c>
      <c r="I108" s="53">
        <f>C108+E108+G108</f>
        <v>1777353.1819999998</v>
      </c>
      <c r="J108" s="2"/>
      <c r="K108" s="51"/>
      <c r="L108" s="51"/>
      <c r="M108" s="54"/>
      <c r="N108" s="54"/>
      <c r="O108" s="54"/>
      <c r="P108" s="5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" customHeight="1" hidden="1">
      <c r="A109" s="10" t="s">
        <v>133</v>
      </c>
      <c r="B109" s="55">
        <f>B107-SUM(B101:B106)</f>
        <v>0</v>
      </c>
      <c r="C109" s="55">
        <f>C107-SUM(C101:C106)</f>
        <v>0</v>
      </c>
      <c r="D109" s="55">
        <f>D107-SUM(D101:D106)</f>
        <v>0</v>
      </c>
      <c r="E109" s="55">
        <f>E107-SUM(E101:E106)</f>
        <v>0</v>
      </c>
      <c r="F109" s="55">
        <f>E107-SUM(E101:E106)</f>
        <v>0</v>
      </c>
      <c r="G109" s="55">
        <f>G107-SUM(G101:G106)</f>
        <v>0</v>
      </c>
      <c r="H109" s="55"/>
      <c r="I109" s="56"/>
      <c r="J109" s="2"/>
      <c r="K109" s="51"/>
      <c r="L109" s="51"/>
      <c r="M109" s="54"/>
      <c r="N109" s="54"/>
      <c r="O109" s="54"/>
      <c r="P109" s="5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5" customHeight="1" hidden="1">
      <c r="A110" s="109"/>
      <c r="B110" s="55"/>
      <c r="C110" s="55"/>
      <c r="D110" s="55"/>
      <c r="E110" s="55"/>
      <c r="F110" s="55"/>
      <c r="G110" s="55"/>
      <c r="H110" s="55"/>
      <c r="I110" s="56"/>
      <c r="J110" s="2"/>
      <c r="K110" s="51"/>
      <c r="L110" s="51"/>
      <c r="M110" s="54"/>
      <c r="N110" s="54"/>
      <c r="O110" s="54"/>
      <c r="P110" s="54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">
      <c r="A111" s="2"/>
      <c r="B111" s="2"/>
      <c r="C111" s="2"/>
      <c r="D111" s="2"/>
      <c r="E111" s="2"/>
      <c r="F111" s="2"/>
      <c r="G111" s="2"/>
      <c r="H111" s="2"/>
      <c r="I111" s="3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">
      <c r="A112" s="2"/>
      <c r="B112" s="2"/>
      <c r="C112" s="2"/>
      <c r="D112" s="2"/>
      <c r="E112" s="2"/>
      <c r="F112" s="2"/>
      <c r="G112" s="2"/>
      <c r="H112" s="2"/>
      <c r="I112" s="3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">
      <c r="A113" s="2"/>
      <c r="B113" s="2"/>
      <c r="C113" s="2"/>
      <c r="D113" s="2"/>
      <c r="E113" s="2"/>
      <c r="F113" s="2"/>
      <c r="G113" s="2"/>
      <c r="H113" s="2"/>
      <c r="I113" s="3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">
      <c r="A114" s="2"/>
      <c r="B114" s="2"/>
      <c r="C114" s="2"/>
      <c r="D114" s="2"/>
      <c r="E114" s="2"/>
      <c r="F114" s="2"/>
      <c r="G114" s="2"/>
      <c r="H114" s="2"/>
      <c r="I114" s="3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">
      <c r="A115" s="2"/>
      <c r="B115" s="52"/>
      <c r="C115" s="52"/>
      <c r="D115" s="52"/>
      <c r="E115" s="52"/>
      <c r="F115" s="52"/>
      <c r="G115" s="52"/>
      <c r="H115" s="52"/>
      <c r="I115" s="5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">
      <c r="A116" s="2"/>
      <c r="B116" s="2"/>
      <c r="C116" s="2"/>
      <c r="D116" s="2"/>
      <c r="E116" s="2"/>
      <c r="F116" s="2"/>
      <c r="G116" s="2"/>
      <c r="H116" s="2"/>
      <c r="I116" s="3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">
      <c r="A117" s="2"/>
      <c r="B117" s="2"/>
      <c r="C117" s="2"/>
      <c r="D117" s="2"/>
      <c r="E117" s="2"/>
      <c r="F117" s="2"/>
      <c r="G117" s="2"/>
      <c r="H117" s="2"/>
      <c r="I117" s="3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">
      <c r="A118" s="2"/>
      <c r="B118" s="2"/>
      <c r="C118" s="2"/>
      <c r="D118" s="2"/>
      <c r="E118" s="2"/>
      <c r="F118" s="2"/>
      <c r="G118" s="2"/>
      <c r="H118" s="2"/>
      <c r="I118" s="3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">
      <c r="A119" s="2"/>
      <c r="B119" s="2"/>
      <c r="C119" s="2"/>
      <c r="D119" s="2"/>
      <c r="E119" s="2"/>
      <c r="F119" s="2"/>
      <c r="G119" s="2"/>
      <c r="H119" s="2"/>
      <c r="I119" s="3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">
      <c r="A120" s="2"/>
      <c r="B120" s="2"/>
      <c r="C120" s="2"/>
      <c r="D120" s="2"/>
      <c r="E120" s="2"/>
      <c r="F120" s="2"/>
      <c r="G120" s="2"/>
      <c r="H120" s="2"/>
      <c r="I120" s="3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">
      <c r="A121" s="2"/>
      <c r="B121" s="2"/>
      <c r="C121" s="2"/>
      <c r="D121" s="2"/>
      <c r="E121" s="2"/>
      <c r="F121" s="2"/>
      <c r="G121" s="2"/>
      <c r="H121" s="2"/>
      <c r="I121" s="3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">
      <c r="A122" s="2"/>
      <c r="B122" s="2"/>
      <c r="C122" s="2"/>
      <c r="D122" s="2"/>
      <c r="E122" s="2"/>
      <c r="F122" s="2"/>
      <c r="G122" s="2"/>
      <c r="H122" s="2"/>
      <c r="I122" s="3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">
      <c r="A123" s="2"/>
      <c r="B123" s="2"/>
      <c r="C123" s="2"/>
      <c r="D123" s="2"/>
      <c r="E123" s="2"/>
      <c r="F123" s="2"/>
      <c r="G123" s="2"/>
      <c r="H123" s="2"/>
      <c r="I123" s="3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">
      <c r="A124" s="2"/>
      <c r="B124" s="2"/>
      <c r="C124" s="2"/>
      <c r="D124" s="2"/>
      <c r="E124" s="2"/>
      <c r="F124" s="2"/>
      <c r="G124" s="2"/>
      <c r="H124" s="2"/>
      <c r="I124" s="3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">
      <c r="A125" s="2"/>
      <c r="B125" s="2"/>
      <c r="C125" s="2"/>
      <c r="D125" s="2"/>
      <c r="E125" s="2"/>
      <c r="F125" s="2"/>
      <c r="G125" s="2"/>
      <c r="H125" s="2"/>
      <c r="I125" s="3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">
      <c r="A126" s="2"/>
      <c r="B126" s="2"/>
      <c r="C126" s="2"/>
      <c r="D126" s="2"/>
      <c r="E126" s="2"/>
      <c r="F126" s="2"/>
      <c r="G126" s="2"/>
      <c r="H126" s="2"/>
      <c r="I126" s="3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">
      <c r="A127" s="2"/>
      <c r="B127" s="2"/>
      <c r="C127" s="2"/>
      <c r="D127" s="2"/>
      <c r="E127" s="2"/>
      <c r="F127" s="2"/>
      <c r="G127" s="2"/>
      <c r="H127" s="2"/>
      <c r="I127" s="3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">
      <c r="A128" s="2"/>
      <c r="B128" s="2"/>
      <c r="C128" s="2"/>
      <c r="D128" s="2"/>
      <c r="E128" s="2"/>
      <c r="F128" s="2"/>
      <c r="G128" s="2"/>
      <c r="H128" s="2"/>
      <c r="I128" s="3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">
      <c r="A129" s="2"/>
      <c r="B129" s="2"/>
      <c r="C129" s="2"/>
      <c r="D129" s="2"/>
      <c r="E129" s="2"/>
      <c r="F129" s="2"/>
      <c r="G129" s="2"/>
      <c r="H129" s="2"/>
      <c r="I129" s="3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">
      <c r="A130" s="2"/>
      <c r="B130" s="2"/>
      <c r="C130" s="2"/>
      <c r="D130" s="2"/>
      <c r="E130" s="2"/>
      <c r="F130" s="2"/>
      <c r="G130" s="2"/>
      <c r="H130" s="2"/>
      <c r="I130" s="3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">
      <c r="A131" s="2"/>
      <c r="B131" s="2"/>
      <c r="C131" s="2"/>
      <c r="D131" s="2"/>
      <c r="E131" s="2"/>
      <c r="F131" s="2"/>
      <c r="G131" s="2"/>
      <c r="H131" s="2"/>
      <c r="I131" s="3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">
      <c r="A132" s="2"/>
      <c r="B132" s="2"/>
      <c r="C132" s="2"/>
      <c r="D132" s="2"/>
      <c r="E132" s="2"/>
      <c r="F132" s="2"/>
      <c r="G132" s="2"/>
      <c r="H132" s="2"/>
      <c r="I132" s="3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">
      <c r="A133" s="2"/>
      <c r="B133" s="2"/>
      <c r="C133" s="2"/>
      <c r="D133" s="2"/>
      <c r="E133" s="2"/>
      <c r="F133" s="2"/>
      <c r="G133" s="2"/>
      <c r="H133" s="2"/>
      <c r="I133" s="3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">
      <c r="A134" s="2"/>
      <c r="B134" s="2"/>
      <c r="C134" s="2"/>
      <c r="D134" s="2"/>
      <c r="E134" s="2"/>
      <c r="F134" s="2"/>
      <c r="G134" s="2"/>
      <c r="H134" s="2"/>
      <c r="I134" s="3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">
      <c r="A135" s="2"/>
      <c r="B135" s="2"/>
      <c r="C135" s="2"/>
      <c r="D135" s="2"/>
      <c r="E135" s="2"/>
      <c r="F135" s="2"/>
      <c r="G135" s="2"/>
      <c r="H135" s="2"/>
      <c r="I135" s="3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">
      <c r="A136" s="2"/>
      <c r="B136" s="2"/>
      <c r="C136" s="2"/>
      <c r="D136" s="2"/>
      <c r="E136" s="2"/>
      <c r="F136" s="2"/>
      <c r="G136" s="2"/>
      <c r="H136" s="2"/>
      <c r="I136" s="3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">
      <c r="A137" s="2"/>
      <c r="B137" s="2"/>
      <c r="C137" s="2"/>
      <c r="D137" s="2"/>
      <c r="E137" s="2"/>
      <c r="F137" s="2"/>
      <c r="G137" s="2"/>
      <c r="H137" s="2"/>
      <c r="I137" s="3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">
      <c r="A138" s="2"/>
      <c r="B138" s="2"/>
      <c r="C138" s="2"/>
      <c r="D138" s="2"/>
      <c r="E138" s="2"/>
      <c r="F138" s="2"/>
      <c r="G138" s="2"/>
      <c r="H138" s="2"/>
      <c r="I138" s="3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">
      <c r="A139" s="2"/>
      <c r="B139" s="2"/>
      <c r="C139" s="2"/>
      <c r="D139" s="2"/>
      <c r="E139" s="2"/>
      <c r="F139" s="2"/>
      <c r="G139" s="2"/>
      <c r="H139" s="2"/>
      <c r="I139" s="3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">
      <c r="A140" s="2"/>
      <c r="B140" s="2"/>
      <c r="C140" s="2"/>
      <c r="D140" s="2"/>
      <c r="E140" s="2"/>
      <c r="F140" s="2"/>
      <c r="G140" s="2"/>
      <c r="H140" s="2"/>
      <c r="I140" s="3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">
      <c r="A141" s="2"/>
      <c r="B141" s="2"/>
      <c r="C141" s="2"/>
      <c r="D141" s="2"/>
      <c r="E141" s="2"/>
      <c r="F141" s="2"/>
      <c r="G141" s="2"/>
      <c r="H141" s="2"/>
      <c r="I141" s="3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">
      <c r="A142" s="2"/>
      <c r="B142" s="2"/>
      <c r="C142" s="2"/>
      <c r="D142" s="2"/>
      <c r="E142" s="2"/>
      <c r="F142" s="2"/>
      <c r="G142" s="2"/>
      <c r="H142" s="2"/>
      <c r="I142" s="3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">
      <c r="A143" s="2"/>
      <c r="B143" s="2"/>
      <c r="C143" s="2"/>
      <c r="D143" s="2"/>
      <c r="E143" s="2"/>
      <c r="F143" s="2"/>
      <c r="G143" s="2"/>
      <c r="H143" s="2"/>
      <c r="I143" s="3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">
      <c r="A144" s="2"/>
      <c r="B144" s="2"/>
      <c r="C144" s="2"/>
      <c r="D144" s="2"/>
      <c r="E144" s="2"/>
      <c r="F144" s="2"/>
      <c r="G144" s="2"/>
      <c r="H144" s="2"/>
      <c r="I144" s="3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">
      <c r="A145" s="2"/>
      <c r="B145" s="2"/>
      <c r="C145" s="2"/>
      <c r="D145" s="2"/>
      <c r="E145" s="2"/>
      <c r="F145" s="2"/>
      <c r="G145" s="2"/>
      <c r="H145" s="2"/>
      <c r="I145" s="3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">
      <c r="A146" s="2"/>
      <c r="B146" s="2"/>
      <c r="C146" s="2"/>
      <c r="D146" s="2"/>
      <c r="E146" s="2"/>
      <c r="F146" s="2"/>
      <c r="G146" s="2"/>
      <c r="H146" s="2"/>
      <c r="I146" s="3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">
      <c r="A147" s="2"/>
      <c r="B147" s="2"/>
      <c r="C147" s="2"/>
      <c r="D147" s="2"/>
      <c r="E147" s="2"/>
      <c r="F147" s="2"/>
      <c r="G147" s="2"/>
      <c r="H147" s="2"/>
      <c r="I147" s="3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">
      <c r="A148" s="2"/>
      <c r="B148" s="2"/>
      <c r="C148" s="2"/>
      <c r="D148" s="2"/>
      <c r="E148" s="2"/>
      <c r="F148" s="2"/>
      <c r="G148" s="2"/>
      <c r="H148" s="2"/>
      <c r="I148" s="3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">
      <c r="A149" s="2"/>
      <c r="B149" s="2"/>
      <c r="C149" s="2"/>
      <c r="D149" s="2"/>
      <c r="E149" s="2"/>
      <c r="F149" s="2"/>
      <c r="G149" s="2"/>
      <c r="H149" s="2"/>
      <c r="I149" s="3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">
      <c r="A150" s="2"/>
      <c r="B150" s="2"/>
      <c r="C150" s="2"/>
      <c r="D150" s="2"/>
      <c r="E150" s="2"/>
      <c r="F150" s="2"/>
      <c r="G150" s="2"/>
      <c r="H150" s="2"/>
      <c r="I150" s="3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">
      <c r="A151" s="2"/>
      <c r="B151" s="2"/>
      <c r="C151" s="2"/>
      <c r="D151" s="2"/>
      <c r="E151" s="2"/>
      <c r="F151" s="2"/>
      <c r="G151" s="2"/>
      <c r="H151" s="2"/>
      <c r="I151" s="3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">
      <c r="A152" s="2"/>
      <c r="B152" s="2"/>
      <c r="C152" s="2"/>
      <c r="D152" s="2"/>
      <c r="E152" s="2"/>
      <c r="F152" s="2"/>
      <c r="G152" s="2"/>
      <c r="H152" s="2"/>
      <c r="I152" s="3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">
      <c r="A153" s="2"/>
      <c r="B153" s="2"/>
      <c r="C153" s="2"/>
      <c r="D153" s="2"/>
      <c r="E153" s="2"/>
      <c r="F153" s="2"/>
      <c r="G153" s="2"/>
      <c r="H153" s="2"/>
      <c r="I153" s="3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">
      <c r="A154" s="2"/>
      <c r="B154" s="2"/>
      <c r="C154" s="2"/>
      <c r="D154" s="2"/>
      <c r="E154" s="2"/>
      <c r="F154" s="2"/>
      <c r="G154" s="2"/>
      <c r="H154" s="2"/>
      <c r="I154" s="3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">
      <c r="A155" s="2"/>
      <c r="B155" s="2"/>
      <c r="C155" s="2"/>
      <c r="D155" s="2"/>
      <c r="E155" s="2"/>
      <c r="F155" s="2"/>
      <c r="G155" s="2"/>
      <c r="H155" s="2"/>
      <c r="I155" s="3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">
      <c r="A156" s="2"/>
      <c r="B156" s="2"/>
      <c r="C156" s="2"/>
      <c r="D156" s="2"/>
      <c r="E156" s="2"/>
      <c r="F156" s="2"/>
      <c r="G156" s="2"/>
      <c r="H156" s="2"/>
      <c r="I156" s="3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">
      <c r="A157" s="2"/>
      <c r="B157" s="2"/>
      <c r="C157" s="2"/>
      <c r="D157" s="2"/>
      <c r="E157" s="2"/>
      <c r="F157" s="2"/>
      <c r="G157" s="2"/>
      <c r="H157" s="2"/>
      <c r="I157" s="3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">
      <c r="A158" s="2"/>
      <c r="B158" s="2"/>
      <c r="C158" s="2"/>
      <c r="D158" s="2"/>
      <c r="E158" s="2"/>
      <c r="F158" s="2"/>
      <c r="G158" s="2"/>
      <c r="H158" s="2"/>
      <c r="I158" s="3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">
      <c r="A159" s="2"/>
      <c r="B159" s="2"/>
      <c r="C159" s="2"/>
      <c r="D159" s="2"/>
      <c r="E159" s="2"/>
      <c r="F159" s="2"/>
      <c r="G159" s="2"/>
      <c r="H159" s="2"/>
      <c r="I159" s="3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">
      <c r="A160" s="2"/>
      <c r="B160" s="2"/>
      <c r="C160" s="2"/>
      <c r="D160" s="2"/>
      <c r="E160" s="2"/>
      <c r="F160" s="2"/>
      <c r="G160" s="2"/>
      <c r="H160" s="2"/>
      <c r="I160" s="3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">
      <c r="A161" s="2"/>
      <c r="B161" s="2"/>
      <c r="C161" s="2"/>
      <c r="D161" s="2"/>
      <c r="E161" s="2"/>
      <c r="F161" s="2"/>
      <c r="G161" s="2"/>
      <c r="H161" s="2"/>
      <c r="I161" s="3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">
      <c r="A162" s="2"/>
      <c r="B162" s="2"/>
      <c r="C162" s="2"/>
      <c r="D162" s="2"/>
      <c r="E162" s="2"/>
      <c r="F162" s="2"/>
      <c r="G162" s="2"/>
      <c r="H162" s="2"/>
      <c r="I162" s="3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">
      <c r="A163" s="2"/>
      <c r="B163" s="2"/>
      <c r="C163" s="2"/>
      <c r="D163" s="2"/>
      <c r="E163" s="2"/>
      <c r="F163" s="2"/>
      <c r="G163" s="2"/>
      <c r="H163" s="2"/>
      <c r="I163" s="33"/>
      <c r="J163" s="2"/>
      <c r="K163" s="2"/>
      <c r="L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">
      <c r="A164" s="2"/>
      <c r="B164" s="2"/>
      <c r="C164" s="2"/>
      <c r="D164" s="2"/>
      <c r="E164" s="2"/>
      <c r="F164" s="2"/>
      <c r="G164" s="2"/>
      <c r="H164" s="2"/>
      <c r="I164" s="33"/>
      <c r="J164" s="2"/>
      <c r="K164" s="2"/>
      <c r="L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0:12" ht="12">
      <c r="J165" s="2"/>
      <c r="K165" s="2"/>
      <c r="L165" s="2"/>
    </row>
    <row r="166" spans="10:12" ht="12">
      <c r="J166" s="2"/>
      <c r="K166" s="2"/>
      <c r="L166" s="2"/>
    </row>
    <row r="167" spans="10:12" ht="12">
      <c r="J167" s="2"/>
      <c r="K167" s="2"/>
      <c r="L167" s="2"/>
    </row>
    <row r="168" spans="10:12" ht="12">
      <c r="J168" s="2"/>
      <c r="K168" s="2"/>
      <c r="L168" s="2"/>
    </row>
    <row r="169" spans="10:12" ht="12">
      <c r="J169" s="2"/>
      <c r="K169" s="2"/>
      <c r="L169" s="2"/>
    </row>
    <row r="170" spans="10:12" ht="12">
      <c r="J170" s="2"/>
      <c r="K170" s="2"/>
      <c r="L170" s="2"/>
    </row>
    <row r="171" spans="10:12" ht="12">
      <c r="J171" s="2"/>
      <c r="K171" s="2"/>
      <c r="L171" s="2"/>
    </row>
    <row r="172" spans="10:12" ht="12">
      <c r="J172" s="2"/>
      <c r="K172" s="2"/>
      <c r="L172" s="2"/>
    </row>
  </sheetData>
  <sheetProtection/>
  <mergeCells count="4">
    <mergeCell ref="H79:I79"/>
    <mergeCell ref="H98:I98"/>
    <mergeCell ref="H20:I20"/>
    <mergeCell ref="H4:I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1">
      <selection activeCell="B77" sqref="B77"/>
    </sheetView>
  </sheetViews>
  <sheetFormatPr defaultColWidth="9.00390625" defaultRowHeight="14.25"/>
  <cols>
    <col min="1" max="1" width="41.125" style="3" customWidth="1"/>
    <col min="2" max="2" width="30.25390625" style="3" customWidth="1"/>
    <col min="3" max="16384" width="9.00390625" style="3" customWidth="1"/>
  </cols>
  <sheetData>
    <row r="1" ht="12">
      <c r="A1" s="121" t="s">
        <v>65</v>
      </c>
    </row>
    <row r="3" spans="1:2" ht="12">
      <c r="A3" s="20" t="s">
        <v>0</v>
      </c>
      <c r="B3" s="21">
        <v>41409.41678240741</v>
      </c>
    </row>
    <row r="4" spans="1:2" ht="12">
      <c r="A4" s="20" t="s">
        <v>1</v>
      </c>
      <c r="B4" s="21">
        <v>41730.66292184028</v>
      </c>
    </row>
    <row r="5" spans="1:2" ht="12">
      <c r="A5" s="20" t="s">
        <v>48</v>
      </c>
      <c r="B5" s="20" t="s">
        <v>2</v>
      </c>
    </row>
    <row r="7" spans="1:2" ht="12">
      <c r="A7" s="20" t="s">
        <v>34</v>
      </c>
      <c r="B7" s="121" t="s">
        <v>137</v>
      </c>
    </row>
    <row r="8" spans="1:2" ht="12">
      <c r="A8" s="20" t="s">
        <v>63</v>
      </c>
      <c r="B8" s="20" t="s">
        <v>138</v>
      </c>
    </row>
    <row r="9" spans="1:2" ht="12">
      <c r="A9" s="20" t="s">
        <v>3</v>
      </c>
      <c r="B9" s="20" t="s">
        <v>139</v>
      </c>
    </row>
    <row r="11" spans="1:2" ht="12">
      <c r="A11" s="15" t="s">
        <v>140</v>
      </c>
      <c r="B11" s="15" t="s">
        <v>70</v>
      </c>
    </row>
    <row r="12" spans="1:2" ht="12">
      <c r="A12" s="15" t="s">
        <v>141</v>
      </c>
      <c r="B12" s="23">
        <v>10819333.55</v>
      </c>
    </row>
    <row r="13" spans="1:2" ht="12">
      <c r="A13" s="15" t="s">
        <v>142</v>
      </c>
      <c r="B13" s="23">
        <v>114346.92</v>
      </c>
    </row>
    <row r="14" spans="1:2" ht="12">
      <c r="A14" s="15" t="s">
        <v>143</v>
      </c>
      <c r="B14" s="127">
        <v>21489.7</v>
      </c>
    </row>
    <row r="15" spans="1:2" ht="12">
      <c r="A15" s="15" t="s">
        <v>144</v>
      </c>
      <c r="B15" s="23">
        <v>110225.77</v>
      </c>
    </row>
    <row r="16" spans="1:2" ht="12">
      <c r="A16" s="15" t="s">
        <v>145</v>
      </c>
      <c r="B16" s="23">
        <v>2703504.67</v>
      </c>
    </row>
    <row r="17" spans="1:2" ht="12">
      <c r="A17" s="15" t="s">
        <v>146</v>
      </c>
      <c r="B17" s="23">
        <v>6376796.15</v>
      </c>
    </row>
    <row r="18" spans="1:2" ht="12">
      <c r="A18" s="15" t="s">
        <v>147</v>
      </c>
      <c r="B18" s="23">
        <v>6366669.06</v>
      </c>
    </row>
    <row r="19" spans="1:2" ht="12">
      <c r="A19" s="15" t="s">
        <v>148</v>
      </c>
      <c r="B19" s="23">
        <v>10127.09</v>
      </c>
    </row>
    <row r="20" spans="1:2" ht="12">
      <c r="A20" s="15" t="s">
        <v>149</v>
      </c>
      <c r="B20" s="23">
        <v>50856.98</v>
      </c>
    </row>
    <row r="21" spans="1:2" ht="12">
      <c r="A21" s="15" t="s">
        <v>150</v>
      </c>
      <c r="B21" s="23">
        <v>42564.82</v>
      </c>
    </row>
    <row r="22" spans="1:2" ht="12">
      <c r="A22" s="15" t="s">
        <v>151</v>
      </c>
      <c r="B22" s="23">
        <v>7275.08</v>
      </c>
    </row>
    <row r="23" spans="1:2" ht="12">
      <c r="A23" s="15" t="s">
        <v>152</v>
      </c>
      <c r="B23" s="127">
        <v>1252698.5</v>
      </c>
    </row>
    <row r="24" spans="1:2" ht="12">
      <c r="A24" s="15" t="s">
        <v>153</v>
      </c>
      <c r="B24" s="23">
        <v>51220.27</v>
      </c>
    </row>
    <row r="25" spans="1:2" ht="12">
      <c r="A25" s="15" t="s">
        <v>154</v>
      </c>
      <c r="B25" s="23">
        <v>1156952.08</v>
      </c>
    </row>
    <row r="26" spans="1:2" ht="12">
      <c r="A26" s="15" t="s">
        <v>155</v>
      </c>
      <c r="B26" s="23">
        <v>21573.96</v>
      </c>
    </row>
    <row r="27" spans="1:2" ht="12">
      <c r="A27" s="15" t="s">
        <v>156</v>
      </c>
      <c r="B27" s="23">
        <v>17107.73</v>
      </c>
    </row>
    <row r="28" spans="1:2" ht="12">
      <c r="A28" s="15" t="s">
        <v>157</v>
      </c>
      <c r="B28" s="23">
        <v>5844.45</v>
      </c>
    </row>
    <row r="29" spans="1:2" ht="12">
      <c r="A29" s="15" t="s">
        <v>158</v>
      </c>
      <c r="B29" s="23">
        <v>5958.22</v>
      </c>
    </row>
    <row r="30" spans="1:2" ht="12">
      <c r="A30" s="15" t="s">
        <v>159</v>
      </c>
      <c r="B30" s="23">
        <v>21864.24</v>
      </c>
    </row>
    <row r="31" spans="1:2" ht="12">
      <c r="A31" s="15" t="s">
        <v>160</v>
      </c>
      <c r="B31" s="127">
        <v>42366.9</v>
      </c>
    </row>
    <row r="32" spans="1:2" ht="12">
      <c r="A32" s="15" t="s">
        <v>161</v>
      </c>
      <c r="B32" s="23">
        <v>16592.47</v>
      </c>
    </row>
    <row r="33" spans="1:2" ht="12">
      <c r="A33" s="15" t="s">
        <v>162</v>
      </c>
      <c r="B33" s="23">
        <v>23132.39</v>
      </c>
    </row>
    <row r="34" spans="1:2" ht="12">
      <c r="A34" s="15" t="s">
        <v>163</v>
      </c>
      <c r="B34" s="23">
        <v>28904.94</v>
      </c>
    </row>
    <row r="35" spans="1:2" ht="12">
      <c r="A35" s="15" t="s">
        <v>164</v>
      </c>
      <c r="B35" s="127">
        <v>49.6</v>
      </c>
    </row>
    <row r="36" spans="1:2" ht="12">
      <c r="A36" s="15" t="s">
        <v>165</v>
      </c>
      <c r="B36" s="23">
        <v>706.22</v>
      </c>
    </row>
    <row r="37" spans="1:2" ht="12">
      <c r="A37" s="15" t="s">
        <v>166</v>
      </c>
      <c r="B37" s="23">
        <v>561311.44</v>
      </c>
    </row>
    <row r="39" ht="12">
      <c r="A39" s="20" t="s">
        <v>82</v>
      </c>
    </row>
    <row r="40" spans="1:2" ht="12">
      <c r="A40" s="20" t="s">
        <v>33</v>
      </c>
      <c r="B40" s="20" t="s">
        <v>83</v>
      </c>
    </row>
    <row r="42" spans="1:2" ht="12">
      <c r="A42" s="20" t="s">
        <v>34</v>
      </c>
      <c r="B42" s="121" t="s">
        <v>167</v>
      </c>
    </row>
    <row r="43" spans="1:2" ht="12">
      <c r="A43" s="20" t="s">
        <v>63</v>
      </c>
      <c r="B43" s="20" t="s">
        <v>138</v>
      </c>
    </row>
    <row r="44" spans="1:2" ht="12">
      <c r="A44" s="20" t="s">
        <v>3</v>
      </c>
      <c r="B44" s="20" t="s">
        <v>139</v>
      </c>
    </row>
    <row r="46" spans="1:2" ht="12">
      <c r="A46" s="15" t="s">
        <v>140</v>
      </c>
      <c r="B46" s="15" t="s">
        <v>70</v>
      </c>
    </row>
    <row r="47" spans="1:2" ht="12">
      <c r="A47" s="15" t="s">
        <v>141</v>
      </c>
      <c r="B47" s="23">
        <v>11718391.86</v>
      </c>
    </row>
    <row r="48" spans="1:2" ht="12">
      <c r="A48" s="15" t="s">
        <v>142</v>
      </c>
      <c r="B48" s="23">
        <v>1125900.12</v>
      </c>
    </row>
    <row r="49" spans="1:2" ht="12">
      <c r="A49" s="15" t="s">
        <v>143</v>
      </c>
      <c r="B49" s="23">
        <v>99237.01</v>
      </c>
    </row>
    <row r="50" spans="1:2" ht="12">
      <c r="A50" s="15" t="s">
        <v>144</v>
      </c>
      <c r="B50" s="23">
        <v>180007.57</v>
      </c>
    </row>
    <row r="51" spans="1:2" ht="12">
      <c r="A51" s="15" t="s">
        <v>145</v>
      </c>
      <c r="B51" s="23">
        <v>2232066.72</v>
      </c>
    </row>
    <row r="52" spans="1:2" ht="12">
      <c r="A52" s="15" t="s">
        <v>146</v>
      </c>
      <c r="B52" s="23">
        <v>2196592.84</v>
      </c>
    </row>
    <row r="53" spans="1:2" ht="12">
      <c r="A53" s="15" t="s">
        <v>147</v>
      </c>
      <c r="B53" s="23">
        <v>2187470.63</v>
      </c>
    </row>
    <row r="54" spans="1:2" ht="12">
      <c r="A54" s="15" t="s">
        <v>148</v>
      </c>
      <c r="B54" s="23">
        <v>9122.21</v>
      </c>
    </row>
    <row r="55" spans="1:2" ht="12">
      <c r="A55" s="15" t="s">
        <v>149</v>
      </c>
      <c r="B55" s="23">
        <v>485402.15</v>
      </c>
    </row>
    <row r="56" spans="1:2" ht="12">
      <c r="A56" s="15" t="s">
        <v>150</v>
      </c>
      <c r="B56" s="127">
        <v>501220.8</v>
      </c>
    </row>
    <row r="57" spans="1:2" ht="12">
      <c r="A57" s="15" t="s">
        <v>151</v>
      </c>
      <c r="B57" s="127">
        <v>43503.6</v>
      </c>
    </row>
    <row r="58" spans="1:2" ht="12">
      <c r="A58" s="15" t="s">
        <v>152</v>
      </c>
      <c r="B58" s="23">
        <v>4146578.83</v>
      </c>
    </row>
    <row r="59" spans="1:2" ht="12">
      <c r="A59" s="15" t="s">
        <v>153</v>
      </c>
      <c r="B59" s="23">
        <v>1712571.55</v>
      </c>
    </row>
    <row r="60" spans="1:2" ht="12">
      <c r="A60" s="15" t="s">
        <v>154</v>
      </c>
      <c r="B60" s="23">
        <v>1755511.04</v>
      </c>
    </row>
    <row r="61" spans="1:2" ht="12">
      <c r="A61" s="15" t="s">
        <v>155</v>
      </c>
      <c r="B61" s="127">
        <v>375848.8</v>
      </c>
    </row>
    <row r="62" spans="1:2" ht="12">
      <c r="A62" s="15" t="s">
        <v>156</v>
      </c>
      <c r="B62" s="23">
        <v>193074.18</v>
      </c>
    </row>
    <row r="63" spans="1:2" ht="12">
      <c r="A63" s="15" t="s">
        <v>157</v>
      </c>
      <c r="B63" s="23">
        <v>109573.27</v>
      </c>
    </row>
    <row r="64" spans="1:2" ht="12">
      <c r="A64" s="15" t="s">
        <v>158</v>
      </c>
      <c r="B64" s="23">
        <v>27778.18</v>
      </c>
    </row>
    <row r="65" spans="1:2" ht="12">
      <c r="A65" s="15" t="s">
        <v>159</v>
      </c>
      <c r="B65" s="23">
        <v>314335.73</v>
      </c>
    </row>
    <row r="66" spans="1:2" ht="12">
      <c r="A66" s="15" t="s">
        <v>160</v>
      </c>
      <c r="B66" s="23">
        <v>125856.83</v>
      </c>
    </row>
    <row r="67" spans="1:2" ht="12">
      <c r="A67" s="15" t="s">
        <v>161</v>
      </c>
      <c r="B67" s="23">
        <v>40549.82</v>
      </c>
    </row>
    <row r="68" spans="1:2" ht="12">
      <c r="A68" s="15" t="s">
        <v>162</v>
      </c>
      <c r="B68" s="23">
        <v>61585.76</v>
      </c>
    </row>
    <row r="69" spans="1:2" ht="12">
      <c r="A69" s="15" t="s">
        <v>163</v>
      </c>
      <c r="B69" s="23">
        <v>137025.13</v>
      </c>
    </row>
    <row r="70" spans="1:2" ht="12">
      <c r="A70" s="15" t="s">
        <v>164</v>
      </c>
      <c r="B70" s="23">
        <v>294.33</v>
      </c>
    </row>
    <row r="71" spans="1:2" ht="12">
      <c r="A71" s="15" t="s">
        <v>165</v>
      </c>
      <c r="B71" s="23">
        <v>456.45</v>
      </c>
    </row>
    <row r="72" spans="1:2" ht="12">
      <c r="A72" s="15" t="s">
        <v>166</v>
      </c>
      <c r="B72" s="23">
        <v>2742392.54</v>
      </c>
    </row>
    <row r="74" ht="12">
      <c r="A74" s="20" t="s">
        <v>82</v>
      </c>
    </row>
    <row r="75" spans="1:2" ht="12">
      <c r="A75" s="20" t="s">
        <v>33</v>
      </c>
      <c r="B75" s="20" t="s">
        <v>83</v>
      </c>
    </row>
    <row r="77" spans="1:2" ht="12">
      <c r="A77" s="20" t="s">
        <v>34</v>
      </c>
      <c r="B77" s="121" t="s">
        <v>168</v>
      </c>
    </row>
    <row r="78" spans="1:2" ht="12">
      <c r="A78" s="20" t="s">
        <v>63</v>
      </c>
      <c r="B78" s="20" t="s">
        <v>138</v>
      </c>
    </row>
    <row r="79" spans="1:2" ht="12">
      <c r="A79" s="20" t="s">
        <v>3</v>
      </c>
      <c r="B79" s="20" t="s">
        <v>139</v>
      </c>
    </row>
    <row r="81" spans="1:2" ht="12">
      <c r="A81" s="15" t="s">
        <v>140</v>
      </c>
      <c r="B81" s="15" t="s">
        <v>70</v>
      </c>
    </row>
    <row r="82" spans="1:2" ht="12">
      <c r="A82" s="15" t="s">
        <v>141</v>
      </c>
      <c r="B82" s="23">
        <v>3971313.52</v>
      </c>
    </row>
    <row r="83" spans="1:2" ht="12">
      <c r="A83" s="15" t="s">
        <v>142</v>
      </c>
      <c r="B83" s="23">
        <v>3807835.56</v>
      </c>
    </row>
    <row r="84" spans="1:2" ht="12">
      <c r="A84" s="15" t="s">
        <v>143</v>
      </c>
      <c r="B84" s="23">
        <v>226.39</v>
      </c>
    </row>
    <row r="85" spans="1:2" ht="12">
      <c r="A85" s="15" t="s">
        <v>144</v>
      </c>
      <c r="B85" s="23">
        <v>307.05</v>
      </c>
    </row>
    <row r="86" spans="1:2" ht="12">
      <c r="A86" s="15" t="s">
        <v>145</v>
      </c>
      <c r="B86" s="23">
        <v>77377.87</v>
      </c>
    </row>
    <row r="87" spans="1:2" ht="12">
      <c r="A87" s="15" t="s">
        <v>146</v>
      </c>
      <c r="B87" s="23">
        <v>3957.26</v>
      </c>
    </row>
    <row r="88" spans="1:2" ht="12">
      <c r="A88" s="15" t="s">
        <v>147</v>
      </c>
      <c r="B88" s="23">
        <v>3910.78</v>
      </c>
    </row>
    <row r="89" spans="1:2" ht="12">
      <c r="A89" s="15" t="s">
        <v>148</v>
      </c>
      <c r="B89" s="23">
        <v>46.48</v>
      </c>
    </row>
    <row r="90" spans="1:2" ht="12">
      <c r="A90" s="15" t="s">
        <v>149</v>
      </c>
      <c r="B90" s="127">
        <v>1744.8</v>
      </c>
    </row>
    <row r="91" spans="1:2" ht="12">
      <c r="A91" s="15" t="s">
        <v>150</v>
      </c>
      <c r="B91" s="23">
        <v>5285.97</v>
      </c>
    </row>
    <row r="92" spans="1:2" ht="12">
      <c r="A92" s="15" t="s">
        <v>151</v>
      </c>
      <c r="B92" s="23">
        <v>276.58</v>
      </c>
    </row>
    <row r="93" spans="1:2" ht="12">
      <c r="A93" s="15" t="s">
        <v>152</v>
      </c>
      <c r="B93" s="23">
        <v>5187.03</v>
      </c>
    </row>
    <row r="94" spans="1:2" ht="12">
      <c r="A94" s="15" t="s">
        <v>153</v>
      </c>
      <c r="B94" s="23">
        <v>2717.35</v>
      </c>
    </row>
    <row r="95" spans="1:2" ht="12">
      <c r="A95" s="15" t="s">
        <v>154</v>
      </c>
      <c r="B95" s="23">
        <v>286.34</v>
      </c>
    </row>
    <row r="96" spans="1:2" ht="12">
      <c r="A96" s="15" t="s">
        <v>155</v>
      </c>
      <c r="B96" s="23">
        <v>1466.51</v>
      </c>
    </row>
    <row r="97" spans="1:2" ht="12">
      <c r="A97" s="15" t="s">
        <v>156</v>
      </c>
      <c r="B97" s="23">
        <v>365.16</v>
      </c>
    </row>
    <row r="98" spans="1:2" ht="12">
      <c r="A98" s="15" t="s">
        <v>157</v>
      </c>
      <c r="B98" s="23">
        <v>351.67</v>
      </c>
    </row>
    <row r="99" spans="1:2" ht="12">
      <c r="A99" s="15" t="s">
        <v>158</v>
      </c>
      <c r="B99" s="23">
        <v>484.35</v>
      </c>
    </row>
    <row r="100" spans="1:2" ht="12">
      <c r="A100" s="15" t="s">
        <v>159</v>
      </c>
      <c r="B100" s="23">
        <v>2600.02</v>
      </c>
    </row>
    <row r="101" spans="1:2" ht="12">
      <c r="A101" s="15" t="s">
        <v>160</v>
      </c>
      <c r="B101" s="127">
        <v>4338.3</v>
      </c>
    </row>
    <row r="102" spans="1:2" ht="12">
      <c r="A102" s="15" t="s">
        <v>161</v>
      </c>
      <c r="B102" s="23">
        <v>452.08</v>
      </c>
    </row>
    <row r="103" spans="1:2" ht="12">
      <c r="A103" s="15" t="s">
        <v>162</v>
      </c>
      <c r="B103" s="23">
        <v>511.87</v>
      </c>
    </row>
    <row r="104" spans="1:2" ht="12">
      <c r="A104" s="15" t="s">
        <v>163</v>
      </c>
      <c r="B104" s="23">
        <v>60727.74</v>
      </c>
    </row>
    <row r="105" spans="1:2" ht="12">
      <c r="A105" s="15" t="s">
        <v>164</v>
      </c>
      <c r="B105" s="23">
        <v>0.64</v>
      </c>
    </row>
    <row r="106" spans="1:2" ht="12">
      <c r="A106" s="15" t="s">
        <v>165</v>
      </c>
      <c r="B106" s="128" t="s">
        <v>33</v>
      </c>
    </row>
    <row r="107" spans="1:2" ht="12">
      <c r="A107" s="15" t="s">
        <v>166</v>
      </c>
      <c r="B107" s="23">
        <v>119454.55</v>
      </c>
    </row>
    <row r="109" ht="12">
      <c r="A109" s="20" t="s">
        <v>82</v>
      </c>
    </row>
    <row r="110" spans="1:2" ht="12">
      <c r="A110" s="20" t="s">
        <v>33</v>
      </c>
      <c r="B110" s="20" t="s">
        <v>83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B81" sqref="B81"/>
    </sheetView>
  </sheetViews>
  <sheetFormatPr defaultColWidth="9.00390625" defaultRowHeight="14.25"/>
  <cols>
    <col min="1" max="1" width="34.50390625" style="3" customWidth="1"/>
    <col min="2" max="2" width="32.00390625" style="3" customWidth="1"/>
    <col min="3" max="3" width="9.00390625" style="3" customWidth="1"/>
    <col min="4" max="4" width="11.375" style="3" bestFit="1" customWidth="1"/>
    <col min="5" max="16384" width="9.00390625" style="3" customWidth="1"/>
  </cols>
  <sheetData>
    <row r="1" ht="12">
      <c r="A1" s="121" t="s">
        <v>169</v>
      </c>
    </row>
    <row r="3" spans="1:2" ht="12">
      <c r="A3" s="20" t="s">
        <v>0</v>
      </c>
      <c r="B3" s="21">
        <v>41710.49328703704</v>
      </c>
    </row>
    <row r="4" spans="1:2" ht="12">
      <c r="A4" s="20" t="s">
        <v>1</v>
      </c>
      <c r="B4" s="21">
        <v>41730.67295574074</v>
      </c>
    </row>
    <row r="5" spans="1:2" ht="12">
      <c r="A5" s="20" t="s">
        <v>48</v>
      </c>
      <c r="B5" s="20" t="s">
        <v>2</v>
      </c>
    </row>
    <row r="7" spans="1:2" ht="12">
      <c r="A7" s="20" t="s">
        <v>34</v>
      </c>
      <c r="B7" s="121" t="s">
        <v>137</v>
      </c>
    </row>
    <row r="8" spans="1:2" ht="12">
      <c r="A8" s="20" t="s">
        <v>63</v>
      </c>
      <c r="B8" s="20" t="s">
        <v>138</v>
      </c>
    </row>
    <row r="9" spans="1:2" ht="12">
      <c r="A9" s="20" t="s">
        <v>3</v>
      </c>
      <c r="B9" s="20" t="s">
        <v>139</v>
      </c>
    </row>
    <row r="11" spans="1:2" ht="12">
      <c r="A11" s="15" t="s">
        <v>170</v>
      </c>
      <c r="B11" s="15" t="s">
        <v>171</v>
      </c>
    </row>
    <row r="12" spans="1:2" ht="12">
      <c r="A12" s="15" t="s">
        <v>172</v>
      </c>
      <c r="B12" s="27">
        <v>4766110.4</v>
      </c>
    </row>
    <row r="13" spans="1:2" ht="12">
      <c r="A13" s="15" t="s">
        <v>173</v>
      </c>
      <c r="B13" s="27">
        <v>100866.53</v>
      </c>
    </row>
    <row r="14" spans="1:2" ht="12">
      <c r="A14" s="15" t="s">
        <v>174</v>
      </c>
      <c r="B14" s="27">
        <v>48680.33</v>
      </c>
    </row>
    <row r="15" spans="1:2" ht="12">
      <c r="A15" s="15" t="s">
        <v>175</v>
      </c>
      <c r="B15" s="27">
        <v>1443528.64</v>
      </c>
    </row>
    <row r="16" spans="1:4" ht="12">
      <c r="A16" s="15" t="s">
        <v>176</v>
      </c>
      <c r="B16" s="27">
        <v>2275714.2</v>
      </c>
      <c r="D16" s="129">
        <f>SUM(B17,B18,B19,B24:B38)</f>
        <v>140601.09999999998</v>
      </c>
    </row>
    <row r="17" spans="1:2" ht="12">
      <c r="A17" s="15" t="s">
        <v>177</v>
      </c>
      <c r="B17" s="27">
        <v>17695.85</v>
      </c>
    </row>
    <row r="18" spans="1:4" ht="12">
      <c r="A18" s="15" t="s">
        <v>149</v>
      </c>
      <c r="B18" s="27">
        <v>18539.87</v>
      </c>
      <c r="D18" s="130">
        <f>SUM(B13,B14,B15,B16,B17,B18,B19,B20,B26:B38)</f>
        <v>4766110.41</v>
      </c>
    </row>
    <row r="19" spans="1:2" ht="12">
      <c r="A19" s="15" t="s">
        <v>178</v>
      </c>
      <c r="B19" s="27">
        <v>25281.62</v>
      </c>
    </row>
    <row r="20" spans="1:2" ht="12">
      <c r="A20" s="15" t="s">
        <v>179</v>
      </c>
      <c r="B20" s="27">
        <v>761067.32</v>
      </c>
    </row>
    <row r="21" spans="1:2" ht="12">
      <c r="A21" s="15" t="s">
        <v>180</v>
      </c>
      <c r="B21" s="27">
        <v>9255</v>
      </c>
    </row>
    <row r="22" spans="1:2" ht="12">
      <c r="A22" s="15" t="s">
        <v>181</v>
      </c>
      <c r="B22" s="27">
        <v>728113.55</v>
      </c>
    </row>
    <row r="23" spans="1:2" ht="12">
      <c r="A23" s="15" t="s">
        <v>182</v>
      </c>
      <c r="B23" s="27">
        <v>19352.81</v>
      </c>
    </row>
    <row r="24" spans="1:2" ht="12">
      <c r="A24" s="15" t="s">
        <v>183</v>
      </c>
      <c r="B24" s="27">
        <v>3660.93</v>
      </c>
    </row>
    <row r="25" spans="1:2" ht="12">
      <c r="A25" s="15" t="s">
        <v>184</v>
      </c>
      <c r="B25" s="27">
        <v>686.78</v>
      </c>
    </row>
    <row r="26" spans="1:2" ht="12">
      <c r="A26" s="15" t="s">
        <v>185</v>
      </c>
      <c r="B26" s="27">
        <v>6439.52</v>
      </c>
    </row>
    <row r="27" spans="1:2" ht="12">
      <c r="A27" s="15" t="s">
        <v>186</v>
      </c>
      <c r="B27" s="27">
        <v>3628.19</v>
      </c>
    </row>
    <row r="28" spans="1:2" ht="12">
      <c r="A28" s="15" t="s">
        <v>187</v>
      </c>
      <c r="B28" s="27">
        <v>2343.61</v>
      </c>
    </row>
    <row r="29" spans="1:2" ht="12">
      <c r="A29" s="15" t="s">
        <v>188</v>
      </c>
      <c r="B29" s="27">
        <v>5277.73</v>
      </c>
    </row>
    <row r="30" spans="1:2" ht="12">
      <c r="A30" s="15" t="s">
        <v>189</v>
      </c>
      <c r="B30" s="27">
        <v>4917.06</v>
      </c>
    </row>
    <row r="31" spans="1:2" ht="12">
      <c r="A31" s="15" t="s">
        <v>190</v>
      </c>
      <c r="B31" s="27">
        <v>3177.7</v>
      </c>
    </row>
    <row r="32" spans="1:2" ht="12">
      <c r="A32" s="15" t="s">
        <v>191</v>
      </c>
      <c r="B32" s="27">
        <v>20576.56</v>
      </c>
    </row>
    <row r="33" spans="1:2" ht="12">
      <c r="A33" s="15" t="s">
        <v>192</v>
      </c>
      <c r="B33" s="27">
        <v>13745.6</v>
      </c>
    </row>
    <row r="34" spans="1:2" ht="12">
      <c r="A34" s="15" t="s">
        <v>193</v>
      </c>
      <c r="B34" s="27">
        <v>9548.88</v>
      </c>
    </row>
    <row r="35" spans="1:2" ht="12">
      <c r="A35" s="15" t="s">
        <v>194</v>
      </c>
      <c r="B35" s="27">
        <v>2166.88</v>
      </c>
    </row>
    <row r="36" spans="1:2" ht="12">
      <c r="A36" s="15" t="s">
        <v>195</v>
      </c>
      <c r="B36" s="27">
        <v>2806.11</v>
      </c>
    </row>
    <row r="37" spans="1:2" ht="12">
      <c r="A37" s="15" t="s">
        <v>196</v>
      </c>
      <c r="B37" s="27">
        <v>103.22</v>
      </c>
    </row>
    <row r="38" spans="1:2" ht="12">
      <c r="A38" s="15" t="s">
        <v>197</v>
      </c>
      <c r="B38" s="27">
        <v>4.99</v>
      </c>
    </row>
    <row r="39" spans="1:2" ht="12">
      <c r="A39" s="15" t="s">
        <v>166</v>
      </c>
      <c r="B39" s="27">
        <v>382007.9</v>
      </c>
    </row>
    <row r="41" ht="12">
      <c r="A41" s="20" t="s">
        <v>82</v>
      </c>
    </row>
    <row r="42" spans="1:2" ht="12">
      <c r="A42" s="20" t="s">
        <v>33</v>
      </c>
      <c r="B42" s="20" t="s">
        <v>83</v>
      </c>
    </row>
    <row r="44" spans="1:2" ht="12">
      <c r="A44" s="20" t="s">
        <v>34</v>
      </c>
      <c r="B44" s="121" t="s">
        <v>167</v>
      </c>
    </row>
    <row r="45" spans="1:2" ht="12">
      <c r="A45" s="20" t="s">
        <v>63</v>
      </c>
      <c r="B45" s="20" t="s">
        <v>138</v>
      </c>
    </row>
    <row r="46" spans="1:2" ht="12">
      <c r="A46" s="20" t="s">
        <v>3</v>
      </c>
      <c r="B46" s="20" t="s">
        <v>139</v>
      </c>
    </row>
    <row r="48" spans="1:2" ht="12">
      <c r="A48" s="15" t="s">
        <v>170</v>
      </c>
      <c r="B48" s="15" t="s">
        <v>171</v>
      </c>
    </row>
    <row r="49" spans="1:2" ht="12">
      <c r="A49" s="15" t="s">
        <v>172</v>
      </c>
      <c r="B49" s="23">
        <v>9543162.94</v>
      </c>
    </row>
    <row r="50" spans="1:4" ht="12">
      <c r="A50" s="15" t="s">
        <v>173</v>
      </c>
      <c r="B50" s="23">
        <v>1029448.33</v>
      </c>
      <c r="D50" s="131">
        <f>SUM(B50:B57,B63:B75)</f>
        <v>9543162.930000002</v>
      </c>
    </row>
    <row r="51" spans="1:2" ht="12">
      <c r="A51" s="15" t="s">
        <v>174</v>
      </c>
      <c r="B51" s="23">
        <v>132484.53</v>
      </c>
    </row>
    <row r="52" spans="1:2" ht="12">
      <c r="A52" s="15" t="s">
        <v>175</v>
      </c>
      <c r="B52" s="23">
        <v>1482094.95</v>
      </c>
    </row>
    <row r="53" spans="1:2" ht="12">
      <c r="A53" s="15" t="s">
        <v>176</v>
      </c>
      <c r="B53" s="23">
        <v>1629299.13</v>
      </c>
    </row>
    <row r="54" spans="1:2" ht="12">
      <c r="A54" s="15" t="s">
        <v>177</v>
      </c>
      <c r="B54" s="127">
        <v>123143.1</v>
      </c>
    </row>
    <row r="55" spans="1:2" ht="12">
      <c r="A55" s="15" t="s">
        <v>149</v>
      </c>
      <c r="B55" s="23">
        <v>278949.39</v>
      </c>
    </row>
    <row r="56" spans="1:2" ht="12">
      <c r="A56" s="15" t="s">
        <v>178</v>
      </c>
      <c r="B56" s="23">
        <v>321679.04</v>
      </c>
    </row>
    <row r="57" spans="1:2" ht="12">
      <c r="A57" s="15" t="s">
        <v>179</v>
      </c>
      <c r="B57" s="23">
        <v>4028752.08</v>
      </c>
    </row>
    <row r="58" spans="1:2" ht="12">
      <c r="A58" s="15" t="s">
        <v>180</v>
      </c>
      <c r="B58" s="23">
        <v>1279896.69</v>
      </c>
    </row>
    <row r="59" spans="1:2" ht="12">
      <c r="A59" s="15" t="s">
        <v>181</v>
      </c>
      <c r="B59" s="23">
        <v>2304407.77</v>
      </c>
    </row>
    <row r="60" spans="1:2" ht="12">
      <c r="A60" s="15" t="s">
        <v>182</v>
      </c>
      <c r="B60" s="23">
        <v>337638.79</v>
      </c>
    </row>
    <row r="61" spans="1:2" ht="12">
      <c r="A61" s="15" t="s">
        <v>183</v>
      </c>
      <c r="B61" s="23">
        <v>84395.84</v>
      </c>
    </row>
    <row r="62" spans="1:2" ht="12">
      <c r="A62" s="15" t="s">
        <v>184</v>
      </c>
      <c r="B62" s="23">
        <v>22503.89</v>
      </c>
    </row>
    <row r="63" spans="1:2" ht="12">
      <c r="A63" s="15" t="s">
        <v>185</v>
      </c>
      <c r="B63" s="23">
        <v>35448.68</v>
      </c>
    </row>
    <row r="64" spans="1:2" ht="12">
      <c r="A64" s="15" t="s">
        <v>186</v>
      </c>
      <c r="B64" s="23">
        <v>38642.64</v>
      </c>
    </row>
    <row r="65" spans="1:2" ht="12">
      <c r="A65" s="15" t="s">
        <v>187</v>
      </c>
      <c r="B65" s="23">
        <v>21863.57</v>
      </c>
    </row>
    <row r="66" spans="1:2" ht="12">
      <c r="A66" s="15" t="s">
        <v>188</v>
      </c>
      <c r="B66" s="23">
        <v>17049.97</v>
      </c>
    </row>
    <row r="67" spans="1:2" ht="12">
      <c r="A67" s="15" t="s">
        <v>189</v>
      </c>
      <c r="B67" s="23">
        <v>67737.61</v>
      </c>
    </row>
    <row r="68" spans="1:2" ht="12">
      <c r="A68" s="15" t="s">
        <v>190</v>
      </c>
      <c r="B68" s="23">
        <v>73977.57</v>
      </c>
    </row>
    <row r="69" spans="1:2" ht="12">
      <c r="A69" s="15" t="s">
        <v>191</v>
      </c>
      <c r="B69" s="23">
        <v>109607.89</v>
      </c>
    </row>
    <row r="70" spans="1:2" ht="12">
      <c r="A70" s="15" t="s">
        <v>192</v>
      </c>
      <c r="B70" s="23">
        <v>46413.42</v>
      </c>
    </row>
    <row r="71" spans="1:2" ht="12">
      <c r="A71" s="15" t="s">
        <v>193</v>
      </c>
      <c r="B71" s="23">
        <v>54298.55</v>
      </c>
    </row>
    <row r="72" spans="1:2" ht="12">
      <c r="A72" s="15" t="s">
        <v>194</v>
      </c>
      <c r="B72" s="23">
        <v>18006.16</v>
      </c>
    </row>
    <row r="73" spans="1:2" ht="12">
      <c r="A73" s="15" t="s">
        <v>195</v>
      </c>
      <c r="B73" s="23">
        <v>33482.48</v>
      </c>
    </row>
    <row r="74" spans="1:2" ht="12">
      <c r="A74" s="15" t="s">
        <v>196</v>
      </c>
      <c r="B74" s="23">
        <v>770.31</v>
      </c>
    </row>
    <row r="75" spans="1:2" ht="12">
      <c r="A75" s="15" t="s">
        <v>197</v>
      </c>
      <c r="B75" s="23">
        <v>13.53</v>
      </c>
    </row>
    <row r="76" spans="1:2" ht="12">
      <c r="A76" s="15" t="s">
        <v>166</v>
      </c>
      <c r="B76" s="23">
        <v>1664583.55</v>
      </c>
    </row>
    <row r="78" ht="12">
      <c r="A78" s="20" t="s">
        <v>82</v>
      </c>
    </row>
    <row r="79" spans="1:2" ht="12">
      <c r="A79" s="20" t="s">
        <v>33</v>
      </c>
      <c r="B79" s="20" t="s">
        <v>83</v>
      </c>
    </row>
    <row r="81" spans="1:2" ht="12">
      <c r="A81" s="20" t="s">
        <v>34</v>
      </c>
      <c r="B81" s="121" t="s">
        <v>168</v>
      </c>
    </row>
    <row r="82" spans="1:2" ht="12">
      <c r="A82" s="20" t="s">
        <v>63</v>
      </c>
      <c r="B82" s="20" t="s">
        <v>138</v>
      </c>
    </row>
    <row r="83" spans="1:2" ht="12">
      <c r="A83" s="20" t="s">
        <v>3</v>
      </c>
      <c r="B83" s="20" t="s">
        <v>139</v>
      </c>
    </row>
    <row r="85" spans="1:2" ht="12">
      <c r="A85" s="15" t="s">
        <v>170</v>
      </c>
      <c r="B85" s="15" t="s">
        <v>171</v>
      </c>
    </row>
    <row r="86" spans="1:2" ht="12">
      <c r="A86" s="15" t="s">
        <v>172</v>
      </c>
      <c r="B86" s="23">
        <v>3515654.64</v>
      </c>
    </row>
    <row r="87" spans="1:2" ht="12">
      <c r="A87" s="15" t="s">
        <v>173</v>
      </c>
      <c r="B87" s="23">
        <v>3339341.77</v>
      </c>
    </row>
    <row r="88" spans="1:2" ht="12">
      <c r="A88" s="15" t="s">
        <v>174</v>
      </c>
      <c r="B88" s="23">
        <v>315.93</v>
      </c>
    </row>
    <row r="89" spans="1:2" ht="12">
      <c r="A89" s="15" t="s">
        <v>175</v>
      </c>
      <c r="B89" s="23">
        <v>78542.42</v>
      </c>
    </row>
    <row r="90" spans="1:2" ht="12">
      <c r="A90" s="15" t="s">
        <v>176</v>
      </c>
      <c r="B90" s="23">
        <v>4595.13</v>
      </c>
    </row>
    <row r="91" spans="1:2" ht="12">
      <c r="A91" s="15" t="s">
        <v>177</v>
      </c>
      <c r="B91" s="23">
        <v>71866.35</v>
      </c>
    </row>
    <row r="92" spans="1:2" ht="12">
      <c r="A92" s="15" t="s">
        <v>149</v>
      </c>
      <c r="B92" s="23">
        <v>1019.68</v>
      </c>
    </row>
    <row r="93" spans="1:2" ht="12">
      <c r="A93" s="15" t="s">
        <v>178</v>
      </c>
      <c r="B93" s="23">
        <v>2104.03</v>
      </c>
    </row>
    <row r="94" spans="1:2" ht="12">
      <c r="A94" s="15" t="s">
        <v>179</v>
      </c>
      <c r="B94" s="23">
        <v>6540.69</v>
      </c>
    </row>
    <row r="95" spans="1:2" ht="12">
      <c r="A95" s="15" t="s">
        <v>180</v>
      </c>
      <c r="B95" s="23">
        <v>4268.11</v>
      </c>
    </row>
    <row r="96" spans="1:2" ht="12">
      <c r="A96" s="15" t="s">
        <v>181</v>
      </c>
      <c r="B96" s="23">
        <v>398.06</v>
      </c>
    </row>
    <row r="97" spans="1:2" ht="12">
      <c r="A97" s="15" t="s">
        <v>182</v>
      </c>
      <c r="B97" s="23">
        <v>1544.82</v>
      </c>
    </row>
    <row r="98" spans="1:2" ht="12">
      <c r="A98" s="15" t="s">
        <v>183</v>
      </c>
      <c r="B98" s="23">
        <v>257.54</v>
      </c>
    </row>
    <row r="99" spans="1:2" ht="12">
      <c r="A99" s="15" t="s">
        <v>184</v>
      </c>
      <c r="B99" s="23">
        <v>73.42</v>
      </c>
    </row>
    <row r="100" spans="1:2" ht="12">
      <c r="A100" s="15" t="s">
        <v>185</v>
      </c>
      <c r="B100" s="23">
        <v>235.48</v>
      </c>
    </row>
    <row r="101" spans="1:2" ht="12">
      <c r="A101" s="15" t="s">
        <v>186</v>
      </c>
      <c r="B101" s="23">
        <v>285.84</v>
      </c>
    </row>
    <row r="102" spans="1:2" ht="12">
      <c r="A102" s="15" t="s">
        <v>187</v>
      </c>
      <c r="B102" s="23">
        <v>244.37</v>
      </c>
    </row>
    <row r="103" spans="1:2" ht="12">
      <c r="A103" s="15" t="s">
        <v>188</v>
      </c>
      <c r="B103" s="23">
        <v>292.44</v>
      </c>
    </row>
    <row r="104" spans="1:2" ht="12">
      <c r="A104" s="15" t="s">
        <v>189</v>
      </c>
      <c r="B104" s="23">
        <v>675.66</v>
      </c>
    </row>
    <row r="105" spans="1:2" ht="12">
      <c r="A105" s="15" t="s">
        <v>190</v>
      </c>
      <c r="B105" s="127">
        <v>728.1</v>
      </c>
    </row>
    <row r="106" spans="1:2" ht="12">
      <c r="A106" s="15" t="s">
        <v>191</v>
      </c>
      <c r="B106" s="23">
        <v>3995.38</v>
      </c>
    </row>
    <row r="107" spans="1:2" ht="12">
      <c r="A107" s="15" t="s">
        <v>192</v>
      </c>
      <c r="B107" s="23">
        <v>526.28</v>
      </c>
    </row>
    <row r="108" spans="1:2" ht="12">
      <c r="A108" s="15" t="s">
        <v>193</v>
      </c>
      <c r="B108" s="23">
        <v>470.62</v>
      </c>
    </row>
    <row r="109" spans="1:2" ht="12">
      <c r="A109" s="15" t="s">
        <v>194</v>
      </c>
      <c r="B109" s="23">
        <v>3589.81</v>
      </c>
    </row>
    <row r="110" spans="1:2" ht="12">
      <c r="A110" s="15" t="s">
        <v>195</v>
      </c>
      <c r="B110" s="23">
        <v>279.37</v>
      </c>
    </row>
    <row r="111" spans="1:2" ht="12">
      <c r="A111" s="15" t="s">
        <v>196</v>
      </c>
      <c r="B111" s="23">
        <v>4.59</v>
      </c>
    </row>
    <row r="112" spans="1:2" ht="12">
      <c r="A112" s="15" t="s">
        <v>197</v>
      </c>
      <c r="B112" s="23">
        <v>0.72</v>
      </c>
    </row>
    <row r="113" spans="1:2" ht="12">
      <c r="A113" s="15" t="s">
        <v>166</v>
      </c>
      <c r="B113" s="23">
        <v>121124.63</v>
      </c>
    </row>
    <row r="115" ht="12">
      <c r="A115" s="20" t="s">
        <v>82</v>
      </c>
    </row>
    <row r="116" spans="1:2" ht="12">
      <c r="A116" s="20" t="s">
        <v>33</v>
      </c>
      <c r="B116" s="20" t="s">
        <v>83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288"/>
  <sheetViews>
    <sheetView zoomScalePageLayoutView="0" workbookViewId="0" topLeftCell="A1">
      <pane ySplit="39" topLeftCell="A40" activePane="bottomLeft" state="frozen"/>
      <selection pane="topLeft" activeCell="B5" sqref="B5:C5"/>
      <selection pane="bottomLeft" activeCell="B11" sqref="B11"/>
    </sheetView>
  </sheetViews>
  <sheetFormatPr defaultColWidth="11.00390625" defaultRowHeight="14.25"/>
  <cols>
    <col min="1" max="1" width="46.25390625" style="3" customWidth="1"/>
    <col min="2" max="2" width="23.125" style="3" bestFit="1" customWidth="1"/>
    <col min="3" max="3" width="12.375" style="3" bestFit="1" customWidth="1"/>
    <col min="4" max="4" width="12.375" style="3" customWidth="1"/>
    <col min="5" max="5" width="12.25390625" style="3" bestFit="1" customWidth="1"/>
    <col min="6" max="6" width="13.50390625" style="3" customWidth="1"/>
    <col min="7" max="7" width="13.125" style="3" customWidth="1"/>
    <col min="8" max="8" width="13.50390625" style="3" customWidth="1"/>
    <col min="9" max="9" width="19.50390625" style="3" customWidth="1"/>
    <col min="10" max="10" width="12.50390625" style="3" bestFit="1" customWidth="1"/>
    <col min="11" max="11" width="12.75390625" style="3" customWidth="1"/>
    <col min="12" max="12" width="12.00390625" style="3" customWidth="1"/>
    <col min="13" max="13" width="11.00390625" style="3" customWidth="1"/>
    <col min="14" max="14" width="10.375" style="3" customWidth="1"/>
    <col min="15" max="15" width="10.875" style="3" customWidth="1"/>
    <col min="16" max="16" width="10.375" style="3" customWidth="1"/>
    <col min="17" max="17" width="9.50390625" style="3" customWidth="1"/>
    <col min="18" max="20" width="9.50390625" style="3" bestFit="1" customWidth="1"/>
    <col min="21" max="21" width="14.375" style="3" customWidth="1"/>
    <col min="22" max="23" width="9.00390625" style="3" customWidth="1"/>
    <col min="24" max="25" width="9.50390625" style="3" bestFit="1" customWidth="1"/>
    <col min="26" max="26" width="10.375" style="3" customWidth="1"/>
    <col min="27" max="27" width="10.625" style="3" customWidth="1"/>
    <col min="28" max="28" width="9.25390625" style="3" bestFit="1" customWidth="1"/>
    <col min="29" max="16384" width="11.00390625" style="3" customWidth="1"/>
  </cols>
  <sheetData>
    <row r="1" spans="1:38" ht="12">
      <c r="A1" s="63"/>
      <c r="B1" s="63"/>
      <c r="C1" s="63"/>
      <c r="D1" s="63"/>
      <c r="E1" s="63"/>
      <c r="F1" s="63"/>
      <c r="G1" s="63"/>
      <c r="H1" s="63"/>
      <c r="I1" s="63"/>
      <c r="J1" s="63"/>
      <c r="K1" s="91">
        <f>K92*100/$K$98</f>
        <v>12.937548012819494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12">
      <c r="A2" s="118" t="s">
        <v>309</v>
      </c>
      <c r="B2" s="63">
        <v>1.22</v>
      </c>
      <c r="C2" s="63"/>
      <c r="D2" s="63">
        <v>0.014</v>
      </c>
      <c r="E2" s="63"/>
      <c r="F2" s="63">
        <v>0.11</v>
      </c>
      <c r="G2" s="63"/>
      <c r="H2" s="63">
        <v>1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ht="12">
      <c r="A3" s="10" t="s">
        <v>311</v>
      </c>
      <c r="B3" s="10" t="s">
        <v>67</v>
      </c>
      <c r="C3" s="10" t="s">
        <v>67</v>
      </c>
      <c r="D3" s="10" t="s">
        <v>68</v>
      </c>
      <c r="E3" s="10" t="s">
        <v>68</v>
      </c>
      <c r="F3" s="10" t="s">
        <v>84</v>
      </c>
      <c r="G3" s="10" t="s">
        <v>84</v>
      </c>
      <c r="H3" s="10" t="s">
        <v>85</v>
      </c>
      <c r="I3" s="10" t="s">
        <v>85</v>
      </c>
      <c r="J3" s="105" t="s">
        <v>50</v>
      </c>
      <c r="K3" s="105" t="s">
        <v>50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ht="12">
      <c r="A4" s="10" t="s">
        <v>6</v>
      </c>
      <c r="B4" s="10">
        <v>2000</v>
      </c>
      <c r="C4" s="10">
        <v>2011</v>
      </c>
      <c r="D4" s="10">
        <v>2000</v>
      </c>
      <c r="E4" s="10">
        <v>2011</v>
      </c>
      <c r="F4" s="10">
        <v>2000</v>
      </c>
      <c r="G4" s="10">
        <v>2011</v>
      </c>
      <c r="H4" s="10">
        <v>2000</v>
      </c>
      <c r="I4" s="10">
        <v>2011</v>
      </c>
      <c r="J4" s="105">
        <v>2000</v>
      </c>
      <c r="K4" s="105">
        <v>2011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ht="12">
      <c r="A5" s="120" t="s">
        <v>134</v>
      </c>
      <c r="B5" s="119">
        <f>'Trop_Ozone_2000_NACErev1.1'!C12</f>
        <v>14296438.0692</v>
      </c>
      <c r="C5" s="119">
        <f>Trop_Ozone_2011_NACErev2!C12</f>
        <v>11642658.786799999</v>
      </c>
      <c r="D5" s="119">
        <f>'Trop_Ozone_2000_NACErev1.1'!C117</f>
        <v>305334.87418000004</v>
      </c>
      <c r="E5" s="119">
        <f>Trop_Ozone_2011_NACErev2!C124</f>
        <v>242516.08709999998</v>
      </c>
      <c r="F5" s="119">
        <f>'Trop_Ozone_2000_NACErev1.1'!C47</f>
        <v>1816396.0507</v>
      </c>
      <c r="G5" s="119">
        <f>Trop_Ozone_2011_NACErev2!C50</f>
        <v>1185790.4971</v>
      </c>
      <c r="H5" s="119">
        <f>'Trop_Ozone_2000_NACErev1.1'!B82</f>
        <v>8162316.77</v>
      </c>
      <c r="I5" s="119">
        <f>Trop_Ozone_2011_NACErev2!B87</f>
        <v>4692937.51</v>
      </c>
      <c r="J5" s="119">
        <f>B5+D5+F5+H5</f>
        <v>24580485.76408</v>
      </c>
      <c r="K5" s="119">
        <f>C5+E5+G5+I5</f>
        <v>17763902.880999997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ht="12">
      <c r="A6" s="10" t="s">
        <v>30</v>
      </c>
      <c r="B6" s="53">
        <f>'Trop_Ozone_2000_NACErev1.1'!C13+'Trop_Ozone_2000_NACErev1.1'!C14</f>
        <v>1494667.2986</v>
      </c>
      <c r="C6" s="53">
        <f>Trop_Ozone_2011_NACErev2!C13</f>
        <v>1255926.9626</v>
      </c>
      <c r="D6" s="53">
        <f>'Trop_Ozone_2000_NACErev1.1'!C118+'Trop_Ozone_2000_NACErev1.1'!C119</f>
        <v>141673.74228</v>
      </c>
      <c r="E6" s="88">
        <f>Trop_Ozone_2011_NACErev2!C125</f>
        <v>128554.46128</v>
      </c>
      <c r="F6" s="53">
        <f>'Trop_Ozone_2000_NACErev1.1'!C48+'Trop_Ozone_2000_NACErev1.1'!C49</f>
        <v>353866.6065</v>
      </c>
      <c r="G6" s="88">
        <f>Trop_Ozone_2011_NACErev2!C51</f>
        <v>172968.5903</v>
      </c>
      <c r="H6" s="53">
        <f>'Trop_Ozone_2000_NACErev1.1'!B83+'Trop_Ozone_2000_NACErev1.1'!B84</f>
        <v>2076440.6500000001</v>
      </c>
      <c r="I6" s="88">
        <f>Trop_Ozone_2011_NACErev2!B88</f>
        <v>740763.45</v>
      </c>
      <c r="J6" s="88">
        <f aca="true" t="shared" si="0" ref="J6:J13">B6+D6+F6+H6</f>
        <v>4066648.2973800004</v>
      </c>
      <c r="K6" s="88">
        <f aca="true" t="shared" si="1" ref="K6:K13">C6+E6+G6+I6</f>
        <v>2298213.46418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ht="12">
      <c r="A7" s="10" t="s">
        <v>31</v>
      </c>
      <c r="B7" s="53">
        <f>'Trop_Ozone_2000_NACErev1.1'!C15</f>
        <v>219609.2354</v>
      </c>
      <c r="C7" s="53">
        <f>Trop_Ozone_2011_NACErev2!C14</f>
        <v>161631.1266</v>
      </c>
      <c r="D7" s="53">
        <f>'Trop_Ozone_2000_NACErev1.1'!C120</f>
        <v>35664.59372</v>
      </c>
      <c r="E7" s="88">
        <f>Trop_Ozone_2011_NACErev2!C126</f>
        <v>17771.216819999998</v>
      </c>
      <c r="F7" s="53">
        <f>'Trop_Ozone_2000_NACErev1.1'!C50</f>
        <v>9182.7978</v>
      </c>
      <c r="G7" s="88">
        <f>Trop_Ozone_2011_NACErev2!C52</f>
        <v>5679.5629</v>
      </c>
      <c r="H7" s="53">
        <f>'Trop_Ozone_2000_NACErev1.1'!B85</f>
        <v>361470.21</v>
      </c>
      <c r="I7" s="88">
        <f>Trop_Ozone_2011_NACErev2!B89</f>
        <v>153300.11</v>
      </c>
      <c r="J7" s="88">
        <f t="shared" si="0"/>
        <v>625926.83692</v>
      </c>
      <c r="K7" s="88">
        <f t="shared" si="1"/>
        <v>338382.01631999994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ht="12">
      <c r="A8" s="10" t="s">
        <v>10</v>
      </c>
      <c r="B8" s="53">
        <f>'Trop_Ozone_2000_NACErev1.1'!C16</f>
        <v>2723121.3984000003</v>
      </c>
      <c r="C8" s="53">
        <f>Trop_Ozone_2011_NACErev2!C15</f>
        <v>1808155.839</v>
      </c>
      <c r="D8" s="53">
        <f>'Trop_Ozone_2000_NACErev1.1'!C121</f>
        <v>13006.37464</v>
      </c>
      <c r="E8" s="88">
        <f>Trop_Ozone_2011_NACErev2!C127</f>
        <v>5485.30122</v>
      </c>
      <c r="F8" s="53">
        <f>'Trop_Ozone_2000_NACErev1.1'!C51</f>
        <v>844228.9746000001</v>
      </c>
      <c r="G8" s="88">
        <f>Trop_Ozone_2011_NACErev2!C53</f>
        <v>612260.4719</v>
      </c>
      <c r="H8" s="53">
        <f>'Trop_Ozone_2000_NACErev1.1'!B86</f>
        <v>3427367.75</v>
      </c>
      <c r="I8" s="88">
        <f>Trop_Ozone_2011_NACErev2!B90</f>
        <v>2394868.97</v>
      </c>
      <c r="J8" s="88">
        <f t="shared" si="0"/>
        <v>7007724.497640001</v>
      </c>
      <c r="K8" s="88">
        <f t="shared" si="1"/>
        <v>4820770.582119999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ht="12">
      <c r="A9" s="10" t="s">
        <v>11</v>
      </c>
      <c r="B9" s="53">
        <f>'Trop_Ozone_2000_NACErev1.1'!C18</f>
        <v>2668714.1686</v>
      </c>
      <c r="C9" s="53">
        <f>Trop_Ozone_2011_NACErev2!C16</f>
        <v>1987744.9385999998</v>
      </c>
      <c r="D9" s="53">
        <f>'Trop_Ozone_2000_NACErev1.1'!C123</f>
        <v>13580.536619999999</v>
      </c>
      <c r="E9" s="88">
        <f>Trop_Ozone_2011_NACErev2!C128</f>
        <v>15024.14312</v>
      </c>
      <c r="F9" s="53">
        <f>'Trop_Ozone_2000_NACErev1.1'!C53</f>
        <v>86616.0449</v>
      </c>
      <c r="G9" s="88">
        <f>Trop_Ozone_2011_NACErev2!C54</f>
        <v>68483.61300000001</v>
      </c>
      <c r="H9" s="53">
        <f>'Trop_Ozone_2000_NACErev1.1'!B88</f>
        <v>213633.54</v>
      </c>
      <c r="I9" s="88">
        <f>Trop_Ozone_2011_NACErev2!B91</f>
        <v>164990.19</v>
      </c>
      <c r="J9" s="88">
        <f t="shared" si="0"/>
        <v>2982544.29012</v>
      </c>
      <c r="K9" s="88">
        <f t="shared" si="1"/>
        <v>2236242.8847199995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ht="12">
      <c r="A10" s="10" t="s">
        <v>129</v>
      </c>
      <c r="B10" s="53">
        <f>'Trop_Ozone_2000_NACErev1.1'!C24+'Trop_Ozone_2000_NACErev1.1'!C25+'Trop_Ozone_2000_NACErev1.1'!C26</f>
        <v>4689596.2958</v>
      </c>
      <c r="C10" s="53">
        <f>Trop_Ozone_2011_NACErev2!C21+Trop_Ozone_2011_NACErev2!C22+Trop_Ozone_2011_NACErev2!C23</f>
        <v>4784770.765000001</v>
      </c>
      <c r="D10" s="53">
        <f>'Trop_Ozone_2000_NACErev1.1'!C130+'Trop_Ozone_2000_NACErev1.1'!C129+'Trop_Ozone_2000_NACErev1.1'!C131</f>
        <v>1424.4741</v>
      </c>
      <c r="E10" s="53">
        <f>Trop_Ozone_2011_NACErev2!C133+Trop_Ozone_2011_NACErev2!C134+Trop_Ozone_2011_NACErev2!C135</f>
        <v>1935.13124</v>
      </c>
      <c r="F10" s="53">
        <f>'Trop_Ozone_2000_NACErev1.1'!C59+'Trop_Ozone_2000_NACErev1.1'!C60+'Trop_Ozone_2000_NACErev1.1'!C61</f>
        <v>192703.7464</v>
      </c>
      <c r="G10" s="53">
        <f>Trop_Ozone_2011_NACErev2!C59+Trop_Ozone_2011_NACErev2!C60+Trop_Ozone_2011_NACErev2!C61</f>
        <v>166938.1263</v>
      </c>
      <c r="H10" s="53">
        <f>'Trop_Ozone_2000_NACErev1.1'!B94+'Trop_Ozone_2000_NACErev1.1'!B95+'Trop_Ozone_2000_NACErev1.1'!B96</f>
        <v>488325.26</v>
      </c>
      <c r="I10" s="53">
        <f>Trop_Ozone_2011_NACErev2!B96+Trop_Ozone_2011_NACErev2!B97+Trop_Ozone_2011_NACErev2!B98</f>
        <v>336447.47</v>
      </c>
      <c r="J10" s="88">
        <f t="shared" si="0"/>
        <v>5372049.7763</v>
      </c>
      <c r="K10" s="88">
        <f t="shared" si="1"/>
        <v>5290091.49254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ht="12">
      <c r="A11" s="10" t="s">
        <v>130</v>
      </c>
      <c r="B11" s="53">
        <f>SUM('Trop_Ozone_2000_NACErev1.1'!C19,'Trop_Ozone_2000_NACErev1.1'!C20,'Trop_Ozone_2000_NACErev1.1'!C21,'Trop_Ozone_2000_NACErev1.1'!C22,'Trop_Ozone_2000_NACErev1.1'!C27,'Trop_Ozone_2000_NACErev1.1'!C28,'Trop_Ozone_2000_NACErev1.1'!C29,'Trop_Ozone_2000_NACErev1.1'!C30,'Trop_Ozone_2000_NACErev1.1'!C31,'Trop_Ozone_2000_NACErev1.1'!C32,'Trop_Ozone_2000_NACErev1.1'!C33,'Trop_Ozone_2000_NACErev1.1'!C34,'Trop_Ozone_2000_NACErev1.1'!C35,'Trop_Ozone_2000_NACErev1.1'!C36)</f>
        <v>2500729.6968</v>
      </c>
      <c r="C11" s="53">
        <f>SUM(Trop_Ozone_2011_NACErev2!C17:C20,Trop_Ozone_2011_NACErev2!C26:C38)-SUM(Trop_Ozone_2011_NACErev2!C21:C23)</f>
        <v>1644429.1427999986</v>
      </c>
      <c r="D11" s="53">
        <f>SUM('Trop_Ozone_2000_NACErev1.1'!C124,'Trop_Ozone_2000_NACErev1.1'!C125,'Trop_Ozone_2000_NACErev1.1'!C126,'Trop_Ozone_2000_NACErev1.1'!C127,'Trop_Ozone_2000_NACErev1.1'!C132,'Trop_Ozone_2000_NACErev1.1'!C133,'Trop_Ozone_2000_NACErev1.1'!C134,'Trop_Ozone_2000_NACErev1.1'!C135,'Trop_Ozone_2000_NACErev1.1'!C136,'Trop_Ozone_2000_NACErev1.1'!C137,'Trop_Ozone_2000_NACErev1.1'!C138,'Trop_Ozone_2000_NACErev1.1'!C139,'Trop_Ozone_2000_NACErev1.1'!C140,'Trop_Ozone_2000_NACErev1.1'!C141)</f>
        <v>99985.15282</v>
      </c>
      <c r="E11" s="53">
        <f>SUM(Trop_Ozone_2011_NACErev2!C129:C132,Trop_Ozone_2011_NACErev2!C138:C150)-(Trop_Ozone_2011_NACErev2!C133+Trop_Ozone_2011_NACErev2!C134+Trop_Ozone_2011_NACErev2!C135)</f>
        <v>73745.83342</v>
      </c>
      <c r="F11" s="53">
        <f>SUM('Trop_Ozone_2000_NACErev1.1'!C54,'Trop_Ozone_2000_NACErev1.1'!C55,'Trop_Ozone_2000_NACErev1.1'!C56,'Trop_Ozone_2000_NACErev1.1'!C57,'Trop_Ozone_2000_NACErev1.1'!C62:C63,'Trop_Ozone_2000_NACErev1.1'!C64:C71)</f>
        <v>329797.8827000001</v>
      </c>
      <c r="G11" s="53">
        <f>SUM(Trop_Ozone_2011_NACErev2!C55:C58,Trop_Ozone_2011_NACErev2!C64:C76)-(Trop_Ozone_2011_NACErev2!C59+Trop_Ozone_2011_NACErev2!C60+Trop_Ozone_2011_NACErev2!C61)</f>
        <v>159460.1337999999</v>
      </c>
      <c r="H11" s="53">
        <f>SUM('Trop_Ozone_2000_NACErev1.1'!B89:B92,'Trop_Ozone_2000_NACErev1.1'!B97:B106)</f>
        <v>1595079.41</v>
      </c>
      <c r="I11" s="53">
        <f>SUM(Trop_Ozone_2011_NACErev2!C92,Trop_Ozone_2011_NACErev2!B93,Trop_Ozone_2011_NACErev2!B94,Trop_Ozone_2011_NACErev2!B95,Trop_Ozone_2011_NACErev2!B101:B113)-SUM(Trop_Ozone_2011_NACErev2!B96:B98)</f>
        <v>902567.3199999998</v>
      </c>
      <c r="J11" s="88">
        <f t="shared" si="0"/>
        <v>4525592.14232</v>
      </c>
      <c r="K11" s="88">
        <f t="shared" si="1"/>
        <v>2780202.4300199985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ht="12">
      <c r="A12" s="10" t="s">
        <v>131</v>
      </c>
      <c r="B12" s="53">
        <f aca="true" t="shared" si="2" ref="B12:I12">SUM(B6:B11)</f>
        <v>14296438.093600001</v>
      </c>
      <c r="C12" s="53">
        <f t="shared" si="2"/>
        <v>11642658.7746</v>
      </c>
      <c r="D12" s="53">
        <f t="shared" si="2"/>
        <v>305334.87418</v>
      </c>
      <c r="E12" s="53">
        <f t="shared" si="2"/>
        <v>242516.08709999995</v>
      </c>
      <c r="F12" s="53">
        <f t="shared" si="2"/>
        <v>1816396.0529000005</v>
      </c>
      <c r="G12" s="53">
        <f t="shared" si="2"/>
        <v>1185790.4982</v>
      </c>
      <c r="H12" s="53">
        <f t="shared" si="2"/>
        <v>8162316.82</v>
      </c>
      <c r="I12" s="53">
        <f t="shared" si="2"/>
        <v>4692937.51</v>
      </c>
      <c r="J12" s="88">
        <f t="shared" si="0"/>
        <v>24580485.840680003</v>
      </c>
      <c r="K12" s="88">
        <f t="shared" si="1"/>
        <v>17763902.869899996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ht="12">
      <c r="A13" s="10" t="s">
        <v>132</v>
      </c>
      <c r="B13" s="53">
        <f>'Trop_Ozone_2000_NACErev1.1'!C37</f>
        <v>3345718.8988</v>
      </c>
      <c r="C13" s="88">
        <f>Trop_Ozone_2011_NACErev2!C39</f>
        <v>2030791.931</v>
      </c>
      <c r="D13" s="88">
        <f>'Trop_Ozone_2000_NACErev1.1'!C142</f>
        <v>9785.56124</v>
      </c>
      <c r="E13" s="88">
        <f>Trop_Ozone_2011_NACErev2!C151</f>
        <v>13021.80712</v>
      </c>
      <c r="F13" s="88">
        <f>'Trop_Ozone_2000_NACErev1.1'!C72</f>
        <v>2534207.7772</v>
      </c>
      <c r="G13" s="88">
        <f>Trop_Ozone_2011_NACErev2!C77</f>
        <v>1400202.0505000001</v>
      </c>
      <c r="H13" s="88">
        <f>'Trop_Ozone_2000_NACErev1.1'!B107</f>
        <v>4435422.62</v>
      </c>
      <c r="I13" s="88">
        <f>Trop_Ozone_2011_NACErev2!B114</f>
        <v>2614890.33</v>
      </c>
      <c r="J13" s="88">
        <f t="shared" si="0"/>
        <v>10325134.857239999</v>
      </c>
      <c r="K13" s="88">
        <f t="shared" si="1"/>
        <v>6058906.118620001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ht="12">
      <c r="A14" s="63"/>
      <c r="B14" s="63"/>
      <c r="C14" s="63"/>
      <c r="D14" s="63"/>
      <c r="E14" s="63"/>
      <c r="F14" s="63"/>
      <c r="G14" s="63"/>
      <c r="H14" s="63"/>
      <c r="I14" s="63" t="s">
        <v>136</v>
      </c>
      <c r="J14" s="63"/>
      <c r="K14" s="63">
        <f>(K98+K99)*100/(J98+J99)-100</f>
        <v>-31.750793781706122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ht="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ht="12">
      <c r="A16" s="121" t="s">
        <v>310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ht="12">
      <c r="A17" s="10" t="s">
        <v>311</v>
      </c>
      <c r="B17" s="10" t="s">
        <v>36</v>
      </c>
      <c r="C17" s="10" t="s">
        <v>36</v>
      </c>
      <c r="D17" s="10" t="s">
        <v>68</v>
      </c>
      <c r="E17" s="10" t="s">
        <v>68</v>
      </c>
      <c r="F17" s="10" t="s">
        <v>84</v>
      </c>
      <c r="G17" s="10" t="s">
        <v>84</v>
      </c>
      <c r="H17" s="10" t="s">
        <v>85</v>
      </c>
      <c r="I17" s="10" t="s">
        <v>85</v>
      </c>
      <c r="J17" s="105" t="s">
        <v>50</v>
      </c>
      <c r="K17" s="105" t="s">
        <v>50</v>
      </c>
      <c r="L17" s="65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ht="12">
      <c r="A18" s="10" t="s">
        <v>6</v>
      </c>
      <c r="B18" s="10">
        <f aca="true" t="shared" si="3" ref="B18:K18">B4</f>
        <v>2000</v>
      </c>
      <c r="C18" s="10">
        <f t="shared" si="3"/>
        <v>2011</v>
      </c>
      <c r="D18" s="10">
        <f t="shared" si="3"/>
        <v>2000</v>
      </c>
      <c r="E18" s="10">
        <f t="shared" si="3"/>
        <v>2011</v>
      </c>
      <c r="F18" s="10">
        <f t="shared" si="3"/>
        <v>2000</v>
      </c>
      <c r="G18" s="10">
        <f t="shared" si="3"/>
        <v>2011</v>
      </c>
      <c r="H18" s="10">
        <f t="shared" si="3"/>
        <v>2000</v>
      </c>
      <c r="I18" s="10">
        <f t="shared" si="3"/>
        <v>2011</v>
      </c>
      <c r="J18" s="105">
        <f t="shared" si="3"/>
        <v>2000</v>
      </c>
      <c r="K18" s="105">
        <f t="shared" si="3"/>
        <v>2011</v>
      </c>
      <c r="L18" s="10" t="s">
        <v>108</v>
      </c>
      <c r="M18" s="10" t="s">
        <v>109</v>
      </c>
      <c r="N18" s="10" t="s">
        <v>275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ht="12">
      <c r="A19" s="10" t="s">
        <v>134</v>
      </c>
      <c r="B19" s="88">
        <f>B5/1000</f>
        <v>14296.4380692</v>
      </c>
      <c r="C19" s="88">
        <f aca="true" t="shared" si="4" ref="C19:K19">C5/1000</f>
        <v>11642.658786799999</v>
      </c>
      <c r="D19" s="88">
        <f t="shared" si="4"/>
        <v>305.33487418000004</v>
      </c>
      <c r="E19" s="88">
        <f t="shared" si="4"/>
        <v>242.51608709999996</v>
      </c>
      <c r="F19" s="88">
        <f t="shared" si="4"/>
        <v>1816.3960507</v>
      </c>
      <c r="G19" s="88">
        <f t="shared" si="4"/>
        <v>1185.7904971</v>
      </c>
      <c r="H19" s="88">
        <f t="shared" si="4"/>
        <v>8162.316769999999</v>
      </c>
      <c r="I19" s="88">
        <f t="shared" si="4"/>
        <v>4692.93751</v>
      </c>
      <c r="J19" s="88">
        <f t="shared" si="4"/>
        <v>24580.48576408</v>
      </c>
      <c r="K19" s="88">
        <f t="shared" si="4"/>
        <v>17763.902880999998</v>
      </c>
      <c r="L19" s="11">
        <f aca="true" t="shared" si="5" ref="L19:L27">K19/J19*100</f>
        <v>72.2683150019711</v>
      </c>
      <c r="M19" s="57">
        <f>K19-J19</f>
        <v>-6816.582883080002</v>
      </c>
      <c r="N19" s="126">
        <f>(K19-J19)/J19</f>
        <v>-0.27731684998028894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ht="12">
      <c r="A20" s="10" t="s">
        <v>30</v>
      </c>
      <c r="B20" s="88">
        <f aca="true" t="shared" si="6" ref="B20:K27">B6/1000</f>
        <v>1494.6672986</v>
      </c>
      <c r="C20" s="88">
        <f t="shared" si="6"/>
        <v>1255.9269626</v>
      </c>
      <c r="D20" s="88">
        <f t="shared" si="6"/>
        <v>141.67374228</v>
      </c>
      <c r="E20" s="88">
        <f t="shared" si="6"/>
        <v>128.55446128</v>
      </c>
      <c r="F20" s="88">
        <f t="shared" si="6"/>
        <v>353.8666065</v>
      </c>
      <c r="G20" s="88">
        <f t="shared" si="6"/>
        <v>172.96859030000002</v>
      </c>
      <c r="H20" s="88">
        <f t="shared" si="6"/>
        <v>2076.44065</v>
      </c>
      <c r="I20" s="88">
        <f t="shared" si="6"/>
        <v>740.7634499999999</v>
      </c>
      <c r="J20" s="88">
        <f t="shared" si="6"/>
        <v>4066.6482973800003</v>
      </c>
      <c r="K20" s="88">
        <f t="shared" si="6"/>
        <v>2298.2134641800003</v>
      </c>
      <c r="L20" s="11">
        <f t="shared" si="5"/>
        <v>56.51370111501058</v>
      </c>
      <c r="M20" s="57">
        <f aca="true" t="shared" si="7" ref="M20:M27">K20-J20</f>
        <v>-1768.4348332</v>
      </c>
      <c r="N20" s="126">
        <f aca="true" t="shared" si="8" ref="N20:N27">(K20-J20)/J20</f>
        <v>-0.4348629888498941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ht="12">
      <c r="A21" s="10" t="s">
        <v>31</v>
      </c>
      <c r="B21" s="88">
        <f t="shared" si="6"/>
        <v>219.60923540000002</v>
      </c>
      <c r="C21" s="88">
        <f t="shared" si="6"/>
        <v>161.6311266</v>
      </c>
      <c r="D21" s="88">
        <f t="shared" si="6"/>
        <v>35.66459372</v>
      </c>
      <c r="E21" s="88">
        <f t="shared" si="6"/>
        <v>17.77121682</v>
      </c>
      <c r="F21" s="88">
        <f t="shared" si="6"/>
        <v>9.1827978</v>
      </c>
      <c r="G21" s="88">
        <f t="shared" si="6"/>
        <v>5.6795629</v>
      </c>
      <c r="H21" s="88">
        <f t="shared" si="6"/>
        <v>361.47021</v>
      </c>
      <c r="I21" s="88">
        <f t="shared" si="6"/>
        <v>153.30011</v>
      </c>
      <c r="J21" s="88">
        <f t="shared" si="6"/>
        <v>625.92683692</v>
      </c>
      <c r="K21" s="88">
        <f t="shared" si="6"/>
        <v>338.38201631999993</v>
      </c>
      <c r="L21" s="11">
        <f t="shared" si="5"/>
        <v>54.060953510969</v>
      </c>
      <c r="M21" s="57">
        <f t="shared" si="7"/>
        <v>-287.5448206000001</v>
      </c>
      <c r="N21" s="126">
        <f t="shared" si="8"/>
        <v>-0.45939046489031005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ht="12">
      <c r="A22" s="10" t="s">
        <v>10</v>
      </c>
      <c r="B22" s="88">
        <f t="shared" si="6"/>
        <v>2723.1213984</v>
      </c>
      <c r="C22" s="88">
        <f t="shared" si="6"/>
        <v>1808.155839</v>
      </c>
      <c r="D22" s="88">
        <f t="shared" si="6"/>
        <v>13.00637464</v>
      </c>
      <c r="E22" s="88">
        <f t="shared" si="6"/>
        <v>5.48530122</v>
      </c>
      <c r="F22" s="88">
        <f t="shared" si="6"/>
        <v>844.2289746000001</v>
      </c>
      <c r="G22" s="88">
        <f t="shared" si="6"/>
        <v>612.2604719</v>
      </c>
      <c r="H22" s="88">
        <f t="shared" si="6"/>
        <v>3427.36775</v>
      </c>
      <c r="I22" s="88">
        <f t="shared" si="6"/>
        <v>2394.86897</v>
      </c>
      <c r="J22" s="88">
        <f t="shared" si="6"/>
        <v>7007.724497640001</v>
      </c>
      <c r="K22" s="88">
        <f t="shared" si="6"/>
        <v>4820.77058212</v>
      </c>
      <c r="L22" s="11">
        <f t="shared" si="5"/>
        <v>68.79223896064259</v>
      </c>
      <c r="M22" s="57">
        <f t="shared" si="7"/>
        <v>-2186.953915520001</v>
      </c>
      <c r="N22" s="126">
        <f t="shared" si="8"/>
        <v>-0.3120776103935741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ht="12">
      <c r="A23" s="10" t="s">
        <v>11</v>
      </c>
      <c r="B23" s="88">
        <f t="shared" si="6"/>
        <v>2668.7141686</v>
      </c>
      <c r="C23" s="88">
        <f t="shared" si="6"/>
        <v>1987.7449385999998</v>
      </c>
      <c r="D23" s="88">
        <f t="shared" si="6"/>
        <v>13.580536619999998</v>
      </c>
      <c r="E23" s="88">
        <f t="shared" si="6"/>
        <v>15.024143120000002</v>
      </c>
      <c r="F23" s="88">
        <f t="shared" si="6"/>
        <v>86.61604489999999</v>
      </c>
      <c r="G23" s="88">
        <f t="shared" si="6"/>
        <v>68.483613</v>
      </c>
      <c r="H23" s="88">
        <f t="shared" si="6"/>
        <v>213.63354</v>
      </c>
      <c r="I23" s="88">
        <f t="shared" si="6"/>
        <v>164.99019</v>
      </c>
      <c r="J23" s="88">
        <f t="shared" si="6"/>
        <v>2982.54429012</v>
      </c>
      <c r="K23" s="88">
        <f t="shared" si="6"/>
        <v>2236.2428847199994</v>
      </c>
      <c r="L23" s="11">
        <f t="shared" si="5"/>
        <v>74.97769243956563</v>
      </c>
      <c r="M23" s="57">
        <f t="shared" si="7"/>
        <v>-746.3014054000005</v>
      </c>
      <c r="N23" s="126">
        <f t="shared" si="8"/>
        <v>-0.25022307560434376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ht="12">
      <c r="A24" s="10" t="s">
        <v>129</v>
      </c>
      <c r="B24" s="88">
        <f t="shared" si="6"/>
        <v>4689.5962958</v>
      </c>
      <c r="C24" s="88">
        <f t="shared" si="6"/>
        <v>4784.770765</v>
      </c>
      <c r="D24" s="88">
        <f t="shared" si="6"/>
        <v>1.4244740999999999</v>
      </c>
      <c r="E24" s="88">
        <f t="shared" si="6"/>
        <v>1.93513124</v>
      </c>
      <c r="F24" s="88">
        <f t="shared" si="6"/>
        <v>192.7037464</v>
      </c>
      <c r="G24" s="88">
        <f t="shared" si="6"/>
        <v>166.9381263</v>
      </c>
      <c r="H24" s="88">
        <f t="shared" si="6"/>
        <v>488.32526</v>
      </c>
      <c r="I24" s="88">
        <f t="shared" si="6"/>
        <v>336.44746999999995</v>
      </c>
      <c r="J24" s="88">
        <f t="shared" si="6"/>
        <v>5372.0497763</v>
      </c>
      <c r="K24" s="88">
        <f t="shared" si="6"/>
        <v>5290.09149254</v>
      </c>
      <c r="L24" s="11">
        <f t="shared" si="5"/>
        <v>98.47435732778246</v>
      </c>
      <c r="M24" s="57">
        <f t="shared" si="7"/>
        <v>-81.95828376000009</v>
      </c>
      <c r="N24" s="126">
        <f t="shared" si="8"/>
        <v>-0.01525642672217547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ht="12">
      <c r="A25" s="10" t="s">
        <v>130</v>
      </c>
      <c r="B25" s="88">
        <f t="shared" si="6"/>
        <v>2500.7296968</v>
      </c>
      <c r="C25" s="88">
        <f t="shared" si="6"/>
        <v>1644.4291427999985</v>
      </c>
      <c r="D25" s="88">
        <f t="shared" si="6"/>
        <v>99.98515282</v>
      </c>
      <c r="E25" s="88">
        <f t="shared" si="6"/>
        <v>73.74583342</v>
      </c>
      <c r="F25" s="88">
        <f t="shared" si="6"/>
        <v>329.79788270000006</v>
      </c>
      <c r="G25" s="88">
        <f t="shared" si="6"/>
        <v>159.46013379999988</v>
      </c>
      <c r="H25" s="88">
        <f t="shared" si="6"/>
        <v>1595.0794099999998</v>
      </c>
      <c r="I25" s="88">
        <f t="shared" si="6"/>
        <v>902.5673199999999</v>
      </c>
      <c r="J25" s="88">
        <f t="shared" si="6"/>
        <v>4525.59214232</v>
      </c>
      <c r="K25" s="88">
        <f t="shared" si="6"/>
        <v>2780.2024300199982</v>
      </c>
      <c r="L25" s="11">
        <f t="shared" si="5"/>
        <v>61.43289855976184</v>
      </c>
      <c r="M25" s="57">
        <f t="shared" si="7"/>
        <v>-1745.3897123000015</v>
      </c>
      <c r="N25" s="126">
        <f t="shared" si="8"/>
        <v>-0.38567101440238155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ht="12">
      <c r="A26" s="10" t="s">
        <v>131</v>
      </c>
      <c r="B26" s="88">
        <f t="shared" si="6"/>
        <v>14296.438093600002</v>
      </c>
      <c r="C26" s="88">
        <f t="shared" si="6"/>
        <v>11642.658774599999</v>
      </c>
      <c r="D26" s="88">
        <f t="shared" si="6"/>
        <v>305.33487418</v>
      </c>
      <c r="E26" s="88">
        <f t="shared" si="6"/>
        <v>242.51608709999994</v>
      </c>
      <c r="F26" s="88">
        <f t="shared" si="6"/>
        <v>1816.3960529000005</v>
      </c>
      <c r="G26" s="88">
        <f t="shared" si="6"/>
        <v>1185.7904982</v>
      </c>
      <c r="H26" s="88">
        <f t="shared" si="6"/>
        <v>8162.31682</v>
      </c>
      <c r="I26" s="88">
        <f t="shared" si="6"/>
        <v>4692.93751</v>
      </c>
      <c r="J26" s="88">
        <f t="shared" si="6"/>
        <v>24580.485840680005</v>
      </c>
      <c r="K26" s="88">
        <f t="shared" si="6"/>
        <v>17763.902869899997</v>
      </c>
      <c r="L26" s="11">
        <f t="shared" si="5"/>
        <v>72.26831473160405</v>
      </c>
      <c r="M26" s="57">
        <f t="shared" si="7"/>
        <v>-6816.582970780008</v>
      </c>
      <c r="N26" s="126">
        <f t="shared" si="8"/>
        <v>-0.27731685268395945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ht="12">
      <c r="A27" s="10" t="s">
        <v>132</v>
      </c>
      <c r="B27" s="88">
        <f t="shared" si="6"/>
        <v>3345.7188988000003</v>
      </c>
      <c r="C27" s="88">
        <f t="shared" si="6"/>
        <v>2030.7919310000002</v>
      </c>
      <c r="D27" s="88">
        <f t="shared" si="6"/>
        <v>9.785561240000002</v>
      </c>
      <c r="E27" s="88">
        <f t="shared" si="6"/>
        <v>13.02180712</v>
      </c>
      <c r="F27" s="88">
        <f t="shared" si="6"/>
        <v>2534.2077772</v>
      </c>
      <c r="G27" s="88">
        <f t="shared" si="6"/>
        <v>1400.2020505</v>
      </c>
      <c r="H27" s="88">
        <f t="shared" si="6"/>
        <v>4435.42262</v>
      </c>
      <c r="I27" s="88">
        <f t="shared" si="6"/>
        <v>2614.89033</v>
      </c>
      <c r="J27" s="88">
        <f t="shared" si="6"/>
        <v>10325.134857239998</v>
      </c>
      <c r="K27" s="88">
        <f t="shared" si="6"/>
        <v>6058.906118620001</v>
      </c>
      <c r="L27" s="11">
        <f t="shared" si="5"/>
        <v>58.681133005943146</v>
      </c>
      <c r="M27" s="57">
        <f t="shared" si="7"/>
        <v>-4266.228738619998</v>
      </c>
      <c r="N27" s="126">
        <f t="shared" si="8"/>
        <v>-0.41318866994056863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ht="12">
      <c r="A28" s="18" t="s">
        <v>274</v>
      </c>
      <c r="B28" s="11">
        <f>B26+B27</f>
        <v>17642.156992400003</v>
      </c>
      <c r="C28" s="11">
        <f aca="true" t="shared" si="9" ref="C28:K28">C26+C27</f>
        <v>13673.450705599998</v>
      </c>
      <c r="D28" s="11">
        <f t="shared" si="9"/>
        <v>315.12043542</v>
      </c>
      <c r="E28" s="11">
        <f t="shared" si="9"/>
        <v>255.53789421999994</v>
      </c>
      <c r="F28" s="11">
        <f t="shared" si="9"/>
        <v>4350.603830100001</v>
      </c>
      <c r="G28" s="11">
        <f t="shared" si="9"/>
        <v>2585.9925487</v>
      </c>
      <c r="H28" s="11">
        <f t="shared" si="9"/>
        <v>12597.739440000001</v>
      </c>
      <c r="I28" s="11">
        <f t="shared" si="9"/>
        <v>7307.82784</v>
      </c>
      <c r="J28" s="11">
        <f t="shared" si="9"/>
        <v>34905.62069792001</v>
      </c>
      <c r="K28" s="11">
        <f t="shared" si="9"/>
        <v>23822.80898852</v>
      </c>
      <c r="L28" s="65"/>
      <c r="M28" s="57">
        <f>K28-J28</f>
        <v>-11082.811709400008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ht="12" hidden="1">
      <c r="A29" s="8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86"/>
      <c r="M29" s="86"/>
      <c r="N29" s="86"/>
      <c r="O29" s="86"/>
      <c r="P29" s="86"/>
      <c r="Q29" s="86"/>
      <c r="R29" s="86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ht="12" hidden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ht="12" hidden="1">
      <c r="A31" s="20" t="s">
        <v>65</v>
      </c>
      <c r="C31" s="2"/>
      <c r="D31" s="2"/>
      <c r="E31" s="2"/>
      <c r="F31" s="3" t="s">
        <v>42</v>
      </c>
      <c r="G31" s="2"/>
      <c r="H31" s="2"/>
      <c r="I31" s="3" t="s">
        <v>46</v>
      </c>
      <c r="J31" s="2"/>
      <c r="K31" s="62" t="s">
        <v>47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ht="12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ht="12" hidden="1">
      <c r="A33" s="63" t="s">
        <v>0</v>
      </c>
      <c r="B33" s="21">
        <v>41409.41678240741</v>
      </c>
      <c r="C33" s="64"/>
      <c r="D33" s="18" t="s">
        <v>43</v>
      </c>
      <c r="E33" s="18"/>
      <c r="F33" s="18" t="s">
        <v>44</v>
      </c>
      <c r="G33" s="18">
        <v>0.014</v>
      </c>
      <c r="H33" s="18"/>
      <c r="I33" s="18" t="s">
        <v>45</v>
      </c>
      <c r="J33" s="2"/>
      <c r="K33" s="63"/>
      <c r="L33" s="63"/>
      <c r="M33" s="63"/>
      <c r="N33" s="63"/>
      <c r="O33" s="63"/>
      <c r="P33" s="63"/>
      <c r="Q33" s="63"/>
      <c r="R33" s="20" t="s">
        <v>114</v>
      </c>
      <c r="T33" s="63"/>
      <c r="U33" s="63"/>
      <c r="V33" s="63"/>
      <c r="W33" s="63"/>
      <c r="X33" s="63"/>
      <c r="Y33" s="63"/>
      <c r="Z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ht="12" hidden="1">
      <c r="A34" s="63" t="s">
        <v>1</v>
      </c>
      <c r="B34" s="21">
        <v>41717.90109787037</v>
      </c>
      <c r="C34" s="64"/>
      <c r="D34" s="18" t="s">
        <v>37</v>
      </c>
      <c r="E34" s="18"/>
      <c r="F34" s="18" t="s">
        <v>44</v>
      </c>
      <c r="G34" s="18">
        <v>0.11</v>
      </c>
      <c r="H34" s="18"/>
      <c r="I34" s="18" t="s">
        <v>45</v>
      </c>
      <c r="J34" s="2"/>
      <c r="K34" s="63"/>
      <c r="L34" s="63"/>
      <c r="M34" s="63"/>
      <c r="N34" s="63"/>
      <c r="O34" s="63"/>
      <c r="P34" s="63"/>
      <c r="Q34" s="63"/>
      <c r="T34" s="63"/>
      <c r="U34" s="63"/>
      <c r="V34" s="63"/>
      <c r="W34" s="63"/>
      <c r="X34" s="63"/>
      <c r="Y34" s="63"/>
      <c r="Z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ht="12" hidden="1">
      <c r="A35" s="63" t="s">
        <v>48</v>
      </c>
      <c r="B35" s="63" t="s">
        <v>2</v>
      </c>
      <c r="C35" s="64"/>
      <c r="D35" s="18" t="s">
        <v>38</v>
      </c>
      <c r="E35" s="18"/>
      <c r="F35" s="18" t="s">
        <v>44</v>
      </c>
      <c r="G35" s="18">
        <v>1</v>
      </c>
      <c r="H35" s="18"/>
      <c r="I35" s="18" t="s">
        <v>45</v>
      </c>
      <c r="J35" s="2"/>
      <c r="K35" s="63"/>
      <c r="L35" s="63"/>
      <c r="M35" s="63"/>
      <c r="N35" s="63"/>
      <c r="O35" s="63"/>
      <c r="P35" s="63"/>
      <c r="Q35" s="63"/>
      <c r="R35" s="20" t="s">
        <v>111</v>
      </c>
      <c r="S35" s="21">
        <v>41710.49328703704</v>
      </c>
      <c r="T35" s="63"/>
      <c r="U35" s="63"/>
      <c r="V35" s="63"/>
      <c r="W35" s="63"/>
      <c r="X35" s="63"/>
      <c r="Y35" s="63"/>
      <c r="Z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ht="12" hidden="1">
      <c r="A36" s="63"/>
      <c r="B36" s="63"/>
      <c r="C36" s="64"/>
      <c r="D36" s="18" t="s">
        <v>36</v>
      </c>
      <c r="E36" s="18"/>
      <c r="F36" s="18" t="s">
        <v>44</v>
      </c>
      <c r="G36" s="18">
        <v>1.22</v>
      </c>
      <c r="H36" s="18"/>
      <c r="I36" s="18" t="s">
        <v>45</v>
      </c>
      <c r="J36" s="65"/>
      <c r="R36" s="20" t="s">
        <v>112</v>
      </c>
      <c r="S36" s="21">
        <v>41717.90491706019</v>
      </c>
      <c r="T36" s="63"/>
      <c r="U36" s="63"/>
      <c r="V36" s="63"/>
      <c r="W36" s="63"/>
      <c r="X36" s="63"/>
      <c r="Y36" s="63"/>
      <c r="Z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ht="12.75" hidden="1" thickBot="1">
      <c r="A37" s="63" t="s">
        <v>3</v>
      </c>
      <c r="B37" s="63" t="s">
        <v>4</v>
      </c>
      <c r="C37" s="63"/>
      <c r="D37" s="66"/>
      <c r="E37" s="66"/>
      <c r="F37" s="66"/>
      <c r="G37" s="67"/>
      <c r="H37" s="67"/>
      <c r="I37" s="67"/>
      <c r="J37" s="68"/>
      <c r="R37" s="20" t="s">
        <v>113</v>
      </c>
      <c r="S37" s="20" t="s">
        <v>2</v>
      </c>
      <c r="T37" s="63"/>
      <c r="U37" s="63"/>
      <c r="V37" s="63"/>
      <c r="W37" s="63"/>
      <c r="X37" s="63"/>
      <c r="Y37" s="63"/>
      <c r="Z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ht="12" hidden="1">
      <c r="A38" s="2"/>
      <c r="C38" s="15" t="s">
        <v>87</v>
      </c>
      <c r="D38" s="15" t="s">
        <v>43</v>
      </c>
      <c r="E38" s="15" t="s">
        <v>37</v>
      </c>
      <c r="F38" s="15" t="s">
        <v>38</v>
      </c>
      <c r="G38" s="69"/>
      <c r="H38" s="70"/>
      <c r="I38" s="71" t="s">
        <v>99</v>
      </c>
      <c r="J38" s="72"/>
      <c r="K38" s="72"/>
      <c r="L38" s="72"/>
      <c r="M38" s="72"/>
      <c r="N38" s="73"/>
      <c r="T38" s="63"/>
      <c r="U38" s="63"/>
      <c r="V38" s="63"/>
      <c r="W38" s="63"/>
      <c r="X38" s="63"/>
      <c r="Y38" s="63"/>
      <c r="Z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ht="12" hidden="1">
      <c r="A39" s="15" t="s">
        <v>5</v>
      </c>
      <c r="B39" s="15" t="s">
        <v>34</v>
      </c>
      <c r="C39" s="15" t="s">
        <v>67</v>
      </c>
      <c r="D39" s="15" t="s">
        <v>68</v>
      </c>
      <c r="E39" s="15" t="s">
        <v>84</v>
      </c>
      <c r="F39" s="15" t="s">
        <v>85</v>
      </c>
      <c r="G39" s="69"/>
      <c r="H39" s="74"/>
      <c r="I39" s="75" t="s">
        <v>5</v>
      </c>
      <c r="J39" s="15" t="s">
        <v>34</v>
      </c>
      <c r="K39" s="15" t="s">
        <v>36</v>
      </c>
      <c r="L39" s="15" t="s">
        <v>43</v>
      </c>
      <c r="M39" s="15" t="s">
        <v>37</v>
      </c>
      <c r="N39" s="76" t="s">
        <v>38</v>
      </c>
      <c r="R39" s="20" t="s">
        <v>3</v>
      </c>
      <c r="S39" s="20" t="s">
        <v>115</v>
      </c>
      <c r="T39" s="63"/>
      <c r="U39" s="63"/>
      <c r="V39" s="63"/>
      <c r="W39" s="63"/>
      <c r="X39" s="63"/>
      <c r="Y39" s="63"/>
      <c r="Z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ht="12" hidden="1">
      <c r="A40" s="15" t="s">
        <v>69</v>
      </c>
      <c r="B40" s="15" t="s">
        <v>39</v>
      </c>
      <c r="C40" s="15" t="s">
        <v>70</v>
      </c>
      <c r="D40" s="15" t="s">
        <v>70</v>
      </c>
      <c r="E40" s="15" t="s">
        <v>70</v>
      </c>
      <c r="F40" s="15" t="s">
        <v>70</v>
      </c>
      <c r="G40" s="77"/>
      <c r="H40" s="78"/>
      <c r="I40" s="75" t="s">
        <v>6</v>
      </c>
      <c r="J40" s="15" t="s">
        <v>39</v>
      </c>
      <c r="K40" s="15">
        <v>2011</v>
      </c>
      <c r="L40" s="15">
        <v>2011</v>
      </c>
      <c r="M40" s="15">
        <v>2011</v>
      </c>
      <c r="N40" s="76">
        <v>2011</v>
      </c>
      <c r="S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ht="12" hidden="1">
      <c r="A41" s="15" t="s">
        <v>71</v>
      </c>
      <c r="B41" s="15" t="s">
        <v>64</v>
      </c>
      <c r="C41" s="23">
        <v>11718391.86</v>
      </c>
      <c r="D41" s="23">
        <v>21809633.87</v>
      </c>
      <c r="E41" s="23">
        <v>16512691.37</v>
      </c>
      <c r="F41" s="23">
        <v>8162316.77</v>
      </c>
      <c r="G41" s="77"/>
      <c r="H41" s="78"/>
      <c r="I41" s="75" t="s">
        <v>7</v>
      </c>
      <c r="J41" s="15" t="s">
        <v>29</v>
      </c>
      <c r="K41" s="23">
        <v>9543162.94</v>
      </c>
      <c r="L41" s="23">
        <v>17322577.65</v>
      </c>
      <c r="M41" s="23">
        <v>10779913.61</v>
      </c>
      <c r="N41" s="23">
        <v>4692937.51</v>
      </c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ht="12" hidden="1">
      <c r="A42" s="15" t="s">
        <v>72</v>
      </c>
      <c r="B42" s="15" t="s">
        <v>64</v>
      </c>
      <c r="C42" s="23">
        <v>1125900.12</v>
      </c>
      <c r="D42" s="23">
        <v>10119049.17</v>
      </c>
      <c r="E42" s="23">
        <v>3176986.23</v>
      </c>
      <c r="F42" s="23">
        <v>2067943.34</v>
      </c>
      <c r="G42" s="77"/>
      <c r="H42" s="78"/>
      <c r="I42" s="75" t="s">
        <v>8</v>
      </c>
      <c r="J42" s="15" t="s">
        <v>29</v>
      </c>
      <c r="K42" s="23">
        <v>1029448.33</v>
      </c>
      <c r="L42" s="23">
        <v>9182461.52</v>
      </c>
      <c r="M42" s="23">
        <v>1572441.73</v>
      </c>
      <c r="N42" s="23">
        <v>740763.45</v>
      </c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ht="12" hidden="1">
      <c r="A43" s="15" t="s">
        <v>73</v>
      </c>
      <c r="B43" s="15" t="s">
        <v>64</v>
      </c>
      <c r="C43" s="23">
        <v>99237.01</v>
      </c>
      <c r="D43" s="23">
        <v>503.85</v>
      </c>
      <c r="E43" s="23">
        <v>39982.92</v>
      </c>
      <c r="F43" s="23">
        <v>8497.31</v>
      </c>
      <c r="G43" s="77"/>
      <c r="H43" s="78"/>
      <c r="I43" s="75" t="s">
        <v>9</v>
      </c>
      <c r="J43" s="15" t="s">
        <v>29</v>
      </c>
      <c r="K43" s="23">
        <v>132484.53</v>
      </c>
      <c r="L43" s="23">
        <v>1269372.63</v>
      </c>
      <c r="M43" s="23">
        <v>51632.39</v>
      </c>
      <c r="N43" s="23">
        <v>153300.11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ht="12" hidden="1">
      <c r="A44" s="15" t="s">
        <v>9</v>
      </c>
      <c r="B44" s="15" t="s">
        <v>64</v>
      </c>
      <c r="C44" s="23">
        <v>180007.57</v>
      </c>
      <c r="D44" s="23">
        <v>2547470.98</v>
      </c>
      <c r="E44" s="23">
        <v>83479.98</v>
      </c>
      <c r="F44" s="23">
        <v>361470.21</v>
      </c>
      <c r="G44" s="77"/>
      <c r="H44" s="78"/>
      <c r="I44" s="75" t="s">
        <v>10</v>
      </c>
      <c r="J44" s="15" t="s">
        <v>29</v>
      </c>
      <c r="K44" s="23">
        <v>1482094.95</v>
      </c>
      <c r="L44" s="23">
        <v>391807.23</v>
      </c>
      <c r="M44" s="23">
        <v>5566004.29</v>
      </c>
      <c r="N44" s="23">
        <v>2394868.97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ht="12" hidden="1">
      <c r="A45" s="15" t="s">
        <v>10</v>
      </c>
      <c r="B45" s="15" t="s">
        <v>64</v>
      </c>
      <c r="C45" s="23">
        <v>2232066.72</v>
      </c>
      <c r="D45" s="23">
        <v>929026.76</v>
      </c>
      <c r="E45" s="23">
        <v>7674808.86</v>
      </c>
      <c r="F45" s="23">
        <v>3427367.75</v>
      </c>
      <c r="G45" s="77"/>
      <c r="H45" s="78"/>
      <c r="I45" s="75" t="s">
        <v>11</v>
      </c>
      <c r="J45" s="15" t="s">
        <v>29</v>
      </c>
      <c r="K45" s="23">
        <v>1629299.13</v>
      </c>
      <c r="L45" s="23">
        <v>1073153.08</v>
      </c>
      <c r="M45" s="23">
        <v>622578.3</v>
      </c>
      <c r="N45" s="23">
        <v>164990.19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ht="12" hidden="1">
      <c r="A46" s="15" t="s">
        <v>74</v>
      </c>
      <c r="B46" s="15" t="s">
        <v>64</v>
      </c>
      <c r="C46" s="23">
        <v>2196592.84</v>
      </c>
      <c r="D46" s="23">
        <v>1022978.41</v>
      </c>
      <c r="E46" s="23">
        <v>804844.48</v>
      </c>
      <c r="F46" s="23">
        <v>219425.58</v>
      </c>
      <c r="G46" s="77"/>
      <c r="H46" s="78"/>
      <c r="I46" s="75" t="s">
        <v>12</v>
      </c>
      <c r="J46" s="15" t="s">
        <v>29</v>
      </c>
      <c r="K46" s="23">
        <v>123143.1</v>
      </c>
      <c r="L46" s="23">
        <v>4915089.78</v>
      </c>
      <c r="M46" s="23">
        <v>66106.92</v>
      </c>
      <c r="N46" s="23" t="s">
        <v>33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ht="12" hidden="1">
      <c r="A47" s="42" t="s">
        <v>118</v>
      </c>
      <c r="B47" s="10" t="s">
        <v>64</v>
      </c>
      <c r="C47" s="23">
        <v>2187470.63</v>
      </c>
      <c r="D47" s="23">
        <v>970038.33</v>
      </c>
      <c r="E47" s="23">
        <v>787418.59</v>
      </c>
      <c r="F47" s="23">
        <v>213633.54</v>
      </c>
      <c r="G47" s="77"/>
      <c r="H47" s="78"/>
      <c r="I47" s="75" t="s">
        <v>13</v>
      </c>
      <c r="J47" s="15" t="s">
        <v>29</v>
      </c>
      <c r="K47" s="23">
        <v>278949.39</v>
      </c>
      <c r="L47" s="23">
        <v>4434.72</v>
      </c>
      <c r="M47" s="23">
        <v>423801.76</v>
      </c>
      <c r="N47" s="23">
        <v>312364.01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  <row r="48" spans="1:38" ht="12" hidden="1">
      <c r="A48" s="42" t="s">
        <v>119</v>
      </c>
      <c r="B48" s="10" t="s">
        <v>64</v>
      </c>
      <c r="C48" s="23">
        <v>9122.21</v>
      </c>
      <c r="D48" s="23">
        <v>52940.08</v>
      </c>
      <c r="E48" s="23">
        <v>17425.9</v>
      </c>
      <c r="F48" s="23">
        <v>5792.04</v>
      </c>
      <c r="G48" s="77"/>
      <c r="H48" s="78"/>
      <c r="I48" s="75" t="s">
        <v>14</v>
      </c>
      <c r="J48" s="15" t="s">
        <v>29</v>
      </c>
      <c r="K48" s="23">
        <v>321679.04</v>
      </c>
      <c r="L48" s="23">
        <v>202345.98</v>
      </c>
      <c r="M48" s="23">
        <v>256418.07</v>
      </c>
      <c r="N48" s="23">
        <v>236842.65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</row>
    <row r="49" spans="1:38" ht="12" hidden="1">
      <c r="A49" s="10" t="s">
        <v>13</v>
      </c>
      <c r="B49" s="10" t="s">
        <v>64</v>
      </c>
      <c r="C49" s="23">
        <v>485402.15</v>
      </c>
      <c r="D49" s="23">
        <v>8039.64</v>
      </c>
      <c r="E49" s="23">
        <v>514862.7</v>
      </c>
      <c r="F49" s="23">
        <v>598231.97</v>
      </c>
      <c r="G49" s="77"/>
      <c r="H49" s="78"/>
      <c r="I49" s="75" t="s">
        <v>15</v>
      </c>
      <c r="J49" s="15" t="s">
        <v>29</v>
      </c>
      <c r="K49" s="23">
        <v>4028752.08</v>
      </c>
      <c r="L49" s="23">
        <v>157271.9</v>
      </c>
      <c r="M49" s="23">
        <v>1566142.6</v>
      </c>
      <c r="N49" s="23">
        <v>376694.2</v>
      </c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</row>
    <row r="50" spans="1:38" ht="12" hidden="1">
      <c r="A50" s="15" t="s">
        <v>75</v>
      </c>
      <c r="B50" s="15" t="s">
        <v>64</v>
      </c>
      <c r="C50" s="23">
        <v>501220.8</v>
      </c>
      <c r="D50" s="23">
        <v>69316.1</v>
      </c>
      <c r="E50" s="23">
        <v>847999.99</v>
      </c>
      <c r="F50" s="23">
        <v>425443.88</v>
      </c>
      <c r="G50" s="77"/>
      <c r="H50" s="78"/>
      <c r="I50" s="42" t="s">
        <v>125</v>
      </c>
      <c r="K50" s="23">
        <v>1279896.69</v>
      </c>
      <c r="L50" s="23">
        <v>131462.15</v>
      </c>
      <c r="M50" s="23">
        <v>976213.67</v>
      </c>
      <c r="N50" s="23">
        <v>196291.11</v>
      </c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</row>
    <row r="51" spans="1:38" ht="12" hidden="1">
      <c r="A51" s="15" t="s">
        <v>76</v>
      </c>
      <c r="B51" s="15" t="s">
        <v>64</v>
      </c>
      <c r="C51" s="23">
        <v>43503.6</v>
      </c>
      <c r="D51" s="23">
        <v>3855.74</v>
      </c>
      <c r="E51" s="23">
        <v>68247.38</v>
      </c>
      <c r="F51" s="23">
        <v>14358.48</v>
      </c>
      <c r="G51" s="77"/>
      <c r="H51" s="78"/>
      <c r="I51" s="42" t="s">
        <v>121</v>
      </c>
      <c r="K51" s="23">
        <v>2304407.77</v>
      </c>
      <c r="L51" s="23">
        <v>4966.25</v>
      </c>
      <c r="M51" s="23">
        <v>387367.08</v>
      </c>
      <c r="N51" s="23">
        <v>115988.51</v>
      </c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</row>
    <row r="52" spans="1:38" ht="12" hidden="1">
      <c r="A52" s="15" t="s">
        <v>77</v>
      </c>
      <c r="B52" s="15" t="s">
        <v>64</v>
      </c>
      <c r="C52" s="23">
        <v>4146578.83</v>
      </c>
      <c r="D52" s="23">
        <v>117014.08</v>
      </c>
      <c r="E52" s="23">
        <v>1956587.45</v>
      </c>
      <c r="F52" s="23">
        <v>590129.19</v>
      </c>
      <c r="G52" s="77"/>
      <c r="H52" s="78"/>
      <c r="I52" s="42" t="s">
        <v>122</v>
      </c>
      <c r="K52" s="23">
        <v>337638.79</v>
      </c>
      <c r="L52" s="23">
        <v>1795.26</v>
      </c>
      <c r="M52" s="23">
        <v>154038.58</v>
      </c>
      <c r="N52" s="23">
        <v>24167.85</v>
      </c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</row>
    <row r="53" spans="1:38" ht="12" hidden="1">
      <c r="A53" s="42" t="s">
        <v>120</v>
      </c>
      <c r="B53" s="10" t="s">
        <v>64</v>
      </c>
      <c r="C53" s="23">
        <v>1712571.55</v>
      </c>
      <c r="D53" s="23">
        <v>96103.62</v>
      </c>
      <c r="E53" s="23">
        <v>1227744.73</v>
      </c>
      <c r="F53" s="23">
        <v>342999.95</v>
      </c>
      <c r="G53" s="77"/>
      <c r="H53" s="78"/>
      <c r="I53" s="42" t="s">
        <v>126</v>
      </c>
      <c r="K53" s="23">
        <v>84395.84</v>
      </c>
      <c r="L53" s="23">
        <v>18242.47</v>
      </c>
      <c r="M53" s="23">
        <v>37150.59</v>
      </c>
      <c r="N53" s="23">
        <v>35031.73</v>
      </c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ht="12" hidden="1">
      <c r="A54" s="42" t="s">
        <v>121</v>
      </c>
      <c r="B54" s="10" t="s">
        <v>64</v>
      </c>
      <c r="C54" s="23">
        <v>1755511.04</v>
      </c>
      <c r="D54" s="23">
        <v>3490.43</v>
      </c>
      <c r="E54" s="23">
        <v>273319.25</v>
      </c>
      <c r="F54" s="23">
        <v>94626.79</v>
      </c>
      <c r="G54" s="77"/>
      <c r="H54" s="78"/>
      <c r="I54" s="42" t="s">
        <v>127</v>
      </c>
      <c r="K54" s="23">
        <v>22503.89</v>
      </c>
      <c r="L54" s="23">
        <v>807.41</v>
      </c>
      <c r="M54" s="23">
        <v>11573.58</v>
      </c>
      <c r="N54" s="23">
        <v>5221.19</v>
      </c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spans="1:38" ht="12" hidden="1">
      <c r="A55" s="42" t="s">
        <v>122</v>
      </c>
      <c r="B55" s="10" t="s">
        <v>64</v>
      </c>
      <c r="C55" s="23">
        <v>375848.8</v>
      </c>
      <c r="D55" s="23">
        <v>2154.1</v>
      </c>
      <c r="E55" s="23">
        <v>250788.26</v>
      </c>
      <c r="F55" s="23">
        <v>50698.52</v>
      </c>
      <c r="G55" s="77"/>
      <c r="H55" s="78"/>
      <c r="I55" s="75" t="s">
        <v>16</v>
      </c>
      <c r="J55" s="15" t="s">
        <v>29</v>
      </c>
      <c r="K55" s="23">
        <v>35448.68</v>
      </c>
      <c r="L55" s="23">
        <v>11540.42</v>
      </c>
      <c r="M55" s="23">
        <v>37520.47</v>
      </c>
      <c r="N55" s="23">
        <v>16713.36</v>
      </c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</row>
    <row r="56" spans="1:38" ht="12" hidden="1">
      <c r="A56" s="42" t="s">
        <v>123</v>
      </c>
      <c r="B56" s="10" t="s">
        <v>64</v>
      </c>
      <c r="C56" s="23">
        <v>193074.18</v>
      </c>
      <c r="D56" s="23">
        <v>14200.17</v>
      </c>
      <c r="E56" s="23">
        <v>103836.54</v>
      </c>
      <c r="F56" s="23">
        <v>81802.54</v>
      </c>
      <c r="G56" s="77"/>
      <c r="H56" s="78"/>
      <c r="I56" s="75" t="s">
        <v>17</v>
      </c>
      <c r="J56" s="15" t="s">
        <v>29</v>
      </c>
      <c r="K56" s="23">
        <v>38642.64</v>
      </c>
      <c r="L56" s="23">
        <v>3734.41</v>
      </c>
      <c r="M56" s="23">
        <v>34774.21</v>
      </c>
      <c r="N56" s="23">
        <v>12229.15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</row>
    <row r="57" spans="1:38" ht="12" hidden="1">
      <c r="A57" s="42" t="s">
        <v>124</v>
      </c>
      <c r="B57" s="10" t="s">
        <v>64</v>
      </c>
      <c r="C57" s="23">
        <v>109573.27</v>
      </c>
      <c r="D57" s="23">
        <v>1065.75</v>
      </c>
      <c r="E57" s="23">
        <v>100898.68</v>
      </c>
      <c r="F57" s="23">
        <v>20001.4</v>
      </c>
      <c r="G57" s="77"/>
      <c r="H57" s="78"/>
      <c r="I57" s="75" t="s">
        <v>18</v>
      </c>
      <c r="J57" s="15" t="s">
        <v>29</v>
      </c>
      <c r="K57" s="23">
        <v>21863.57</v>
      </c>
      <c r="L57" s="23">
        <v>4280.44</v>
      </c>
      <c r="M57" s="23">
        <v>25922.7</v>
      </c>
      <c r="N57" s="23">
        <v>6238.01</v>
      </c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</row>
    <row r="58" spans="1:38" ht="12" hidden="1">
      <c r="A58" s="15" t="s">
        <v>78</v>
      </c>
      <c r="B58" s="15" t="s">
        <v>64</v>
      </c>
      <c r="C58" s="23">
        <v>27778.18</v>
      </c>
      <c r="D58" s="23">
        <v>1680.69</v>
      </c>
      <c r="E58" s="23">
        <v>110545.01</v>
      </c>
      <c r="F58" s="23">
        <v>15249.55</v>
      </c>
      <c r="G58" s="77"/>
      <c r="H58" s="78"/>
      <c r="I58" s="75" t="s">
        <v>19</v>
      </c>
      <c r="J58" s="15" t="s">
        <v>29</v>
      </c>
      <c r="K58" s="23">
        <v>17049.97</v>
      </c>
      <c r="L58" s="23">
        <v>2416.06</v>
      </c>
      <c r="M58" s="23">
        <v>49680.12</v>
      </c>
      <c r="N58" s="23">
        <v>22823.52</v>
      </c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spans="1:38" ht="12" hidden="1">
      <c r="A59" s="15" t="s">
        <v>93</v>
      </c>
      <c r="B59" s="15"/>
      <c r="C59" s="23">
        <v>314335.73</v>
      </c>
      <c r="D59" s="23">
        <v>9115.19</v>
      </c>
      <c r="E59" s="23">
        <v>486973.7</v>
      </c>
      <c r="F59" s="23">
        <v>117364.76</v>
      </c>
      <c r="G59" s="77"/>
      <c r="H59" s="78"/>
      <c r="I59" s="75" t="s">
        <v>20</v>
      </c>
      <c r="J59" s="15" t="s">
        <v>29</v>
      </c>
      <c r="K59" s="23">
        <v>67737.61</v>
      </c>
      <c r="L59" s="23">
        <v>8100.53</v>
      </c>
      <c r="M59" s="23">
        <v>57872.82</v>
      </c>
      <c r="N59" s="23">
        <v>20030.99</v>
      </c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</row>
    <row r="60" spans="1:38" ht="12" hidden="1">
      <c r="A60" s="15" t="s">
        <v>22</v>
      </c>
      <c r="B60" s="15" t="s">
        <v>64</v>
      </c>
      <c r="C60" s="23">
        <v>125856.83</v>
      </c>
      <c r="D60" s="23">
        <v>21523.9</v>
      </c>
      <c r="E60" s="23">
        <v>312763.52</v>
      </c>
      <c r="F60" s="23">
        <v>46798.23</v>
      </c>
      <c r="G60" s="77"/>
      <c r="H60" s="78"/>
      <c r="I60" s="75" t="s">
        <v>21</v>
      </c>
      <c r="J60" s="15" t="s">
        <v>29</v>
      </c>
      <c r="K60" s="23">
        <v>73977.57</v>
      </c>
      <c r="L60" s="23">
        <v>4475.94</v>
      </c>
      <c r="M60" s="23">
        <v>87934.8</v>
      </c>
      <c r="N60" s="23">
        <v>33451.08</v>
      </c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</row>
    <row r="61" spans="1:38" ht="12" hidden="1">
      <c r="A61" s="15" t="s">
        <v>23</v>
      </c>
      <c r="B61" s="15" t="s">
        <v>64</v>
      </c>
      <c r="C61" s="23">
        <v>40549.82</v>
      </c>
      <c r="D61" s="23">
        <v>5249.22</v>
      </c>
      <c r="E61" s="23">
        <v>71951.63</v>
      </c>
      <c r="F61" s="23">
        <v>23227.33</v>
      </c>
      <c r="G61" s="77"/>
      <c r="H61" s="78"/>
      <c r="I61" s="75" t="s">
        <v>22</v>
      </c>
      <c r="J61" s="15" t="s">
        <v>29</v>
      </c>
      <c r="K61" s="23">
        <v>109607.89</v>
      </c>
      <c r="L61" s="23">
        <v>55490.7</v>
      </c>
      <c r="M61" s="23">
        <v>163826.73</v>
      </c>
      <c r="N61" s="23">
        <v>35047.92</v>
      </c>
      <c r="S61" s="79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</row>
    <row r="62" spans="1:38" ht="12" hidden="1">
      <c r="A62" s="15" t="s">
        <v>79</v>
      </c>
      <c r="B62" s="15" t="s">
        <v>64</v>
      </c>
      <c r="C62" s="23">
        <v>61585.76</v>
      </c>
      <c r="D62" s="23">
        <v>6882.68</v>
      </c>
      <c r="E62" s="23">
        <v>105821.94</v>
      </c>
      <c r="F62" s="23">
        <v>42576.82</v>
      </c>
      <c r="G62" s="77"/>
      <c r="H62" s="78"/>
      <c r="I62" s="75" t="s">
        <v>23</v>
      </c>
      <c r="J62" s="15" t="s">
        <v>29</v>
      </c>
      <c r="K62" s="23">
        <v>46413.42</v>
      </c>
      <c r="L62" s="23">
        <v>12419.45</v>
      </c>
      <c r="M62" s="23">
        <v>44624.63</v>
      </c>
      <c r="N62" s="23">
        <v>14697.93</v>
      </c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</row>
    <row r="63" spans="1:38" ht="12" hidden="1">
      <c r="A63" s="15" t="s">
        <v>80</v>
      </c>
      <c r="B63" s="15" t="s">
        <v>64</v>
      </c>
      <c r="C63" s="23">
        <v>137025.13</v>
      </c>
      <c r="D63" s="23">
        <v>6947732.52</v>
      </c>
      <c r="E63" s="23">
        <v>210346.69</v>
      </c>
      <c r="F63" s="23">
        <v>194486.19</v>
      </c>
      <c r="G63" s="77"/>
      <c r="H63" s="78"/>
      <c r="I63" s="75" t="s">
        <v>24</v>
      </c>
      <c r="J63" s="15" t="s">
        <v>29</v>
      </c>
      <c r="K63" s="23">
        <v>54298.55</v>
      </c>
      <c r="L63" s="23">
        <v>13429.95</v>
      </c>
      <c r="M63" s="23">
        <v>60486.07</v>
      </c>
      <c r="N63" s="23">
        <v>16365.46</v>
      </c>
      <c r="P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</row>
    <row r="64" spans="1:38" ht="12" hidden="1">
      <c r="A64" s="15" t="s">
        <v>90</v>
      </c>
      <c r="C64" s="23">
        <v>294.33</v>
      </c>
      <c r="D64" s="23">
        <v>151.15</v>
      </c>
      <c r="E64" s="23">
        <v>46325.79</v>
      </c>
      <c r="F64" s="23">
        <v>9700.06</v>
      </c>
      <c r="G64" s="77"/>
      <c r="H64" s="78"/>
      <c r="I64" s="75" t="s">
        <v>25</v>
      </c>
      <c r="J64" s="15" t="s">
        <v>29</v>
      </c>
      <c r="K64" s="23">
        <v>18006.16</v>
      </c>
      <c r="L64" s="23">
        <v>2320.17</v>
      </c>
      <c r="M64" s="23">
        <v>17091.39</v>
      </c>
      <c r="N64" s="23">
        <v>4121.3</v>
      </c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spans="1:38" ht="12" hidden="1">
      <c r="A65" s="15" t="s">
        <v>81</v>
      </c>
      <c r="B65" s="15" t="s">
        <v>64</v>
      </c>
      <c r="C65" s="23">
        <v>456.45</v>
      </c>
      <c r="D65" s="23">
        <v>43.8</v>
      </c>
      <c r="E65" s="23">
        <v>163.1</v>
      </c>
      <c r="F65" s="23">
        <v>46.16</v>
      </c>
      <c r="G65" s="77"/>
      <c r="H65" s="78"/>
      <c r="I65" s="75" t="s">
        <v>26</v>
      </c>
      <c r="J65" s="15" t="s">
        <v>29</v>
      </c>
      <c r="K65" s="23">
        <v>33482.48</v>
      </c>
      <c r="L65" s="23">
        <v>6345.98</v>
      </c>
      <c r="M65" s="23">
        <v>26151.31</v>
      </c>
      <c r="N65" s="23">
        <v>34915.57</v>
      </c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</row>
    <row r="66" spans="1:38" ht="12" hidden="1">
      <c r="A66" s="80" t="s">
        <v>102</v>
      </c>
      <c r="B66" s="80"/>
      <c r="C66" s="81">
        <f>C41*G36</f>
        <v>14296438.0692</v>
      </c>
      <c r="D66" s="81">
        <f>D41*G33</f>
        <v>305334.87418000004</v>
      </c>
      <c r="E66" s="81">
        <f>E41*G34</f>
        <v>1816396.0507</v>
      </c>
      <c r="F66" s="81">
        <f>F41</f>
        <v>8162316.77</v>
      </c>
      <c r="G66" s="64"/>
      <c r="H66" s="78"/>
      <c r="I66" s="75" t="s">
        <v>27</v>
      </c>
      <c r="J66" s="15" t="s">
        <v>29</v>
      </c>
      <c r="K66" s="23">
        <v>770.31</v>
      </c>
      <c r="L66" s="23">
        <v>2064.08</v>
      </c>
      <c r="M66" s="23">
        <v>48891.33</v>
      </c>
      <c r="N66" s="23">
        <v>2955.05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1:38" ht="12.75" hidden="1" thickBot="1">
      <c r="A67" s="15" t="s">
        <v>32</v>
      </c>
      <c r="B67" s="15"/>
      <c r="C67" s="23">
        <v>2742392.54</v>
      </c>
      <c r="D67" s="23">
        <v>698968.66</v>
      </c>
      <c r="E67" s="23">
        <v>23038252.52</v>
      </c>
      <c r="F67" s="23">
        <v>4435422.62</v>
      </c>
      <c r="G67" s="82"/>
      <c r="H67" s="78"/>
      <c r="I67" s="83" t="s">
        <v>28</v>
      </c>
      <c r="J67" s="84" t="s">
        <v>29</v>
      </c>
      <c r="K67" s="23">
        <v>13.53</v>
      </c>
      <c r="L67" s="23">
        <v>22.68</v>
      </c>
      <c r="M67" s="23">
        <v>10.98</v>
      </c>
      <c r="N67" s="23">
        <v>10.95</v>
      </c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</row>
    <row r="68" spans="1:38" ht="12.75" hidden="1" thickBot="1">
      <c r="A68" s="85" t="s">
        <v>106</v>
      </c>
      <c r="B68" s="85"/>
      <c r="C68" s="81">
        <f>C67*$G$36</f>
        <v>3345718.8988</v>
      </c>
      <c r="D68" s="81">
        <f>D67*G33</f>
        <v>9785.56124</v>
      </c>
      <c r="E68" s="81">
        <f>E67*G34</f>
        <v>2534207.7772</v>
      </c>
      <c r="F68" s="81">
        <f>F67</f>
        <v>4435422.62</v>
      </c>
      <c r="G68" s="86"/>
      <c r="H68" s="78"/>
      <c r="I68" s="10" t="s">
        <v>32</v>
      </c>
      <c r="J68" s="84" t="s">
        <v>116</v>
      </c>
      <c r="K68" s="23">
        <v>1664583.55</v>
      </c>
      <c r="L68" s="23">
        <v>930129.08</v>
      </c>
      <c r="M68" s="23">
        <v>12729109.55</v>
      </c>
      <c r="N68" s="23">
        <v>2614890.33</v>
      </c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</row>
    <row r="69" spans="1:38" ht="12" hidden="1">
      <c r="A69" s="20" t="s">
        <v>82</v>
      </c>
      <c r="B69" s="63"/>
      <c r="C69" s="63"/>
      <c r="D69" s="63"/>
      <c r="E69" s="63"/>
      <c r="F69" s="63"/>
      <c r="G69" s="86"/>
      <c r="I69" s="86"/>
      <c r="J69" s="86"/>
      <c r="K69" s="86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1:38" ht="12" hidden="1">
      <c r="A70" s="68" t="s">
        <v>33</v>
      </c>
      <c r="B70" s="20" t="s">
        <v>83</v>
      </c>
      <c r="C70" s="68"/>
      <c r="D70" s="68"/>
      <c r="E70" s="68"/>
      <c r="F70" s="68"/>
      <c r="G70" s="86"/>
      <c r="H70" s="86"/>
      <c r="I70" s="86"/>
      <c r="J70" s="86"/>
      <c r="K70" s="86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1:38" ht="12" hidden="1">
      <c r="A71" s="86"/>
      <c r="B71" s="20"/>
      <c r="C71" s="86"/>
      <c r="D71" s="86"/>
      <c r="E71" s="86"/>
      <c r="F71" s="86"/>
      <c r="G71" s="86"/>
      <c r="H71" s="86"/>
      <c r="I71" s="86"/>
      <c r="J71" s="86"/>
      <c r="K71" s="86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spans="1:38" ht="12" hidden="1">
      <c r="A72" s="86"/>
      <c r="B72" s="20"/>
      <c r="C72" s="86"/>
      <c r="D72" s="86"/>
      <c r="E72" s="86"/>
      <c r="F72" s="86"/>
      <c r="G72" s="86"/>
      <c r="H72" s="86"/>
      <c r="I72" s="86"/>
      <c r="J72" s="86"/>
      <c r="K72" s="86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ht="12" hidden="1">
      <c r="A73" s="86"/>
      <c r="B73" s="20"/>
      <c r="C73" s="86"/>
      <c r="D73" s="86"/>
      <c r="E73" s="86"/>
      <c r="F73" s="86"/>
      <c r="G73" s="86"/>
      <c r="H73" s="86"/>
      <c r="I73" s="86"/>
      <c r="J73" s="86"/>
      <c r="K73" s="86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ht="12" hidden="1">
      <c r="A74" s="86"/>
      <c r="B74" s="20"/>
      <c r="C74" s="86"/>
      <c r="D74" s="86"/>
      <c r="E74" s="86"/>
      <c r="F74" s="86"/>
      <c r="G74" s="86"/>
      <c r="H74" s="86"/>
      <c r="I74" s="86"/>
      <c r="J74" s="86"/>
      <c r="K74" s="86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ht="12" hidden="1">
      <c r="A75" s="10" t="s">
        <v>49</v>
      </c>
      <c r="B75" s="10" t="s">
        <v>67</v>
      </c>
      <c r="C75" s="10" t="s">
        <v>67</v>
      </c>
      <c r="D75" s="10" t="s">
        <v>68</v>
      </c>
      <c r="E75" s="10" t="s">
        <v>68</v>
      </c>
      <c r="F75" s="10" t="s">
        <v>84</v>
      </c>
      <c r="G75" s="10" t="s">
        <v>84</v>
      </c>
      <c r="H75" s="10" t="s">
        <v>85</v>
      </c>
      <c r="I75" s="10" t="s">
        <v>85</v>
      </c>
      <c r="J75" s="10" t="s">
        <v>50</v>
      </c>
      <c r="K75" s="10" t="s">
        <v>50</v>
      </c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ht="12" hidden="1">
      <c r="A76" s="10" t="s">
        <v>6</v>
      </c>
      <c r="B76" s="10">
        <v>2000</v>
      </c>
      <c r="C76" s="10">
        <v>2011</v>
      </c>
      <c r="D76" s="10">
        <v>2000</v>
      </c>
      <c r="E76" s="10">
        <v>2011</v>
      </c>
      <c r="F76" s="10">
        <v>2000</v>
      </c>
      <c r="G76" s="10">
        <v>2011</v>
      </c>
      <c r="H76" s="10">
        <v>2000</v>
      </c>
      <c r="I76" s="10">
        <v>2011</v>
      </c>
      <c r="J76" s="10">
        <v>2000</v>
      </c>
      <c r="K76" s="10">
        <v>2011</v>
      </c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ht="12" hidden="1">
      <c r="A77" s="10" t="s">
        <v>134</v>
      </c>
      <c r="B77" s="87">
        <f>C41*$G$36</f>
        <v>14296438.0692</v>
      </c>
      <c r="C77" s="87">
        <f>K41*$G$36</f>
        <v>11642658.786799999</v>
      </c>
      <c r="D77" s="87">
        <f>D41*$G$33</f>
        <v>305334.87418000004</v>
      </c>
      <c r="E77" s="87">
        <f>L41*$G$33</f>
        <v>242516.08709999998</v>
      </c>
      <c r="F77" s="87">
        <f>E41*$G$34</f>
        <v>1816396.0507</v>
      </c>
      <c r="G77" s="87">
        <f>M41*$G$34</f>
        <v>1185790.4971</v>
      </c>
      <c r="H77" s="87">
        <f>F41</f>
        <v>8162316.77</v>
      </c>
      <c r="I77" s="87">
        <f>N41</f>
        <v>4692937.51</v>
      </c>
      <c r="J77" s="87">
        <f>B77+D77+F77+H77</f>
        <v>24580485.76408</v>
      </c>
      <c r="K77" s="87">
        <f aca="true" t="shared" si="10" ref="J77:K85">C77+E77+G77+I77</f>
        <v>17763902.880999997</v>
      </c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spans="1:38" ht="12" hidden="1">
      <c r="A78" s="10" t="s">
        <v>30</v>
      </c>
      <c r="B78" s="53">
        <f>(C42+C43)*$G$36</f>
        <v>1494667.2986</v>
      </c>
      <c r="C78" s="53">
        <f>K42*$G$36</f>
        <v>1255926.9626</v>
      </c>
      <c r="D78" s="53">
        <f>(D42+D43)*$G$33</f>
        <v>141673.74228</v>
      </c>
      <c r="E78" s="88">
        <f>L42*$G$33</f>
        <v>128554.46128</v>
      </c>
      <c r="F78" s="53">
        <f>(E42+E43)*$G$34</f>
        <v>353866.6065</v>
      </c>
      <c r="G78" s="88">
        <f>M42*$G$34</f>
        <v>172968.5903</v>
      </c>
      <c r="H78" s="53">
        <f>(F42+F43)</f>
        <v>2076440.6500000001</v>
      </c>
      <c r="I78" s="88">
        <f>N42</f>
        <v>740763.45</v>
      </c>
      <c r="J78" s="53">
        <f>B78+D78+F78+H78</f>
        <v>4066648.2973800004</v>
      </c>
      <c r="K78" s="53">
        <f t="shared" si="10"/>
        <v>2298213.46418</v>
      </c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1:38" ht="12" hidden="1">
      <c r="A79" s="10" t="s">
        <v>31</v>
      </c>
      <c r="B79" s="53">
        <f>C44*$G$36</f>
        <v>219609.2354</v>
      </c>
      <c r="C79" s="53">
        <f>K43*$G$36</f>
        <v>161631.1266</v>
      </c>
      <c r="D79" s="53">
        <f>D44*$G$33</f>
        <v>35664.59372</v>
      </c>
      <c r="E79" s="88">
        <f>L43*$G$33</f>
        <v>17771.216819999998</v>
      </c>
      <c r="F79" s="53">
        <f>E44*$G$34</f>
        <v>9182.7978</v>
      </c>
      <c r="G79" s="88">
        <f>M43*$G$34</f>
        <v>5679.5629</v>
      </c>
      <c r="H79" s="53">
        <f>F44</f>
        <v>361470.21</v>
      </c>
      <c r="I79" s="88">
        <f>N43</f>
        <v>153300.11</v>
      </c>
      <c r="J79" s="53">
        <f t="shared" si="10"/>
        <v>625926.83692</v>
      </c>
      <c r="K79" s="53">
        <f t="shared" si="10"/>
        <v>338382.01631999994</v>
      </c>
      <c r="L79" s="65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ht="12" hidden="1">
      <c r="A80" s="10" t="s">
        <v>10</v>
      </c>
      <c r="B80" s="53">
        <f>C45*$G$36</f>
        <v>2723121.3984000003</v>
      </c>
      <c r="C80" s="53">
        <f>K44*$G$36</f>
        <v>1808155.839</v>
      </c>
      <c r="D80" s="53">
        <f>D45*$G$33</f>
        <v>13006.37464</v>
      </c>
      <c r="E80" s="88">
        <f>L44*$G$33</f>
        <v>5485.30122</v>
      </c>
      <c r="F80" s="53">
        <f>E45*$G$34</f>
        <v>844228.9746000001</v>
      </c>
      <c r="G80" s="88">
        <f>M44*$G$34</f>
        <v>612260.4719</v>
      </c>
      <c r="H80" s="53">
        <f>F45</f>
        <v>3427367.75</v>
      </c>
      <c r="I80" s="88">
        <f>N44</f>
        <v>2394868.97</v>
      </c>
      <c r="J80" s="53">
        <f t="shared" si="10"/>
        <v>7007724.497640001</v>
      </c>
      <c r="K80" s="53">
        <f t="shared" si="10"/>
        <v>4820770.582119999</v>
      </c>
      <c r="L80" s="65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ht="12" hidden="1">
      <c r="A81" s="10" t="s">
        <v>11</v>
      </c>
      <c r="B81" s="53">
        <f>C47*$G$36</f>
        <v>2668714.1686</v>
      </c>
      <c r="C81" s="53">
        <f>K45*$G$36</f>
        <v>1987744.9385999998</v>
      </c>
      <c r="D81" s="53">
        <f>D47*$G$33</f>
        <v>13580.536619999999</v>
      </c>
      <c r="E81" s="88">
        <f>L45*$G$33</f>
        <v>15024.14312</v>
      </c>
      <c r="F81" s="53">
        <f>E47*$G$34</f>
        <v>86616.0449</v>
      </c>
      <c r="G81" s="88">
        <f>M45*$G$34</f>
        <v>68483.61300000001</v>
      </c>
      <c r="H81" s="53">
        <f>F47</f>
        <v>213633.54</v>
      </c>
      <c r="I81" s="88">
        <f>N45</f>
        <v>164990.19</v>
      </c>
      <c r="J81" s="53">
        <f t="shared" si="10"/>
        <v>2982544.29012</v>
      </c>
      <c r="K81" s="53">
        <f t="shared" si="10"/>
        <v>2236242.8847199995</v>
      </c>
      <c r="L81" s="65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ht="12" hidden="1">
      <c r="A82" s="10" t="s">
        <v>129</v>
      </c>
      <c r="B82" s="53">
        <f>SUM(C53:C55)*$G$36</f>
        <v>4689596.2957999995</v>
      </c>
      <c r="C82" s="53">
        <f>SUM(K50:K52)*$G$36</f>
        <v>4784770.765</v>
      </c>
      <c r="D82" s="53">
        <f>SUM(D53:D55)*$G$33</f>
        <v>1424.4741</v>
      </c>
      <c r="E82" s="53">
        <f>SUM(L50:L52)*$G$33</f>
        <v>1935.1312400000002</v>
      </c>
      <c r="F82" s="53">
        <f>SUM(E53:E55)*$G$34</f>
        <v>192703.7464</v>
      </c>
      <c r="G82" s="53">
        <f>SUM(M50:M52)*$G$34</f>
        <v>166938.1263</v>
      </c>
      <c r="H82" s="53">
        <f>SUM(F53:F55)</f>
        <v>488325.26</v>
      </c>
      <c r="I82" s="53">
        <f>SUM(N50:N52)</f>
        <v>336447.47</v>
      </c>
      <c r="J82" s="53">
        <f t="shared" si="10"/>
        <v>5372049.776299999</v>
      </c>
      <c r="K82" s="53">
        <f t="shared" si="10"/>
        <v>5290091.492539999</v>
      </c>
      <c r="L82" s="65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ht="12" hidden="1">
      <c r="A83" s="10" t="s">
        <v>130</v>
      </c>
      <c r="B83" s="53">
        <f>C41*$G$36-SUM(B78:B82)</f>
        <v>2500729.6723999996</v>
      </c>
      <c r="C83" s="53">
        <f>K41*$G$36-SUM(C78:C82)</f>
        <v>1644429.1549999993</v>
      </c>
      <c r="D83" s="53">
        <f>D41*$G$33-SUM(D78:D82)</f>
        <v>99985.15282000005</v>
      </c>
      <c r="E83" s="53">
        <f>L41*$G$33-SUM(E78:E82)</f>
        <v>73745.83342000001</v>
      </c>
      <c r="F83" s="53">
        <f>E41*$G$34-SUM(F78:F82)</f>
        <v>329797.88049999974</v>
      </c>
      <c r="G83" s="53">
        <f>M41*$G$34-SUM(G78:G82)</f>
        <v>159460.13269999996</v>
      </c>
      <c r="H83" s="53">
        <f>F41-SUM(H78:H82)</f>
        <v>1595079.3599999994</v>
      </c>
      <c r="I83" s="53">
        <f>N41-SUM(I78:I82)</f>
        <v>902567.3199999994</v>
      </c>
      <c r="J83" s="53">
        <f t="shared" si="10"/>
        <v>4525592.065719998</v>
      </c>
      <c r="K83" s="53">
        <f t="shared" si="10"/>
        <v>2780202.4411199987</v>
      </c>
      <c r="L83" s="65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spans="1:38" ht="12" hidden="1">
      <c r="A84" s="10" t="s">
        <v>131</v>
      </c>
      <c r="B84" s="53">
        <f>C66</f>
        <v>14296438.0692</v>
      </c>
      <c r="C84" s="88">
        <f>K41*$G$36</f>
        <v>11642658.786799999</v>
      </c>
      <c r="D84" s="88">
        <f>D66</f>
        <v>305334.87418000004</v>
      </c>
      <c r="E84" s="88">
        <f>L41*$G$33</f>
        <v>242516.08709999998</v>
      </c>
      <c r="F84" s="88">
        <f>E66</f>
        <v>1816396.0507</v>
      </c>
      <c r="G84" s="88">
        <f>M41*$G$34</f>
        <v>1185790.4971</v>
      </c>
      <c r="H84" s="88">
        <f>F66</f>
        <v>8162316.77</v>
      </c>
      <c r="I84" s="88">
        <f>N41</f>
        <v>4692937.51</v>
      </c>
      <c r="J84" s="53">
        <f t="shared" si="10"/>
        <v>24580485.76408</v>
      </c>
      <c r="K84" s="53">
        <f t="shared" si="10"/>
        <v>17763902.880999997</v>
      </c>
      <c r="L84" s="65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spans="1:38" ht="12" hidden="1">
      <c r="A85" s="10" t="s">
        <v>132</v>
      </c>
      <c r="B85" s="53">
        <f>C68</f>
        <v>3345718.8988</v>
      </c>
      <c r="C85" s="88">
        <f>K68*$G$36</f>
        <v>2030791.931</v>
      </c>
      <c r="D85" s="88">
        <f>D68</f>
        <v>9785.56124</v>
      </c>
      <c r="E85" s="88">
        <f>L68*$G$33</f>
        <v>13021.80712</v>
      </c>
      <c r="F85" s="88">
        <f>E68</f>
        <v>2534207.7772</v>
      </c>
      <c r="G85" s="88">
        <f>M68*$G$34</f>
        <v>1400202.0505000001</v>
      </c>
      <c r="H85" s="88">
        <f>F68</f>
        <v>4435422.62</v>
      </c>
      <c r="I85" s="88">
        <f>N68</f>
        <v>2614890.33</v>
      </c>
      <c r="J85" s="53">
        <f t="shared" si="10"/>
        <v>10325134.857239999</v>
      </c>
      <c r="K85" s="53">
        <f>C85+E85+G85+I85</f>
        <v>6058906.118620001</v>
      </c>
      <c r="L85" s="65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ht="12" hidden="1">
      <c r="A86" s="88" t="s">
        <v>103</v>
      </c>
      <c r="B86" s="88">
        <f aca="true" t="shared" si="11" ref="B86:K86">B84-SUM(B78:B83)</f>
        <v>0</v>
      </c>
      <c r="C86" s="88">
        <f t="shared" si="11"/>
        <v>0</v>
      </c>
      <c r="D86" s="88">
        <f t="shared" si="11"/>
        <v>0</v>
      </c>
      <c r="E86" s="88">
        <f t="shared" si="11"/>
        <v>0</v>
      </c>
      <c r="F86" s="88">
        <f t="shared" si="11"/>
        <v>0</v>
      </c>
      <c r="G86" s="88">
        <f t="shared" si="11"/>
        <v>0</v>
      </c>
      <c r="H86" s="88">
        <f t="shared" si="11"/>
        <v>0</v>
      </c>
      <c r="I86" s="88">
        <f t="shared" si="11"/>
        <v>0</v>
      </c>
      <c r="J86" s="88">
        <f t="shared" si="11"/>
        <v>0</v>
      </c>
      <c r="K86" s="88">
        <f t="shared" si="11"/>
        <v>0</v>
      </c>
      <c r="L86" s="65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spans="1:38" ht="12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spans="1:38" ht="12" hidden="1">
      <c r="A88" s="20" t="s">
        <v>100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8" ht="12" hidden="1">
      <c r="A89" s="10" t="s">
        <v>49</v>
      </c>
      <c r="B89" s="10" t="s">
        <v>36</v>
      </c>
      <c r="C89" s="10" t="s">
        <v>36</v>
      </c>
      <c r="D89" s="10" t="s">
        <v>37</v>
      </c>
      <c r="E89" s="10" t="s">
        <v>37</v>
      </c>
      <c r="F89" s="10" t="s">
        <v>38</v>
      </c>
      <c r="G89" s="10" t="s">
        <v>38</v>
      </c>
      <c r="H89" s="10" t="s">
        <v>43</v>
      </c>
      <c r="I89" s="10" t="s">
        <v>43</v>
      </c>
      <c r="J89" s="10" t="s">
        <v>50</v>
      </c>
      <c r="K89" s="10" t="s">
        <v>50</v>
      </c>
      <c r="L89" s="65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  <row r="90" spans="1:38" ht="12" hidden="1">
      <c r="A90" s="10" t="s">
        <v>6</v>
      </c>
      <c r="B90" s="10">
        <f aca="true" t="shared" si="12" ref="B90:K90">B76</f>
        <v>2000</v>
      </c>
      <c r="C90" s="10">
        <f t="shared" si="12"/>
        <v>2011</v>
      </c>
      <c r="D90" s="10">
        <f t="shared" si="12"/>
        <v>2000</v>
      </c>
      <c r="E90" s="10">
        <f t="shared" si="12"/>
        <v>2011</v>
      </c>
      <c r="F90" s="10">
        <f t="shared" si="12"/>
        <v>2000</v>
      </c>
      <c r="G90" s="10">
        <f t="shared" si="12"/>
        <v>2011</v>
      </c>
      <c r="H90" s="10">
        <f t="shared" si="12"/>
        <v>2000</v>
      </c>
      <c r="I90" s="10">
        <f t="shared" si="12"/>
        <v>2011</v>
      </c>
      <c r="J90" s="10">
        <f t="shared" si="12"/>
        <v>2000</v>
      </c>
      <c r="K90" s="10">
        <f t="shared" si="12"/>
        <v>2011</v>
      </c>
      <c r="L90" s="10" t="s">
        <v>108</v>
      </c>
      <c r="M90" s="10" t="s">
        <v>109</v>
      </c>
      <c r="N90" s="10" t="s">
        <v>110</v>
      </c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spans="1:38" ht="12" hidden="1">
      <c r="A91" s="10" t="s">
        <v>134</v>
      </c>
      <c r="B91" s="88">
        <f aca="true" t="shared" si="13" ref="B91:C99">B77/1000</f>
        <v>14296.4380692</v>
      </c>
      <c r="C91" s="88">
        <f t="shared" si="13"/>
        <v>11642.658786799999</v>
      </c>
      <c r="D91" s="88">
        <f aca="true" t="shared" si="14" ref="D91:D99">F77/1000</f>
        <v>1816.3960507</v>
      </c>
      <c r="E91" s="88">
        <f aca="true" t="shared" si="15" ref="E91:E99">G77/1000</f>
        <v>1185.7904971</v>
      </c>
      <c r="F91" s="88">
        <f aca="true" t="shared" si="16" ref="F91:F99">H77/1000</f>
        <v>8162.316769999999</v>
      </c>
      <c r="G91" s="88">
        <f aca="true" t="shared" si="17" ref="G91:G99">I77/1000</f>
        <v>4692.93751</v>
      </c>
      <c r="H91" s="88">
        <f aca="true" t="shared" si="18" ref="H91:H99">D77/1000</f>
        <v>305.33487418000004</v>
      </c>
      <c r="I91" s="88">
        <f aca="true" t="shared" si="19" ref="I91:I99">E77/1000</f>
        <v>242.51608709999996</v>
      </c>
      <c r="J91" s="88">
        <f aca="true" t="shared" si="20" ref="J91:K99">J77/1000</f>
        <v>24580.48576408</v>
      </c>
      <c r="K91" s="88">
        <f t="shared" si="20"/>
        <v>17763.902880999998</v>
      </c>
      <c r="L91" s="11">
        <f aca="true" t="shared" si="21" ref="L91:L97">K91/J91*100</f>
        <v>72.2683150019711</v>
      </c>
      <c r="M91" s="57">
        <f aca="true" t="shared" si="22" ref="M91:M97">K91-J91</f>
        <v>-6816.582883080002</v>
      </c>
      <c r="N91" s="89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spans="1:38" ht="12" hidden="1">
      <c r="A92" s="10" t="s">
        <v>30</v>
      </c>
      <c r="B92" s="88">
        <f t="shared" si="13"/>
        <v>1494.6672986</v>
      </c>
      <c r="C92" s="88">
        <f t="shared" si="13"/>
        <v>1255.9269626</v>
      </c>
      <c r="D92" s="88">
        <f t="shared" si="14"/>
        <v>353.8666065</v>
      </c>
      <c r="E92" s="88">
        <f t="shared" si="15"/>
        <v>172.96859030000002</v>
      </c>
      <c r="F92" s="88">
        <f t="shared" si="16"/>
        <v>2076.44065</v>
      </c>
      <c r="G92" s="88">
        <f t="shared" si="17"/>
        <v>740.7634499999999</v>
      </c>
      <c r="H92" s="88">
        <f t="shared" si="18"/>
        <v>141.67374228</v>
      </c>
      <c r="I92" s="88">
        <f t="shared" si="19"/>
        <v>128.55446128</v>
      </c>
      <c r="J92" s="88">
        <f t="shared" si="20"/>
        <v>4066.6482973800003</v>
      </c>
      <c r="K92" s="88">
        <f t="shared" si="20"/>
        <v>2298.2134641800003</v>
      </c>
      <c r="L92" s="11">
        <f t="shared" si="21"/>
        <v>56.51370111501058</v>
      </c>
      <c r="M92" s="57">
        <f t="shared" si="22"/>
        <v>-1768.4348332</v>
      </c>
      <c r="N92" s="89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</row>
    <row r="93" spans="1:38" ht="12" hidden="1">
      <c r="A93" s="10" t="s">
        <v>31</v>
      </c>
      <c r="B93" s="88">
        <f t="shared" si="13"/>
        <v>219.60923540000002</v>
      </c>
      <c r="C93" s="88">
        <f t="shared" si="13"/>
        <v>161.6311266</v>
      </c>
      <c r="D93" s="88">
        <f t="shared" si="14"/>
        <v>9.1827978</v>
      </c>
      <c r="E93" s="88">
        <f t="shared" si="15"/>
        <v>5.6795629</v>
      </c>
      <c r="F93" s="88">
        <f t="shared" si="16"/>
        <v>361.47021</v>
      </c>
      <c r="G93" s="88">
        <f t="shared" si="17"/>
        <v>153.30011</v>
      </c>
      <c r="H93" s="88">
        <f t="shared" si="18"/>
        <v>35.66459372</v>
      </c>
      <c r="I93" s="88">
        <f t="shared" si="19"/>
        <v>17.77121682</v>
      </c>
      <c r="J93" s="88">
        <f t="shared" si="20"/>
        <v>625.92683692</v>
      </c>
      <c r="K93" s="88">
        <f t="shared" si="20"/>
        <v>338.38201631999993</v>
      </c>
      <c r="L93" s="11">
        <f t="shared" si="21"/>
        <v>54.060953510969</v>
      </c>
      <c r="M93" s="57">
        <f t="shared" si="22"/>
        <v>-287.5448206000001</v>
      </c>
      <c r="N93" s="89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</row>
    <row r="94" spans="1:38" ht="12" hidden="1">
      <c r="A94" s="10" t="s">
        <v>10</v>
      </c>
      <c r="B94" s="88">
        <f t="shared" si="13"/>
        <v>2723.1213984</v>
      </c>
      <c r="C94" s="88">
        <f t="shared" si="13"/>
        <v>1808.155839</v>
      </c>
      <c r="D94" s="88">
        <f t="shared" si="14"/>
        <v>844.2289746000001</v>
      </c>
      <c r="E94" s="88">
        <f t="shared" si="15"/>
        <v>612.2604719</v>
      </c>
      <c r="F94" s="88">
        <f t="shared" si="16"/>
        <v>3427.36775</v>
      </c>
      <c r="G94" s="88">
        <f t="shared" si="17"/>
        <v>2394.86897</v>
      </c>
      <c r="H94" s="88">
        <f t="shared" si="18"/>
        <v>13.00637464</v>
      </c>
      <c r="I94" s="88">
        <f t="shared" si="19"/>
        <v>5.48530122</v>
      </c>
      <c r="J94" s="88">
        <f t="shared" si="20"/>
        <v>7007.724497640001</v>
      </c>
      <c r="K94" s="88">
        <f t="shared" si="20"/>
        <v>4820.77058212</v>
      </c>
      <c r="L94" s="11">
        <f t="shared" si="21"/>
        <v>68.79223896064259</v>
      </c>
      <c r="M94" s="57">
        <f t="shared" si="22"/>
        <v>-2186.953915520001</v>
      </c>
      <c r="N94" s="89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</row>
    <row r="95" spans="1:38" ht="12" hidden="1">
      <c r="A95" s="10" t="s">
        <v>11</v>
      </c>
      <c r="B95" s="88">
        <f t="shared" si="13"/>
        <v>2668.7141686</v>
      </c>
      <c r="C95" s="88">
        <f t="shared" si="13"/>
        <v>1987.7449385999998</v>
      </c>
      <c r="D95" s="88">
        <f t="shared" si="14"/>
        <v>86.61604489999999</v>
      </c>
      <c r="E95" s="88">
        <f t="shared" si="15"/>
        <v>68.483613</v>
      </c>
      <c r="F95" s="88">
        <f t="shared" si="16"/>
        <v>213.63354</v>
      </c>
      <c r="G95" s="88">
        <f t="shared" si="17"/>
        <v>164.99019</v>
      </c>
      <c r="H95" s="88">
        <f t="shared" si="18"/>
        <v>13.580536619999998</v>
      </c>
      <c r="I95" s="88">
        <f t="shared" si="19"/>
        <v>15.024143120000002</v>
      </c>
      <c r="J95" s="88">
        <f t="shared" si="20"/>
        <v>2982.54429012</v>
      </c>
      <c r="K95" s="88">
        <f t="shared" si="20"/>
        <v>2236.2428847199994</v>
      </c>
      <c r="L95" s="11">
        <f t="shared" si="21"/>
        <v>74.97769243956563</v>
      </c>
      <c r="M95" s="57">
        <f t="shared" si="22"/>
        <v>-746.3014054000005</v>
      </c>
      <c r="N95" s="89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  <row r="96" spans="1:38" ht="12" hidden="1">
      <c r="A96" s="10" t="s">
        <v>129</v>
      </c>
      <c r="B96" s="88">
        <f t="shared" si="13"/>
        <v>4689.596295799999</v>
      </c>
      <c r="C96" s="88">
        <f t="shared" si="13"/>
        <v>4784.770764999999</v>
      </c>
      <c r="D96" s="88">
        <f t="shared" si="14"/>
        <v>192.7037464</v>
      </c>
      <c r="E96" s="88">
        <f t="shared" si="15"/>
        <v>166.9381263</v>
      </c>
      <c r="F96" s="88">
        <f t="shared" si="16"/>
        <v>488.32526</v>
      </c>
      <c r="G96" s="88">
        <f t="shared" si="17"/>
        <v>336.44746999999995</v>
      </c>
      <c r="H96" s="88">
        <f t="shared" si="18"/>
        <v>1.4244740999999999</v>
      </c>
      <c r="I96" s="88">
        <f t="shared" si="19"/>
        <v>1.9351312400000003</v>
      </c>
      <c r="J96" s="88">
        <f t="shared" si="20"/>
        <v>5372.049776299999</v>
      </c>
      <c r="K96" s="88">
        <f t="shared" si="20"/>
        <v>5290.091492539999</v>
      </c>
      <c r="L96" s="11">
        <f t="shared" si="21"/>
        <v>98.47435732778246</v>
      </c>
      <c r="M96" s="57">
        <f t="shared" si="22"/>
        <v>-81.95828376000009</v>
      </c>
      <c r="N96" s="89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</row>
    <row r="97" spans="1:38" ht="12" hidden="1">
      <c r="A97" s="10" t="s">
        <v>130</v>
      </c>
      <c r="B97" s="88">
        <f t="shared" si="13"/>
        <v>2500.7296724</v>
      </c>
      <c r="C97" s="88">
        <f t="shared" si="13"/>
        <v>1644.4291549999994</v>
      </c>
      <c r="D97" s="88">
        <f t="shared" si="14"/>
        <v>329.79788049999974</v>
      </c>
      <c r="E97" s="88">
        <f t="shared" si="15"/>
        <v>159.46013269999995</v>
      </c>
      <c r="F97" s="88">
        <f t="shared" si="16"/>
        <v>1595.0793599999995</v>
      </c>
      <c r="G97" s="88">
        <f t="shared" si="17"/>
        <v>902.5673199999993</v>
      </c>
      <c r="H97" s="88">
        <f t="shared" si="18"/>
        <v>99.98515282000005</v>
      </c>
      <c r="I97" s="88">
        <f t="shared" si="19"/>
        <v>73.74583342000001</v>
      </c>
      <c r="J97" s="88">
        <f t="shared" si="20"/>
        <v>4525.592065719999</v>
      </c>
      <c r="K97" s="88">
        <f t="shared" si="20"/>
        <v>2780.2024411199986</v>
      </c>
      <c r="L97" s="11">
        <f t="shared" si="21"/>
        <v>61.432899844844556</v>
      </c>
      <c r="M97" s="57">
        <f t="shared" si="22"/>
        <v>-1745.3896246</v>
      </c>
      <c r="N97" s="89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</row>
    <row r="98" spans="1:38" ht="12" hidden="1">
      <c r="A98" s="10" t="s">
        <v>131</v>
      </c>
      <c r="B98" s="88">
        <f t="shared" si="13"/>
        <v>14296.4380692</v>
      </c>
      <c r="C98" s="88">
        <f t="shared" si="13"/>
        <v>11642.658786799999</v>
      </c>
      <c r="D98" s="88">
        <f t="shared" si="14"/>
        <v>1816.3960507</v>
      </c>
      <c r="E98" s="88">
        <f t="shared" si="15"/>
        <v>1185.7904971</v>
      </c>
      <c r="F98" s="88">
        <f t="shared" si="16"/>
        <v>8162.316769999999</v>
      </c>
      <c r="G98" s="88">
        <f t="shared" si="17"/>
        <v>4692.93751</v>
      </c>
      <c r="H98" s="88">
        <f t="shared" si="18"/>
        <v>305.33487418000004</v>
      </c>
      <c r="I98" s="88">
        <f t="shared" si="19"/>
        <v>242.51608709999996</v>
      </c>
      <c r="J98" s="88">
        <f t="shared" si="20"/>
        <v>24580.48576408</v>
      </c>
      <c r="K98" s="88">
        <f t="shared" si="20"/>
        <v>17763.902880999998</v>
      </c>
      <c r="L98" s="11">
        <f>K98/J98*100</f>
        <v>72.2683150019711</v>
      </c>
      <c r="M98" s="57">
        <f>K98-J98</f>
        <v>-6816.582883080002</v>
      </c>
      <c r="N98" s="90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</row>
    <row r="99" spans="1:38" ht="12" hidden="1">
      <c r="A99" s="10" t="s">
        <v>132</v>
      </c>
      <c r="B99" s="88">
        <f t="shared" si="13"/>
        <v>3345.7188988000003</v>
      </c>
      <c r="C99" s="88">
        <f t="shared" si="13"/>
        <v>2030.7919310000002</v>
      </c>
      <c r="D99" s="88">
        <f t="shared" si="14"/>
        <v>2534.2077772</v>
      </c>
      <c r="E99" s="88">
        <f t="shared" si="15"/>
        <v>1400.2020505</v>
      </c>
      <c r="F99" s="88">
        <f t="shared" si="16"/>
        <v>4435.42262</v>
      </c>
      <c r="G99" s="88">
        <f t="shared" si="17"/>
        <v>2614.89033</v>
      </c>
      <c r="H99" s="88">
        <f t="shared" si="18"/>
        <v>9.785561240000002</v>
      </c>
      <c r="I99" s="88">
        <f t="shared" si="19"/>
        <v>13.02180712</v>
      </c>
      <c r="J99" s="88">
        <f t="shared" si="20"/>
        <v>10325.134857239998</v>
      </c>
      <c r="K99" s="88">
        <f t="shared" si="20"/>
        <v>6058.906118620001</v>
      </c>
      <c r="L99" s="11">
        <f>K99/J99*100</f>
        <v>58.681133005943146</v>
      </c>
      <c r="M99" s="57">
        <f>K99-J99</f>
        <v>-4266.228738619998</v>
      </c>
      <c r="N99" s="90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</row>
    <row r="100" spans="1:38" ht="12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</row>
    <row r="101" spans="1:38" ht="12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</row>
    <row r="102" spans="1:38" ht="12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ht="12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</row>
    <row r="104" spans="1:38" ht="12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</row>
    <row r="105" spans="1:38" ht="12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spans="1:38" ht="12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ht="12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ht="12" hidden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spans="1:38" ht="12" hidden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</row>
    <row r="110" spans="1:38" ht="12" hidden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ht="12" hidden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spans="1:38" ht="12" hidden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1:38" ht="12" hidden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</row>
    <row r="114" spans="1:38" ht="12" hidden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</row>
    <row r="115" spans="1:38" ht="12" hidden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</row>
    <row r="116" spans="1:38" ht="12" hidden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spans="1:38" ht="12" hidden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spans="1:38" ht="12" hidden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</row>
    <row r="119" spans="1:38" ht="12" hidden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</row>
    <row r="120" spans="1:38" ht="12" hidden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</row>
    <row r="121" spans="1:38" ht="12" hidden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</row>
    <row r="122" spans="1:38" ht="12" hidden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</row>
    <row r="123" spans="1:38" ht="12" hidden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</row>
    <row r="124" spans="1:38" ht="12" hidden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</row>
    <row r="125" spans="1:38" ht="12" hidden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</row>
    <row r="126" spans="1:38" ht="12" hidden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</row>
    <row r="127" spans="1:38" ht="12" hidden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</row>
    <row r="128" spans="1:38" ht="12" hidden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</row>
    <row r="129" spans="1:38" ht="12" hidden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</row>
    <row r="130" spans="1:38" ht="12" hidden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</row>
    <row r="131" spans="1:38" ht="12" hidden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</row>
    <row r="132" spans="1:38" ht="12" hidden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</row>
    <row r="133" spans="1:38" ht="12" hidden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</row>
    <row r="134" spans="1:38" ht="12" hidden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</row>
    <row r="135" spans="1:38" ht="12" hidden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</row>
    <row r="136" spans="1:38" ht="12" hidden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</row>
    <row r="137" spans="1:38" ht="12" hidden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</row>
    <row r="138" spans="1:38" ht="12" hidden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</row>
    <row r="139" spans="1:38" ht="12" hidden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</row>
    <row r="140" spans="1:38" ht="12" hidden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</row>
    <row r="141" spans="1:38" ht="12" hidden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</row>
    <row r="142" spans="1:38" ht="12" hidden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</row>
    <row r="143" spans="1:38" ht="12" hidden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</row>
    <row r="144" spans="1:38" ht="12" hidden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</row>
    <row r="145" spans="1:38" ht="12" hidden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</row>
    <row r="146" spans="1:38" ht="12" hidden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</row>
    <row r="147" spans="1:38" ht="12" hidden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</row>
    <row r="148" spans="1:38" ht="12" hidden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</row>
    <row r="149" spans="1:38" ht="12" hidden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</row>
    <row r="150" spans="1:38" ht="12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</row>
    <row r="151" spans="1:38" ht="12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</row>
    <row r="152" spans="1:38" ht="12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</row>
    <row r="153" spans="1:38" ht="12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</row>
    <row r="154" spans="1:38" ht="12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</row>
    <row r="155" spans="1:38" ht="1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</row>
    <row r="156" spans="1:38" ht="12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</row>
    <row r="157" spans="1:38" ht="12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</row>
    <row r="158" spans="1:38" ht="1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</row>
    <row r="159" spans="1:38" ht="12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</row>
    <row r="160" spans="1:38" ht="12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</row>
    <row r="161" spans="1:38" ht="12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</row>
    <row r="162" spans="1:38" ht="12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</row>
    <row r="163" spans="1:19" ht="12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ht="12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ht="12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ht="12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ht="12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ht="12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ht="1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ht="12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ht="12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ht="12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ht="12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ht="12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ht="12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ht="12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ht="12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ht="12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ht="1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ht="12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ht="12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ht="12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ht="12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ht="12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ht="12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ht="12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ht="12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2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ht="12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ht="12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ht="12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ht="12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ht="12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ht="12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ht="12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ht="12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ht="12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ht="12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ht="12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ht="12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ht="12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ht="12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ht="1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ht="12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ht="12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ht="1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ht="12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ht="12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ht="1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ht="12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ht="12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ht="1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ht="12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ht="12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ht="12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ht="12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ht="12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ht="12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ht="12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ht="12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ht="12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ht="1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ht="12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ht="12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ht="12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ht="12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ht="1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ht="12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ht="12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ht="12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ht="12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ht="1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ht="12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ht="12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ht="12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ht="12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ht="1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ht="12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ht="12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ht="12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ht="12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ht="1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ht="12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ht="12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ht="1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ht="12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ht="12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ht="12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ht="12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ht="12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ht="12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ht="12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ht="12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ht="1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ht="12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ht="12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ht="1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ht="12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ht="12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ht="1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ht="12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ht="12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ht="12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ht="12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ht="12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ht="12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ht="1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ht="12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ht="12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ht="12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ht="12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ht="12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4" ht="12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</row>
    <row r="278" spans="1:14" ht="12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</row>
    <row r="279" spans="1:14" ht="12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</row>
    <row r="280" spans="1:14" ht="12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1:14" ht="12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</row>
    <row r="282" spans="1:14" ht="12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</row>
    <row r="283" spans="1:14" ht="12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</row>
    <row r="284" spans="1:14" ht="12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</row>
    <row r="285" spans="1:14" ht="12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</row>
    <row r="286" spans="1:14" ht="12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</row>
    <row r="287" spans="1:14" ht="12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2:14" ht="12">
      <c r="L288" s="63"/>
      <c r="M288" s="63"/>
      <c r="N288" s="63"/>
    </row>
  </sheetData>
  <sheetProtection/>
  <hyperlinks>
    <hyperlink ref="K31"/>
  </hyperlink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5"/>
  <sheetViews>
    <sheetView zoomScalePageLayoutView="0" workbookViewId="0" topLeftCell="A68">
      <selection activeCell="C116" sqref="C116"/>
    </sheetView>
  </sheetViews>
  <sheetFormatPr defaultColWidth="9.00390625" defaultRowHeight="14.25"/>
  <cols>
    <col min="1" max="1" width="30.50390625" style="3" customWidth="1"/>
    <col min="2" max="2" width="27.00390625" style="3" customWidth="1"/>
    <col min="3" max="3" width="18.00390625" style="3" customWidth="1"/>
    <col min="4" max="16384" width="9.00390625" style="3" customWidth="1"/>
  </cols>
  <sheetData>
    <row r="1" ht="12">
      <c r="A1" s="121" t="s">
        <v>65</v>
      </c>
    </row>
    <row r="3" spans="1:2" ht="12">
      <c r="A3" s="20" t="s">
        <v>0</v>
      </c>
      <c r="B3" s="21">
        <v>41409.41678240741</v>
      </c>
    </row>
    <row r="4" spans="1:2" ht="12">
      <c r="A4" s="20" t="s">
        <v>1</v>
      </c>
      <c r="B4" s="21">
        <v>41733.37846334491</v>
      </c>
    </row>
    <row r="5" spans="1:2" ht="12">
      <c r="A5" s="20" t="s">
        <v>48</v>
      </c>
      <c r="B5" s="20" t="s">
        <v>2</v>
      </c>
    </row>
    <row r="6" spans="1:2" ht="12">
      <c r="A6" s="20"/>
      <c r="B6" s="20"/>
    </row>
    <row r="7" spans="1:2" ht="12">
      <c r="A7" s="20" t="s">
        <v>34</v>
      </c>
      <c r="B7" s="121" t="s">
        <v>167</v>
      </c>
    </row>
    <row r="8" spans="1:2" ht="12">
      <c r="A8" s="20" t="s">
        <v>63</v>
      </c>
      <c r="B8" s="20" t="s">
        <v>138</v>
      </c>
    </row>
    <row r="9" spans="1:2" ht="12">
      <c r="A9" s="20" t="s">
        <v>3</v>
      </c>
      <c r="B9" s="121" t="s">
        <v>139</v>
      </c>
    </row>
    <row r="11" spans="1:3" ht="12">
      <c r="A11" s="15" t="s">
        <v>140</v>
      </c>
      <c r="B11" s="94" t="s">
        <v>70</v>
      </c>
      <c r="C11" s="132" t="s">
        <v>267</v>
      </c>
    </row>
    <row r="12" spans="1:3" ht="12">
      <c r="A12" s="15" t="s">
        <v>141</v>
      </c>
      <c r="B12" s="133">
        <v>11718391.86</v>
      </c>
      <c r="C12" s="19">
        <f>B12*1.22</f>
        <v>14296438.0692</v>
      </c>
    </row>
    <row r="13" spans="1:3" ht="12">
      <c r="A13" s="15" t="s">
        <v>142</v>
      </c>
      <c r="B13" s="133">
        <v>1125900.12</v>
      </c>
      <c r="C13" s="19">
        <f aca="true" t="shared" si="0" ref="C13:C37">B13*1.22</f>
        <v>1373598.1464000002</v>
      </c>
    </row>
    <row r="14" spans="1:3" ht="12">
      <c r="A14" s="15" t="s">
        <v>143</v>
      </c>
      <c r="B14" s="133">
        <v>99237.01</v>
      </c>
      <c r="C14" s="19">
        <f t="shared" si="0"/>
        <v>121069.1522</v>
      </c>
    </row>
    <row r="15" spans="1:3" ht="12">
      <c r="A15" s="15" t="s">
        <v>144</v>
      </c>
      <c r="B15" s="133">
        <v>180007.57</v>
      </c>
      <c r="C15" s="19">
        <f t="shared" si="0"/>
        <v>219609.2354</v>
      </c>
    </row>
    <row r="16" spans="1:3" ht="12">
      <c r="A16" s="15" t="s">
        <v>145</v>
      </c>
      <c r="B16" s="133">
        <v>2232066.72</v>
      </c>
      <c r="C16" s="19">
        <f t="shared" si="0"/>
        <v>2723121.3984000003</v>
      </c>
    </row>
    <row r="17" spans="1:3" ht="12">
      <c r="A17" s="15" t="s">
        <v>146</v>
      </c>
      <c r="B17" s="133">
        <v>2196592.84</v>
      </c>
      <c r="C17" s="19">
        <f t="shared" si="0"/>
        <v>2679843.2647999995</v>
      </c>
    </row>
    <row r="18" spans="1:3" ht="12">
      <c r="A18" s="15" t="s">
        <v>147</v>
      </c>
      <c r="B18" s="133">
        <v>2187470.63</v>
      </c>
      <c r="C18" s="19">
        <f t="shared" si="0"/>
        <v>2668714.1686</v>
      </c>
    </row>
    <row r="19" spans="1:3" ht="12">
      <c r="A19" s="15" t="s">
        <v>148</v>
      </c>
      <c r="B19" s="133">
        <v>9122.21</v>
      </c>
      <c r="C19" s="19">
        <f t="shared" si="0"/>
        <v>11129.096199999998</v>
      </c>
    </row>
    <row r="20" spans="1:3" ht="12">
      <c r="A20" s="15" t="s">
        <v>149</v>
      </c>
      <c r="B20" s="133">
        <v>485402.15</v>
      </c>
      <c r="C20" s="19">
        <f t="shared" si="0"/>
        <v>592190.623</v>
      </c>
    </row>
    <row r="21" spans="1:3" ht="12">
      <c r="A21" s="15" t="s">
        <v>150</v>
      </c>
      <c r="B21" s="134">
        <v>501220.8</v>
      </c>
      <c r="C21" s="19">
        <f t="shared" si="0"/>
        <v>611489.3759999999</v>
      </c>
    </row>
    <row r="22" spans="1:3" ht="12">
      <c r="A22" s="15" t="s">
        <v>151</v>
      </c>
      <c r="B22" s="134">
        <v>43503.6</v>
      </c>
      <c r="C22" s="19">
        <f t="shared" si="0"/>
        <v>53074.392</v>
      </c>
    </row>
    <row r="23" spans="1:3" ht="12">
      <c r="A23" s="15" t="s">
        <v>152</v>
      </c>
      <c r="B23" s="133">
        <v>4146578.83</v>
      </c>
      <c r="C23" s="19">
        <f t="shared" si="0"/>
        <v>5058826.1726</v>
      </c>
    </row>
    <row r="24" spans="1:3" ht="12">
      <c r="A24" s="15" t="s">
        <v>153</v>
      </c>
      <c r="B24" s="133">
        <v>1712571.55</v>
      </c>
      <c r="C24" s="19">
        <f t="shared" si="0"/>
        <v>2089337.291</v>
      </c>
    </row>
    <row r="25" spans="1:3" ht="12">
      <c r="A25" s="15" t="s">
        <v>154</v>
      </c>
      <c r="B25" s="133">
        <v>1755511.04</v>
      </c>
      <c r="C25" s="19">
        <f t="shared" si="0"/>
        <v>2141723.4688</v>
      </c>
    </row>
    <row r="26" spans="1:3" ht="12">
      <c r="A26" s="15" t="s">
        <v>155</v>
      </c>
      <c r="B26" s="134">
        <v>375848.8</v>
      </c>
      <c r="C26" s="19">
        <f t="shared" si="0"/>
        <v>458535.53599999996</v>
      </c>
    </row>
    <row r="27" spans="1:3" ht="12">
      <c r="A27" s="15" t="s">
        <v>156</v>
      </c>
      <c r="B27" s="133">
        <v>193074.18</v>
      </c>
      <c r="C27" s="19">
        <f t="shared" si="0"/>
        <v>235550.49959999998</v>
      </c>
    </row>
    <row r="28" spans="1:3" ht="12">
      <c r="A28" s="15" t="s">
        <v>157</v>
      </c>
      <c r="B28" s="133">
        <v>109573.27</v>
      </c>
      <c r="C28" s="19">
        <f t="shared" si="0"/>
        <v>133679.38940000001</v>
      </c>
    </row>
    <row r="29" spans="1:3" ht="12">
      <c r="A29" s="15" t="s">
        <v>158</v>
      </c>
      <c r="B29" s="133">
        <v>27778.18</v>
      </c>
      <c r="C29" s="19">
        <f t="shared" si="0"/>
        <v>33889.3796</v>
      </c>
    </row>
    <row r="30" spans="1:3" ht="12">
      <c r="A30" s="15" t="s">
        <v>159</v>
      </c>
      <c r="B30" s="133">
        <v>314335.73</v>
      </c>
      <c r="C30" s="19">
        <f t="shared" si="0"/>
        <v>383489.5906</v>
      </c>
    </row>
    <row r="31" spans="1:3" ht="12">
      <c r="A31" s="15" t="s">
        <v>160</v>
      </c>
      <c r="B31" s="133">
        <v>125856.83</v>
      </c>
      <c r="C31" s="19">
        <f t="shared" si="0"/>
        <v>153545.3326</v>
      </c>
    </row>
    <row r="32" spans="1:3" ht="12">
      <c r="A32" s="15" t="s">
        <v>161</v>
      </c>
      <c r="B32" s="133">
        <v>40549.82</v>
      </c>
      <c r="C32" s="19">
        <f t="shared" si="0"/>
        <v>49470.780399999996</v>
      </c>
    </row>
    <row r="33" spans="1:3" ht="12">
      <c r="A33" s="15" t="s">
        <v>162</v>
      </c>
      <c r="B33" s="133">
        <v>61585.76</v>
      </c>
      <c r="C33" s="19">
        <f t="shared" si="0"/>
        <v>75134.6272</v>
      </c>
    </row>
    <row r="34" spans="1:3" ht="12">
      <c r="A34" s="15" t="s">
        <v>163</v>
      </c>
      <c r="B34" s="133">
        <v>137025.13</v>
      </c>
      <c r="C34" s="19">
        <f t="shared" si="0"/>
        <v>167170.6586</v>
      </c>
    </row>
    <row r="35" spans="1:3" ht="12">
      <c r="A35" s="15" t="s">
        <v>164</v>
      </c>
      <c r="B35" s="133">
        <v>294.33</v>
      </c>
      <c r="C35" s="19">
        <f t="shared" si="0"/>
        <v>359.08259999999996</v>
      </c>
    </row>
    <row r="36" spans="1:3" ht="12">
      <c r="A36" s="15" t="s">
        <v>165</v>
      </c>
      <c r="B36" s="133">
        <v>456.45</v>
      </c>
      <c r="C36" s="19">
        <f t="shared" si="0"/>
        <v>556.869</v>
      </c>
    </row>
    <row r="37" spans="1:3" ht="12">
      <c r="A37" s="15" t="s">
        <v>166</v>
      </c>
      <c r="B37" s="133">
        <v>2742392.54</v>
      </c>
      <c r="C37" s="19">
        <f t="shared" si="0"/>
        <v>3345718.8988</v>
      </c>
    </row>
    <row r="39" ht="12">
      <c r="A39" s="20" t="s">
        <v>82</v>
      </c>
    </row>
    <row r="40" spans="1:2" ht="12">
      <c r="A40" s="20" t="s">
        <v>33</v>
      </c>
      <c r="B40" s="20" t="s">
        <v>83</v>
      </c>
    </row>
    <row r="42" spans="1:2" ht="12">
      <c r="A42" s="20" t="s">
        <v>34</v>
      </c>
      <c r="B42" s="121" t="s">
        <v>264</v>
      </c>
    </row>
    <row r="43" spans="1:2" ht="12">
      <c r="A43" s="20" t="s">
        <v>63</v>
      </c>
      <c r="B43" s="20" t="s">
        <v>138</v>
      </c>
    </row>
    <row r="44" spans="1:2" ht="12">
      <c r="A44" s="20" t="s">
        <v>3</v>
      </c>
      <c r="B44" s="121" t="s">
        <v>139</v>
      </c>
    </row>
    <row r="46" spans="1:3" ht="12">
      <c r="A46" s="15" t="s">
        <v>140</v>
      </c>
      <c r="B46" s="94" t="s">
        <v>70</v>
      </c>
      <c r="C46" s="132" t="s">
        <v>268</v>
      </c>
    </row>
    <row r="47" spans="1:3" ht="12">
      <c r="A47" s="15" t="s">
        <v>141</v>
      </c>
      <c r="B47" s="23">
        <v>16512691.37</v>
      </c>
      <c r="C47" s="135">
        <f>B47*0.11</f>
        <v>1816396.0507</v>
      </c>
    </row>
    <row r="48" spans="1:3" ht="12">
      <c r="A48" s="15" t="s">
        <v>142</v>
      </c>
      <c r="B48" s="23">
        <v>3176986.23</v>
      </c>
      <c r="C48" s="23">
        <f aca="true" t="shared" si="1" ref="C48:C72">B48*0.11</f>
        <v>349468.4853</v>
      </c>
    </row>
    <row r="49" spans="1:3" ht="12">
      <c r="A49" s="15" t="s">
        <v>143</v>
      </c>
      <c r="B49" s="23">
        <v>39982.92</v>
      </c>
      <c r="C49" s="23">
        <f t="shared" si="1"/>
        <v>4398.1212</v>
      </c>
    </row>
    <row r="50" spans="1:3" ht="12">
      <c r="A50" s="15" t="s">
        <v>144</v>
      </c>
      <c r="B50" s="23">
        <v>83479.98</v>
      </c>
      <c r="C50" s="23">
        <f t="shared" si="1"/>
        <v>9182.7978</v>
      </c>
    </row>
    <row r="51" spans="1:3" ht="12">
      <c r="A51" s="15" t="s">
        <v>145</v>
      </c>
      <c r="B51" s="23">
        <v>7674808.86</v>
      </c>
      <c r="C51" s="23">
        <f t="shared" si="1"/>
        <v>844228.9746000001</v>
      </c>
    </row>
    <row r="52" spans="1:3" ht="12">
      <c r="A52" s="15" t="s">
        <v>146</v>
      </c>
      <c r="B52" s="23">
        <v>804844.48</v>
      </c>
      <c r="C52" s="23">
        <f t="shared" si="1"/>
        <v>88532.8928</v>
      </c>
    </row>
    <row r="53" spans="1:3" ht="12">
      <c r="A53" s="15" t="s">
        <v>147</v>
      </c>
      <c r="B53" s="23">
        <v>787418.59</v>
      </c>
      <c r="C53" s="23">
        <f t="shared" si="1"/>
        <v>86616.0449</v>
      </c>
    </row>
    <row r="54" spans="1:3" ht="12">
      <c r="A54" s="15" t="s">
        <v>148</v>
      </c>
      <c r="B54" s="127">
        <v>17425.9</v>
      </c>
      <c r="C54" s="23">
        <f t="shared" si="1"/>
        <v>1916.8490000000002</v>
      </c>
    </row>
    <row r="55" spans="1:3" ht="12">
      <c r="A55" s="15" t="s">
        <v>149</v>
      </c>
      <c r="B55" s="127">
        <v>514862.7</v>
      </c>
      <c r="C55" s="23">
        <f t="shared" si="1"/>
        <v>56634.897000000004</v>
      </c>
    </row>
    <row r="56" spans="1:3" ht="12">
      <c r="A56" s="15" t="s">
        <v>150</v>
      </c>
      <c r="B56" s="23">
        <v>847999.99</v>
      </c>
      <c r="C56" s="23">
        <f t="shared" si="1"/>
        <v>93279.9989</v>
      </c>
    </row>
    <row r="57" spans="1:3" ht="12">
      <c r="A57" s="15" t="s">
        <v>151</v>
      </c>
      <c r="B57" s="23">
        <v>68247.38</v>
      </c>
      <c r="C57" s="23">
        <f t="shared" si="1"/>
        <v>7507.211800000001</v>
      </c>
    </row>
    <row r="58" spans="1:3" ht="12">
      <c r="A58" s="15" t="s">
        <v>152</v>
      </c>
      <c r="B58" s="23">
        <v>1956587.45</v>
      </c>
      <c r="C58" s="23">
        <f t="shared" si="1"/>
        <v>215224.6195</v>
      </c>
    </row>
    <row r="59" spans="1:3" ht="12">
      <c r="A59" s="15" t="s">
        <v>153</v>
      </c>
      <c r="B59" s="23">
        <v>1227744.73</v>
      </c>
      <c r="C59" s="23">
        <f t="shared" si="1"/>
        <v>135051.9203</v>
      </c>
    </row>
    <row r="60" spans="1:3" ht="12">
      <c r="A60" s="15" t="s">
        <v>154</v>
      </c>
      <c r="B60" s="23">
        <v>273319.25</v>
      </c>
      <c r="C60" s="23">
        <f t="shared" si="1"/>
        <v>30065.1175</v>
      </c>
    </row>
    <row r="61" spans="1:3" ht="12">
      <c r="A61" s="15" t="s">
        <v>155</v>
      </c>
      <c r="B61" s="23">
        <v>250788.26</v>
      </c>
      <c r="C61" s="23">
        <f t="shared" si="1"/>
        <v>27586.7086</v>
      </c>
    </row>
    <row r="62" spans="1:3" ht="12">
      <c r="A62" s="15" t="s">
        <v>156</v>
      </c>
      <c r="B62" s="23">
        <v>103836.54</v>
      </c>
      <c r="C62" s="23">
        <f t="shared" si="1"/>
        <v>11422.0194</v>
      </c>
    </row>
    <row r="63" spans="1:3" ht="12">
      <c r="A63" s="15" t="s">
        <v>157</v>
      </c>
      <c r="B63" s="23">
        <v>100898.68</v>
      </c>
      <c r="C63" s="23">
        <f t="shared" si="1"/>
        <v>11098.8548</v>
      </c>
    </row>
    <row r="64" spans="1:3" ht="12">
      <c r="A64" s="15" t="s">
        <v>158</v>
      </c>
      <c r="B64" s="23">
        <v>110545.01</v>
      </c>
      <c r="C64" s="23">
        <f t="shared" si="1"/>
        <v>12159.9511</v>
      </c>
    </row>
    <row r="65" spans="1:3" ht="12">
      <c r="A65" s="15" t="s">
        <v>159</v>
      </c>
      <c r="B65" s="127">
        <v>486973.7</v>
      </c>
      <c r="C65" s="23">
        <f t="shared" si="1"/>
        <v>53567.107</v>
      </c>
    </row>
    <row r="66" spans="1:3" ht="12">
      <c r="A66" s="15" t="s">
        <v>160</v>
      </c>
      <c r="B66" s="23">
        <v>312763.52</v>
      </c>
      <c r="C66" s="23">
        <f t="shared" si="1"/>
        <v>34403.9872</v>
      </c>
    </row>
    <row r="67" spans="1:3" ht="12">
      <c r="A67" s="15" t="s">
        <v>161</v>
      </c>
      <c r="B67" s="23">
        <v>71951.63</v>
      </c>
      <c r="C67" s="23">
        <f t="shared" si="1"/>
        <v>7914.679300000001</v>
      </c>
    </row>
    <row r="68" spans="1:3" ht="12">
      <c r="A68" s="15" t="s">
        <v>162</v>
      </c>
      <c r="B68" s="23">
        <v>105821.94</v>
      </c>
      <c r="C68" s="23">
        <f t="shared" si="1"/>
        <v>11640.4134</v>
      </c>
    </row>
    <row r="69" spans="1:3" ht="12">
      <c r="A69" s="15" t="s">
        <v>163</v>
      </c>
      <c r="B69" s="23">
        <v>210346.69</v>
      </c>
      <c r="C69" s="23">
        <f t="shared" si="1"/>
        <v>23138.1359</v>
      </c>
    </row>
    <row r="70" spans="1:3" ht="12">
      <c r="A70" s="15" t="s">
        <v>164</v>
      </c>
      <c r="B70" s="23">
        <v>46325.79</v>
      </c>
      <c r="C70" s="23">
        <f t="shared" si="1"/>
        <v>5095.8369</v>
      </c>
    </row>
    <row r="71" spans="1:3" ht="12">
      <c r="A71" s="15" t="s">
        <v>165</v>
      </c>
      <c r="B71" s="127">
        <v>163.1</v>
      </c>
      <c r="C71" s="23">
        <f t="shared" si="1"/>
        <v>17.941</v>
      </c>
    </row>
    <row r="72" spans="1:3" ht="12">
      <c r="A72" s="15" t="s">
        <v>166</v>
      </c>
      <c r="B72" s="23">
        <v>23038252.52</v>
      </c>
      <c r="C72" s="23">
        <f t="shared" si="1"/>
        <v>2534207.7772</v>
      </c>
    </row>
    <row r="74" ht="12">
      <c r="A74" s="20" t="s">
        <v>82</v>
      </c>
    </row>
    <row r="75" spans="1:2" ht="12">
      <c r="A75" s="20" t="s">
        <v>33</v>
      </c>
      <c r="B75" s="20" t="s">
        <v>83</v>
      </c>
    </row>
    <row r="77" spans="1:2" ht="12">
      <c r="A77" s="20" t="s">
        <v>34</v>
      </c>
      <c r="B77" s="121" t="s">
        <v>265</v>
      </c>
    </row>
    <row r="78" spans="1:2" ht="12">
      <c r="A78" s="20" t="s">
        <v>63</v>
      </c>
      <c r="B78" s="20" t="s">
        <v>138</v>
      </c>
    </row>
    <row r="79" spans="1:2" ht="12">
      <c r="A79" s="20" t="s">
        <v>3</v>
      </c>
      <c r="B79" s="121" t="s">
        <v>139</v>
      </c>
    </row>
    <row r="81" spans="1:2" ht="12">
      <c r="A81" s="15" t="s">
        <v>140</v>
      </c>
      <c r="B81" s="15" t="s">
        <v>70</v>
      </c>
    </row>
    <row r="82" spans="1:2" ht="12">
      <c r="A82" s="15" t="s">
        <v>141</v>
      </c>
      <c r="B82" s="23">
        <v>8162316.77</v>
      </c>
    </row>
    <row r="83" spans="1:2" ht="12">
      <c r="A83" s="15" t="s">
        <v>142</v>
      </c>
      <c r="B83" s="23">
        <v>2067943.34</v>
      </c>
    </row>
    <row r="84" spans="1:2" ht="12">
      <c r="A84" s="15" t="s">
        <v>143</v>
      </c>
      <c r="B84" s="23">
        <v>8497.31</v>
      </c>
    </row>
    <row r="85" spans="1:2" ht="12">
      <c r="A85" s="15" t="s">
        <v>144</v>
      </c>
      <c r="B85" s="23">
        <v>361470.21</v>
      </c>
    </row>
    <row r="86" spans="1:2" ht="12">
      <c r="A86" s="15" t="s">
        <v>145</v>
      </c>
      <c r="B86" s="23">
        <v>3427367.75</v>
      </c>
    </row>
    <row r="87" spans="1:2" ht="12">
      <c r="A87" s="15" t="s">
        <v>146</v>
      </c>
      <c r="B87" s="23">
        <v>219425.58</v>
      </c>
    </row>
    <row r="88" spans="1:2" ht="12">
      <c r="A88" s="15" t="s">
        <v>147</v>
      </c>
      <c r="B88" s="23">
        <v>213633.54</v>
      </c>
    </row>
    <row r="89" spans="1:2" ht="12">
      <c r="A89" s="15" t="s">
        <v>148</v>
      </c>
      <c r="B89" s="23">
        <v>5792.04</v>
      </c>
    </row>
    <row r="90" spans="1:2" ht="12">
      <c r="A90" s="15" t="s">
        <v>149</v>
      </c>
      <c r="B90" s="23">
        <v>598231.97</v>
      </c>
    </row>
    <row r="91" spans="1:2" ht="12">
      <c r="A91" s="15" t="s">
        <v>150</v>
      </c>
      <c r="B91" s="23">
        <v>425443.88</v>
      </c>
    </row>
    <row r="92" spans="1:2" ht="12">
      <c r="A92" s="15" t="s">
        <v>151</v>
      </c>
      <c r="B92" s="23">
        <v>14358.48</v>
      </c>
    </row>
    <row r="93" spans="1:2" ht="12">
      <c r="A93" s="15" t="s">
        <v>152</v>
      </c>
      <c r="B93" s="23">
        <v>590129.19</v>
      </c>
    </row>
    <row r="94" spans="1:2" ht="12">
      <c r="A94" s="15" t="s">
        <v>153</v>
      </c>
      <c r="B94" s="23">
        <v>342999.95</v>
      </c>
    </row>
    <row r="95" spans="1:2" ht="12">
      <c r="A95" s="15" t="s">
        <v>154</v>
      </c>
      <c r="B95" s="23">
        <v>94626.79</v>
      </c>
    </row>
    <row r="96" spans="1:2" ht="12">
      <c r="A96" s="15" t="s">
        <v>155</v>
      </c>
      <c r="B96" s="23">
        <v>50698.52</v>
      </c>
    </row>
    <row r="97" spans="1:2" ht="12">
      <c r="A97" s="15" t="s">
        <v>156</v>
      </c>
      <c r="B97" s="23">
        <v>81802.54</v>
      </c>
    </row>
    <row r="98" spans="1:2" ht="12">
      <c r="A98" s="15" t="s">
        <v>157</v>
      </c>
      <c r="B98" s="127">
        <v>20001.4</v>
      </c>
    </row>
    <row r="99" spans="1:2" ht="12">
      <c r="A99" s="15" t="s">
        <v>158</v>
      </c>
      <c r="B99" s="23">
        <v>15249.55</v>
      </c>
    </row>
    <row r="100" spans="1:2" ht="12">
      <c r="A100" s="15" t="s">
        <v>159</v>
      </c>
      <c r="B100" s="23">
        <v>117364.76</v>
      </c>
    </row>
    <row r="101" spans="1:2" ht="12">
      <c r="A101" s="15" t="s">
        <v>160</v>
      </c>
      <c r="B101" s="23">
        <v>46798.23</v>
      </c>
    </row>
    <row r="102" spans="1:2" ht="12">
      <c r="A102" s="15" t="s">
        <v>161</v>
      </c>
      <c r="B102" s="23">
        <v>23227.33</v>
      </c>
    </row>
    <row r="103" spans="1:2" ht="12">
      <c r="A103" s="15" t="s">
        <v>162</v>
      </c>
      <c r="B103" s="23">
        <v>42576.82</v>
      </c>
    </row>
    <row r="104" spans="1:2" ht="12">
      <c r="A104" s="15" t="s">
        <v>163</v>
      </c>
      <c r="B104" s="23">
        <v>194486.19</v>
      </c>
    </row>
    <row r="105" spans="1:2" ht="12">
      <c r="A105" s="15" t="s">
        <v>164</v>
      </c>
      <c r="B105" s="23">
        <v>9700.06</v>
      </c>
    </row>
    <row r="106" spans="1:2" ht="12">
      <c r="A106" s="15" t="s">
        <v>165</v>
      </c>
      <c r="B106" s="23">
        <v>46.16</v>
      </c>
    </row>
    <row r="107" spans="1:2" ht="12">
      <c r="A107" s="15" t="s">
        <v>166</v>
      </c>
      <c r="B107" s="23">
        <v>4435422.62</v>
      </c>
    </row>
    <row r="109" ht="12">
      <c r="A109" s="20" t="s">
        <v>82</v>
      </c>
    </row>
    <row r="110" spans="1:2" ht="12">
      <c r="A110" s="20" t="s">
        <v>33</v>
      </c>
      <c r="B110" s="20" t="s">
        <v>83</v>
      </c>
    </row>
    <row r="112" spans="1:2" ht="12">
      <c r="A112" s="20" t="s">
        <v>34</v>
      </c>
      <c r="B112" s="121" t="s">
        <v>266</v>
      </c>
    </row>
    <row r="113" spans="1:2" ht="12">
      <c r="A113" s="20" t="s">
        <v>63</v>
      </c>
      <c r="B113" s="20" t="s">
        <v>138</v>
      </c>
    </row>
    <row r="114" spans="1:2" ht="12">
      <c r="A114" s="20" t="s">
        <v>3</v>
      </c>
      <c r="B114" s="121" t="s">
        <v>139</v>
      </c>
    </row>
    <row r="116" spans="1:3" ht="12">
      <c r="A116" s="15" t="s">
        <v>140</v>
      </c>
      <c r="B116" s="15" t="s">
        <v>70</v>
      </c>
      <c r="C116" s="136" t="s">
        <v>269</v>
      </c>
    </row>
    <row r="117" spans="1:3" ht="12">
      <c r="A117" s="15" t="s">
        <v>141</v>
      </c>
      <c r="B117" s="23">
        <v>21809633.87</v>
      </c>
      <c r="C117" s="23">
        <f>B117*0.014</f>
        <v>305334.87418000004</v>
      </c>
    </row>
    <row r="118" spans="1:3" ht="12">
      <c r="A118" s="15" t="s">
        <v>142</v>
      </c>
      <c r="B118" s="23">
        <v>10119049.17</v>
      </c>
      <c r="C118" s="23">
        <f aca="true" t="shared" si="2" ref="C118:C142">B118*0.014</f>
        <v>141666.68838</v>
      </c>
    </row>
    <row r="119" spans="1:3" ht="12">
      <c r="A119" s="15" t="s">
        <v>143</v>
      </c>
      <c r="B119" s="23">
        <v>503.85</v>
      </c>
      <c r="C119" s="23">
        <f t="shared" si="2"/>
        <v>7.0539000000000005</v>
      </c>
    </row>
    <row r="120" spans="1:3" ht="12">
      <c r="A120" s="15" t="s">
        <v>144</v>
      </c>
      <c r="B120" s="23">
        <v>2547470.98</v>
      </c>
      <c r="C120" s="23">
        <f t="shared" si="2"/>
        <v>35664.59372</v>
      </c>
    </row>
    <row r="121" spans="1:3" ht="12">
      <c r="A121" s="15" t="s">
        <v>145</v>
      </c>
      <c r="B121" s="23">
        <v>929026.76</v>
      </c>
      <c r="C121" s="23">
        <f t="shared" si="2"/>
        <v>13006.37464</v>
      </c>
    </row>
    <row r="122" spans="1:3" ht="12">
      <c r="A122" s="15" t="s">
        <v>146</v>
      </c>
      <c r="B122" s="23">
        <v>1022978.41</v>
      </c>
      <c r="C122" s="23">
        <f t="shared" si="2"/>
        <v>14321.697740000001</v>
      </c>
    </row>
    <row r="123" spans="1:3" ht="12">
      <c r="A123" s="15" t="s">
        <v>147</v>
      </c>
      <c r="B123" s="23">
        <v>970038.33</v>
      </c>
      <c r="C123" s="23">
        <f t="shared" si="2"/>
        <v>13580.536619999999</v>
      </c>
    </row>
    <row r="124" spans="1:3" ht="12">
      <c r="A124" s="15" t="s">
        <v>148</v>
      </c>
      <c r="B124" s="23">
        <v>52940.08</v>
      </c>
      <c r="C124" s="23">
        <f t="shared" si="2"/>
        <v>741.1611200000001</v>
      </c>
    </row>
    <row r="125" spans="1:3" ht="12">
      <c r="A125" s="15" t="s">
        <v>149</v>
      </c>
      <c r="B125" s="23">
        <v>8039.64</v>
      </c>
      <c r="C125" s="23">
        <f t="shared" si="2"/>
        <v>112.55496000000001</v>
      </c>
    </row>
    <row r="126" spans="1:3" ht="12">
      <c r="A126" s="15" t="s">
        <v>150</v>
      </c>
      <c r="B126" s="127">
        <v>69316.1</v>
      </c>
      <c r="C126" s="23">
        <f t="shared" si="2"/>
        <v>970.4254000000001</v>
      </c>
    </row>
    <row r="127" spans="1:3" ht="12">
      <c r="A127" s="15" t="s">
        <v>151</v>
      </c>
      <c r="B127" s="23">
        <v>3855.74</v>
      </c>
      <c r="C127" s="23">
        <f t="shared" si="2"/>
        <v>53.98036</v>
      </c>
    </row>
    <row r="128" spans="1:3" ht="12">
      <c r="A128" s="15" t="s">
        <v>152</v>
      </c>
      <c r="B128" s="23">
        <v>117014.08</v>
      </c>
      <c r="C128" s="23">
        <f t="shared" si="2"/>
        <v>1638.19712</v>
      </c>
    </row>
    <row r="129" spans="1:3" ht="12">
      <c r="A129" s="15" t="s">
        <v>153</v>
      </c>
      <c r="B129" s="23">
        <v>96103.62</v>
      </c>
      <c r="C129" s="23">
        <f t="shared" si="2"/>
        <v>1345.45068</v>
      </c>
    </row>
    <row r="130" spans="1:3" ht="12">
      <c r="A130" s="15" t="s">
        <v>154</v>
      </c>
      <c r="B130" s="23">
        <v>3490.43</v>
      </c>
      <c r="C130" s="23">
        <f t="shared" si="2"/>
        <v>48.86602</v>
      </c>
    </row>
    <row r="131" spans="1:3" ht="12">
      <c r="A131" s="15" t="s">
        <v>155</v>
      </c>
      <c r="B131" s="127">
        <v>2154.1</v>
      </c>
      <c r="C131" s="23">
        <f t="shared" si="2"/>
        <v>30.1574</v>
      </c>
    </row>
    <row r="132" spans="1:3" ht="12">
      <c r="A132" s="15" t="s">
        <v>156</v>
      </c>
      <c r="B132" s="23">
        <v>14200.17</v>
      </c>
      <c r="C132" s="23">
        <f t="shared" si="2"/>
        <v>198.80238</v>
      </c>
    </row>
    <row r="133" spans="1:3" ht="12">
      <c r="A133" s="15" t="s">
        <v>157</v>
      </c>
      <c r="B133" s="23">
        <v>1065.75</v>
      </c>
      <c r="C133" s="23">
        <f t="shared" si="2"/>
        <v>14.9205</v>
      </c>
    </row>
    <row r="134" spans="1:3" ht="12">
      <c r="A134" s="15" t="s">
        <v>158</v>
      </c>
      <c r="B134" s="23">
        <v>1680.69</v>
      </c>
      <c r="C134" s="23">
        <f t="shared" si="2"/>
        <v>23.52966</v>
      </c>
    </row>
    <row r="135" spans="1:3" ht="12">
      <c r="A135" s="15" t="s">
        <v>159</v>
      </c>
      <c r="B135" s="23">
        <v>9115.19</v>
      </c>
      <c r="C135" s="23">
        <f t="shared" si="2"/>
        <v>127.61266</v>
      </c>
    </row>
    <row r="136" spans="1:3" ht="12">
      <c r="A136" s="15" t="s">
        <v>160</v>
      </c>
      <c r="B136" s="127">
        <v>21523.9</v>
      </c>
      <c r="C136" s="23">
        <f t="shared" si="2"/>
        <v>301.3346</v>
      </c>
    </row>
    <row r="137" spans="1:3" ht="12">
      <c r="A137" s="15" t="s">
        <v>161</v>
      </c>
      <c r="B137" s="23">
        <v>5249.22</v>
      </c>
      <c r="C137" s="23">
        <f t="shared" si="2"/>
        <v>73.48908</v>
      </c>
    </row>
    <row r="138" spans="1:3" ht="12">
      <c r="A138" s="15" t="s">
        <v>162</v>
      </c>
      <c r="B138" s="23">
        <v>6882.68</v>
      </c>
      <c r="C138" s="23">
        <f t="shared" si="2"/>
        <v>96.35752000000001</v>
      </c>
    </row>
    <row r="139" spans="1:3" ht="12">
      <c r="A139" s="15" t="s">
        <v>163</v>
      </c>
      <c r="B139" s="23">
        <v>6947732.52</v>
      </c>
      <c r="C139" s="23">
        <f t="shared" si="2"/>
        <v>97268.25528</v>
      </c>
    </row>
    <row r="140" spans="1:3" ht="12">
      <c r="A140" s="15" t="s">
        <v>164</v>
      </c>
      <c r="B140" s="23">
        <v>151.15</v>
      </c>
      <c r="C140" s="23">
        <f t="shared" si="2"/>
        <v>2.1161000000000003</v>
      </c>
    </row>
    <row r="141" spans="1:3" ht="12">
      <c r="A141" s="15" t="s">
        <v>165</v>
      </c>
      <c r="B141" s="127">
        <v>43.8</v>
      </c>
      <c r="C141" s="23">
        <f t="shared" si="2"/>
        <v>0.6132</v>
      </c>
    </row>
    <row r="142" spans="1:3" ht="12">
      <c r="A142" s="15" t="s">
        <v>166</v>
      </c>
      <c r="B142" s="23">
        <v>698968.66</v>
      </c>
      <c r="C142" s="23">
        <f t="shared" si="2"/>
        <v>9785.56124</v>
      </c>
    </row>
    <row r="144" ht="12">
      <c r="A144" s="20" t="s">
        <v>82</v>
      </c>
    </row>
    <row r="145" spans="1:2" ht="12">
      <c r="A145" s="20" t="s">
        <v>33</v>
      </c>
      <c r="B145" s="20" t="s">
        <v>83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82">
      <selection activeCell="C92" sqref="C92"/>
    </sheetView>
  </sheetViews>
  <sheetFormatPr defaultColWidth="9.00390625" defaultRowHeight="14.25"/>
  <cols>
    <col min="1" max="1" width="30.75390625" style="138" customWidth="1"/>
    <col min="2" max="2" width="15.875" style="138" customWidth="1"/>
    <col min="3" max="3" width="17.375" style="138" customWidth="1"/>
    <col min="4" max="16384" width="9.00390625" style="138" customWidth="1"/>
  </cols>
  <sheetData>
    <row r="1" ht="12">
      <c r="A1" s="137" t="s">
        <v>169</v>
      </c>
    </row>
    <row r="3" spans="1:2" ht="12">
      <c r="A3" s="139" t="s">
        <v>0</v>
      </c>
      <c r="B3" s="140">
        <v>41710.49328703704</v>
      </c>
    </row>
    <row r="4" spans="1:2" ht="12">
      <c r="A4" s="139" t="s">
        <v>1</v>
      </c>
      <c r="B4" s="140">
        <v>41733.37419381944</v>
      </c>
    </row>
    <row r="5" spans="1:2" ht="12">
      <c r="A5" s="139" t="s">
        <v>48</v>
      </c>
      <c r="B5" s="139" t="s">
        <v>2</v>
      </c>
    </row>
    <row r="6" spans="1:2" ht="12">
      <c r="A6" s="139"/>
      <c r="B6" s="139"/>
    </row>
    <row r="7" spans="1:2" ht="12">
      <c r="A7" s="20" t="s">
        <v>34</v>
      </c>
      <c r="B7" s="121" t="s">
        <v>67</v>
      </c>
    </row>
    <row r="8" spans="1:2" ht="12">
      <c r="A8" s="20" t="s">
        <v>63</v>
      </c>
      <c r="B8" s="20" t="s">
        <v>64</v>
      </c>
    </row>
    <row r="9" spans="1:2" ht="12">
      <c r="A9" s="20" t="s">
        <v>3</v>
      </c>
      <c r="B9" s="121" t="s">
        <v>4</v>
      </c>
    </row>
    <row r="10" spans="1:2" ht="12">
      <c r="A10" s="3"/>
      <c r="B10" s="3"/>
    </row>
    <row r="11" spans="1:3" ht="12">
      <c r="A11" s="141" t="s">
        <v>170</v>
      </c>
      <c r="B11" s="15" t="s">
        <v>171</v>
      </c>
      <c r="C11" s="136" t="s">
        <v>267</v>
      </c>
    </row>
    <row r="12" spans="1:3" ht="12">
      <c r="A12" s="141" t="s">
        <v>172</v>
      </c>
      <c r="B12" s="23">
        <v>9543162.94</v>
      </c>
      <c r="C12" s="23">
        <f>B12*1.22</f>
        <v>11642658.786799999</v>
      </c>
    </row>
    <row r="13" spans="1:3" ht="12">
      <c r="A13" s="141" t="s">
        <v>173</v>
      </c>
      <c r="B13" s="23">
        <v>1029448.33</v>
      </c>
      <c r="C13" s="23">
        <f aca="true" t="shared" si="0" ref="C13:C39">B13*1.22</f>
        <v>1255926.9626</v>
      </c>
    </row>
    <row r="14" spans="1:3" ht="12">
      <c r="A14" s="141" t="s">
        <v>174</v>
      </c>
      <c r="B14" s="23">
        <v>132484.53</v>
      </c>
      <c r="C14" s="23">
        <f t="shared" si="0"/>
        <v>161631.1266</v>
      </c>
    </row>
    <row r="15" spans="1:4" ht="12">
      <c r="A15" s="141" t="s">
        <v>175</v>
      </c>
      <c r="B15" s="23">
        <v>1482094.95</v>
      </c>
      <c r="C15" s="23">
        <f t="shared" si="0"/>
        <v>1808155.839</v>
      </c>
      <c r="D15" s="142"/>
    </row>
    <row r="16" spans="1:3" ht="12">
      <c r="A16" s="141" t="s">
        <v>176</v>
      </c>
      <c r="B16" s="23">
        <v>1629299.13</v>
      </c>
      <c r="C16" s="23">
        <f t="shared" si="0"/>
        <v>1987744.9385999998</v>
      </c>
    </row>
    <row r="17" spans="1:3" ht="12">
      <c r="A17" s="141" t="s">
        <v>177</v>
      </c>
      <c r="B17" s="127">
        <v>123143.1</v>
      </c>
      <c r="C17" s="23">
        <f t="shared" si="0"/>
        <v>150234.582</v>
      </c>
    </row>
    <row r="18" spans="1:3" ht="12">
      <c r="A18" s="141" t="s">
        <v>149</v>
      </c>
      <c r="B18" s="23">
        <v>278949.39</v>
      </c>
      <c r="C18" s="23">
        <f t="shared" si="0"/>
        <v>340318.2558</v>
      </c>
    </row>
    <row r="19" spans="1:3" ht="12">
      <c r="A19" s="141" t="s">
        <v>178</v>
      </c>
      <c r="B19" s="23">
        <v>321679.04</v>
      </c>
      <c r="C19" s="23">
        <f t="shared" si="0"/>
        <v>392448.4288</v>
      </c>
    </row>
    <row r="20" spans="1:3" ht="12">
      <c r="A20" s="141" t="s">
        <v>179</v>
      </c>
      <c r="B20" s="23">
        <v>4028752.08</v>
      </c>
      <c r="C20" s="23">
        <f t="shared" si="0"/>
        <v>4915077.5376</v>
      </c>
    </row>
    <row r="21" spans="1:3" ht="12">
      <c r="A21" s="141" t="s">
        <v>180</v>
      </c>
      <c r="B21" s="23">
        <v>1279896.69</v>
      </c>
      <c r="C21" s="23">
        <f t="shared" si="0"/>
        <v>1561473.9618</v>
      </c>
    </row>
    <row r="22" spans="1:3" ht="12">
      <c r="A22" s="141" t="s">
        <v>181</v>
      </c>
      <c r="B22" s="23">
        <v>2304407.77</v>
      </c>
      <c r="C22" s="23">
        <f t="shared" si="0"/>
        <v>2811377.4794</v>
      </c>
    </row>
    <row r="23" spans="1:3" ht="12">
      <c r="A23" s="141" t="s">
        <v>182</v>
      </c>
      <c r="B23" s="23">
        <v>337638.79</v>
      </c>
      <c r="C23" s="23">
        <f t="shared" si="0"/>
        <v>411919.32379999995</v>
      </c>
    </row>
    <row r="24" spans="1:3" ht="12">
      <c r="A24" s="141" t="s">
        <v>183</v>
      </c>
      <c r="B24" s="23">
        <v>84395.84</v>
      </c>
      <c r="C24" s="23">
        <f t="shared" si="0"/>
        <v>102962.9248</v>
      </c>
    </row>
    <row r="25" spans="1:3" ht="12">
      <c r="A25" s="141" t="s">
        <v>184</v>
      </c>
      <c r="B25" s="23">
        <v>22503.89</v>
      </c>
      <c r="C25" s="23">
        <f t="shared" si="0"/>
        <v>27454.745799999997</v>
      </c>
    </row>
    <row r="26" spans="1:3" ht="12">
      <c r="A26" s="141" t="s">
        <v>185</v>
      </c>
      <c r="B26" s="23">
        <v>35448.68</v>
      </c>
      <c r="C26" s="23">
        <f t="shared" si="0"/>
        <v>43247.3896</v>
      </c>
    </row>
    <row r="27" spans="1:3" ht="12">
      <c r="A27" s="141" t="s">
        <v>186</v>
      </c>
      <c r="B27" s="23">
        <v>38642.64</v>
      </c>
      <c r="C27" s="23">
        <f t="shared" si="0"/>
        <v>47144.0208</v>
      </c>
    </row>
    <row r="28" spans="1:3" ht="12">
      <c r="A28" s="141" t="s">
        <v>187</v>
      </c>
      <c r="B28" s="23">
        <v>21863.57</v>
      </c>
      <c r="C28" s="23">
        <f t="shared" si="0"/>
        <v>26673.555399999997</v>
      </c>
    </row>
    <row r="29" spans="1:3" ht="12">
      <c r="A29" s="141" t="s">
        <v>188</v>
      </c>
      <c r="B29" s="23">
        <v>17049.97</v>
      </c>
      <c r="C29" s="23">
        <f t="shared" si="0"/>
        <v>20800.9634</v>
      </c>
    </row>
    <row r="30" spans="1:3" ht="12">
      <c r="A30" s="141" t="s">
        <v>189</v>
      </c>
      <c r="B30" s="23">
        <v>67737.61</v>
      </c>
      <c r="C30" s="23">
        <f t="shared" si="0"/>
        <v>82639.8842</v>
      </c>
    </row>
    <row r="31" spans="1:3" ht="12">
      <c r="A31" s="141" t="s">
        <v>190</v>
      </c>
      <c r="B31" s="23">
        <v>73977.57</v>
      </c>
      <c r="C31" s="23">
        <f t="shared" si="0"/>
        <v>90252.63540000001</v>
      </c>
    </row>
    <row r="32" spans="1:3" ht="12">
      <c r="A32" s="141" t="s">
        <v>191</v>
      </c>
      <c r="B32" s="23">
        <v>109607.89</v>
      </c>
      <c r="C32" s="23">
        <f t="shared" si="0"/>
        <v>133721.6258</v>
      </c>
    </row>
    <row r="33" spans="1:3" ht="12">
      <c r="A33" s="141" t="s">
        <v>192</v>
      </c>
      <c r="B33" s="23">
        <v>46413.42</v>
      </c>
      <c r="C33" s="23">
        <f t="shared" si="0"/>
        <v>56624.3724</v>
      </c>
    </row>
    <row r="34" spans="1:3" ht="12">
      <c r="A34" s="141" t="s">
        <v>193</v>
      </c>
      <c r="B34" s="23">
        <v>54298.55</v>
      </c>
      <c r="C34" s="23">
        <f t="shared" si="0"/>
        <v>66244.231</v>
      </c>
    </row>
    <row r="35" spans="1:3" ht="12">
      <c r="A35" s="141" t="s">
        <v>194</v>
      </c>
      <c r="B35" s="23">
        <v>18006.16</v>
      </c>
      <c r="C35" s="23">
        <f t="shared" si="0"/>
        <v>21967.515199999998</v>
      </c>
    </row>
    <row r="36" spans="1:3" ht="12">
      <c r="A36" s="141" t="s">
        <v>195</v>
      </c>
      <c r="B36" s="23">
        <v>33482.48</v>
      </c>
      <c r="C36" s="23">
        <f t="shared" si="0"/>
        <v>40848.6256</v>
      </c>
    </row>
    <row r="37" spans="1:3" ht="12">
      <c r="A37" s="141" t="s">
        <v>196</v>
      </c>
      <c r="B37" s="23">
        <v>770.31</v>
      </c>
      <c r="C37" s="23">
        <f t="shared" si="0"/>
        <v>939.7781999999999</v>
      </c>
    </row>
    <row r="38" spans="1:3" ht="12">
      <c r="A38" s="141" t="s">
        <v>197</v>
      </c>
      <c r="B38" s="23">
        <v>13.53</v>
      </c>
      <c r="C38" s="23">
        <f t="shared" si="0"/>
        <v>16.5066</v>
      </c>
    </row>
    <row r="39" spans="1:3" ht="12">
      <c r="A39" s="141" t="s">
        <v>166</v>
      </c>
      <c r="B39" s="23">
        <v>1664583.55</v>
      </c>
      <c r="C39" s="23">
        <f t="shared" si="0"/>
        <v>2030791.931</v>
      </c>
    </row>
    <row r="40" spans="1:2" ht="12">
      <c r="A40" s="3"/>
      <c r="B40" s="3"/>
    </row>
    <row r="41" spans="1:2" ht="12">
      <c r="A41" s="20" t="s">
        <v>82</v>
      </c>
      <c r="B41" s="3"/>
    </row>
    <row r="42" spans="1:2" ht="12">
      <c r="A42" s="20" t="s">
        <v>33</v>
      </c>
      <c r="B42" s="20" t="s">
        <v>83</v>
      </c>
    </row>
    <row r="43" spans="1:2" ht="12">
      <c r="A43" s="3"/>
      <c r="B43" s="3"/>
    </row>
    <row r="45" spans="1:2" ht="12">
      <c r="A45" s="139" t="s">
        <v>34</v>
      </c>
      <c r="B45" s="137" t="s">
        <v>264</v>
      </c>
    </row>
    <row r="46" spans="1:2" ht="12">
      <c r="A46" s="139" t="s">
        <v>63</v>
      </c>
      <c r="B46" s="139" t="s">
        <v>138</v>
      </c>
    </row>
    <row r="47" spans="1:2" ht="12">
      <c r="A47" s="139" t="s">
        <v>3</v>
      </c>
      <c r="B47" s="137" t="s">
        <v>139</v>
      </c>
    </row>
    <row r="49" spans="1:3" ht="12">
      <c r="A49" s="141" t="s">
        <v>170</v>
      </c>
      <c r="B49" s="143" t="s">
        <v>171</v>
      </c>
      <c r="C49" s="144" t="s">
        <v>268</v>
      </c>
    </row>
    <row r="50" spans="1:3" ht="12">
      <c r="A50" s="141" t="s">
        <v>172</v>
      </c>
      <c r="B50" s="115">
        <v>10779913.61</v>
      </c>
      <c r="C50" s="145">
        <f>B50*0.11</f>
        <v>1185790.4971</v>
      </c>
    </row>
    <row r="51" spans="1:3" ht="12">
      <c r="A51" s="141" t="s">
        <v>173</v>
      </c>
      <c r="B51" s="115">
        <v>1572441.73</v>
      </c>
      <c r="C51" s="115">
        <f aca="true" t="shared" si="1" ref="C51:C77">B51*0.11</f>
        <v>172968.5903</v>
      </c>
    </row>
    <row r="52" spans="1:3" ht="12">
      <c r="A52" s="141" t="s">
        <v>174</v>
      </c>
      <c r="B52" s="115">
        <v>51632.39</v>
      </c>
      <c r="C52" s="115">
        <f t="shared" si="1"/>
        <v>5679.5629</v>
      </c>
    </row>
    <row r="53" spans="1:3" ht="12">
      <c r="A53" s="141" t="s">
        <v>175</v>
      </c>
      <c r="B53" s="115">
        <v>5566004.29</v>
      </c>
      <c r="C53" s="115">
        <f t="shared" si="1"/>
        <v>612260.4719</v>
      </c>
    </row>
    <row r="54" spans="1:3" ht="12">
      <c r="A54" s="141" t="s">
        <v>176</v>
      </c>
      <c r="B54" s="146">
        <v>622578.3</v>
      </c>
      <c r="C54" s="115">
        <f t="shared" si="1"/>
        <v>68483.61300000001</v>
      </c>
    </row>
    <row r="55" spans="1:3" ht="12">
      <c r="A55" s="141" t="s">
        <v>177</v>
      </c>
      <c r="B55" s="115">
        <v>66106.92</v>
      </c>
      <c r="C55" s="115">
        <f t="shared" si="1"/>
        <v>7271.7612</v>
      </c>
    </row>
    <row r="56" spans="1:3" ht="12">
      <c r="A56" s="141" t="s">
        <v>149</v>
      </c>
      <c r="B56" s="115">
        <v>423801.76</v>
      </c>
      <c r="C56" s="115">
        <f t="shared" si="1"/>
        <v>46618.1936</v>
      </c>
    </row>
    <row r="57" spans="1:3" ht="12">
      <c r="A57" s="141" t="s">
        <v>178</v>
      </c>
      <c r="B57" s="115">
        <v>256418.07</v>
      </c>
      <c r="C57" s="115">
        <f t="shared" si="1"/>
        <v>28205.9877</v>
      </c>
    </row>
    <row r="58" spans="1:3" ht="12">
      <c r="A58" s="141" t="s">
        <v>179</v>
      </c>
      <c r="B58" s="146">
        <v>1566142.6</v>
      </c>
      <c r="C58" s="115">
        <f t="shared" si="1"/>
        <v>172275.68600000002</v>
      </c>
    </row>
    <row r="59" spans="1:3" ht="12">
      <c r="A59" s="141" t="s">
        <v>180</v>
      </c>
      <c r="B59" s="115">
        <v>976213.67</v>
      </c>
      <c r="C59" s="115">
        <f t="shared" si="1"/>
        <v>107383.5037</v>
      </c>
    </row>
    <row r="60" spans="1:3" ht="12">
      <c r="A60" s="141" t="s">
        <v>181</v>
      </c>
      <c r="B60" s="115">
        <v>387367.08</v>
      </c>
      <c r="C60" s="115">
        <f t="shared" si="1"/>
        <v>42610.3788</v>
      </c>
    </row>
    <row r="61" spans="1:3" ht="12">
      <c r="A61" s="141" t="s">
        <v>182</v>
      </c>
      <c r="B61" s="115">
        <v>154038.58</v>
      </c>
      <c r="C61" s="115">
        <f t="shared" si="1"/>
        <v>16944.2438</v>
      </c>
    </row>
    <row r="62" spans="1:3" ht="12">
      <c r="A62" s="141" t="s">
        <v>183</v>
      </c>
      <c r="B62" s="115">
        <v>37150.59</v>
      </c>
      <c r="C62" s="115">
        <f t="shared" si="1"/>
        <v>4086.5649</v>
      </c>
    </row>
    <row r="63" spans="1:3" ht="12">
      <c r="A63" s="141" t="s">
        <v>184</v>
      </c>
      <c r="B63" s="115">
        <v>11573.58</v>
      </c>
      <c r="C63" s="115">
        <f t="shared" si="1"/>
        <v>1273.0938</v>
      </c>
    </row>
    <row r="64" spans="1:3" ht="12">
      <c r="A64" s="141" t="s">
        <v>185</v>
      </c>
      <c r="B64" s="115">
        <v>37520.47</v>
      </c>
      <c r="C64" s="115">
        <f t="shared" si="1"/>
        <v>4127.2517</v>
      </c>
    </row>
    <row r="65" spans="1:3" ht="12">
      <c r="A65" s="141" t="s">
        <v>186</v>
      </c>
      <c r="B65" s="115">
        <v>34774.21</v>
      </c>
      <c r="C65" s="115">
        <f t="shared" si="1"/>
        <v>3825.1630999999998</v>
      </c>
    </row>
    <row r="66" spans="1:3" ht="12">
      <c r="A66" s="141" t="s">
        <v>187</v>
      </c>
      <c r="B66" s="146">
        <v>25922.7</v>
      </c>
      <c r="C66" s="115">
        <f t="shared" si="1"/>
        <v>2851.4970000000003</v>
      </c>
    </row>
    <row r="67" spans="1:3" ht="12">
      <c r="A67" s="141" t="s">
        <v>188</v>
      </c>
      <c r="B67" s="115">
        <v>49680.12</v>
      </c>
      <c r="C67" s="115">
        <f t="shared" si="1"/>
        <v>5464.8132000000005</v>
      </c>
    </row>
    <row r="68" spans="1:3" ht="12">
      <c r="A68" s="141" t="s">
        <v>189</v>
      </c>
      <c r="B68" s="115">
        <v>57872.82</v>
      </c>
      <c r="C68" s="115">
        <f t="shared" si="1"/>
        <v>6366.0102</v>
      </c>
    </row>
    <row r="69" spans="1:3" ht="12">
      <c r="A69" s="141" t="s">
        <v>190</v>
      </c>
      <c r="B69" s="146">
        <v>87934.8</v>
      </c>
      <c r="C69" s="115">
        <f t="shared" si="1"/>
        <v>9672.828</v>
      </c>
    </row>
    <row r="70" spans="1:3" ht="12">
      <c r="A70" s="141" t="s">
        <v>191</v>
      </c>
      <c r="B70" s="115">
        <v>163826.73</v>
      </c>
      <c r="C70" s="115">
        <f t="shared" si="1"/>
        <v>18020.940300000002</v>
      </c>
    </row>
    <row r="71" spans="1:3" ht="12">
      <c r="A71" s="141" t="s">
        <v>192</v>
      </c>
      <c r="B71" s="115">
        <v>44624.63</v>
      </c>
      <c r="C71" s="115">
        <f t="shared" si="1"/>
        <v>4908.7092999999995</v>
      </c>
    </row>
    <row r="72" spans="1:3" ht="12">
      <c r="A72" s="141" t="s">
        <v>193</v>
      </c>
      <c r="B72" s="115">
        <v>60486.07</v>
      </c>
      <c r="C72" s="115">
        <f t="shared" si="1"/>
        <v>6653.4677</v>
      </c>
    </row>
    <row r="73" spans="1:3" ht="12">
      <c r="A73" s="141" t="s">
        <v>194</v>
      </c>
      <c r="B73" s="115">
        <v>17091.39</v>
      </c>
      <c r="C73" s="115">
        <f t="shared" si="1"/>
        <v>1880.0529</v>
      </c>
    </row>
    <row r="74" spans="1:3" ht="12">
      <c r="A74" s="141" t="s">
        <v>195</v>
      </c>
      <c r="B74" s="115">
        <v>26151.31</v>
      </c>
      <c r="C74" s="115">
        <f t="shared" si="1"/>
        <v>2876.6441</v>
      </c>
    </row>
    <row r="75" spans="1:3" ht="12">
      <c r="A75" s="141" t="s">
        <v>196</v>
      </c>
      <c r="B75" s="115">
        <v>48891.33</v>
      </c>
      <c r="C75" s="115">
        <f t="shared" si="1"/>
        <v>5378.0463</v>
      </c>
    </row>
    <row r="76" spans="1:3" ht="12">
      <c r="A76" s="141" t="s">
        <v>197</v>
      </c>
      <c r="B76" s="115">
        <v>10.98</v>
      </c>
      <c r="C76" s="115">
        <f t="shared" si="1"/>
        <v>1.2078</v>
      </c>
    </row>
    <row r="77" spans="1:3" ht="12">
      <c r="A77" s="141" t="s">
        <v>166</v>
      </c>
      <c r="B77" s="115">
        <v>12729109.55</v>
      </c>
      <c r="C77" s="115">
        <f t="shared" si="1"/>
        <v>1400202.0505000001</v>
      </c>
    </row>
    <row r="79" ht="12">
      <c r="A79" s="139" t="s">
        <v>82</v>
      </c>
    </row>
    <row r="80" spans="1:2" ht="12">
      <c r="A80" s="139" t="s">
        <v>33</v>
      </c>
      <c r="B80" s="139" t="s">
        <v>83</v>
      </c>
    </row>
    <row r="82" spans="1:3" ht="12">
      <c r="A82" s="139" t="s">
        <v>34</v>
      </c>
      <c r="B82" s="137" t="s">
        <v>265</v>
      </c>
      <c r="C82" s="142"/>
    </row>
    <row r="83" spans="1:2" ht="12">
      <c r="A83" s="139" t="s">
        <v>63</v>
      </c>
      <c r="B83" s="139" t="s">
        <v>138</v>
      </c>
    </row>
    <row r="84" spans="1:2" ht="12">
      <c r="A84" s="139" t="s">
        <v>3</v>
      </c>
      <c r="B84" s="137" t="s">
        <v>139</v>
      </c>
    </row>
    <row r="86" spans="1:2" ht="12">
      <c r="A86" s="141" t="s">
        <v>170</v>
      </c>
      <c r="B86" s="141" t="s">
        <v>171</v>
      </c>
    </row>
    <row r="87" spans="1:2" ht="12">
      <c r="A87" s="141" t="s">
        <v>172</v>
      </c>
      <c r="B87" s="115">
        <v>4692937.51</v>
      </c>
    </row>
    <row r="88" spans="1:2" ht="12">
      <c r="A88" s="141" t="s">
        <v>173</v>
      </c>
      <c r="B88" s="115">
        <v>740763.45</v>
      </c>
    </row>
    <row r="89" spans="1:2" ht="12">
      <c r="A89" s="141" t="s">
        <v>174</v>
      </c>
      <c r="B89" s="115">
        <v>153300.11</v>
      </c>
    </row>
    <row r="90" spans="1:2" ht="12">
      <c r="A90" s="141" t="s">
        <v>175</v>
      </c>
      <c r="B90" s="115">
        <v>2394868.97</v>
      </c>
    </row>
    <row r="91" spans="1:2" ht="12">
      <c r="A91" s="141" t="s">
        <v>176</v>
      </c>
      <c r="B91" s="115">
        <v>164990.19</v>
      </c>
    </row>
    <row r="92" spans="1:3" ht="12">
      <c r="A92" s="141" t="s">
        <v>177</v>
      </c>
      <c r="B92" s="147" t="s">
        <v>33</v>
      </c>
      <c r="C92" s="148">
        <f>B87-SUM(B88:B91,B93:B95,B101:B113)</f>
        <v>93513.63999999966</v>
      </c>
    </row>
    <row r="93" spans="1:3" ht="12">
      <c r="A93" s="141" t="s">
        <v>149</v>
      </c>
      <c r="B93" s="115">
        <v>312364.01</v>
      </c>
      <c r="C93" s="148"/>
    </row>
    <row r="94" spans="1:2" ht="12">
      <c r="A94" s="141" t="s">
        <v>178</v>
      </c>
      <c r="B94" s="115">
        <v>236842.65</v>
      </c>
    </row>
    <row r="95" spans="1:2" ht="12">
      <c r="A95" s="141" t="s">
        <v>179</v>
      </c>
      <c r="B95" s="146">
        <v>376694.2</v>
      </c>
    </row>
    <row r="96" spans="1:2" ht="12">
      <c r="A96" s="141" t="s">
        <v>180</v>
      </c>
      <c r="B96" s="115">
        <v>196291.11</v>
      </c>
    </row>
    <row r="97" spans="1:2" ht="12">
      <c r="A97" s="141" t="s">
        <v>181</v>
      </c>
      <c r="B97" s="115">
        <v>115988.51</v>
      </c>
    </row>
    <row r="98" spans="1:2" ht="12">
      <c r="A98" s="141" t="s">
        <v>182</v>
      </c>
      <c r="B98" s="115">
        <v>24167.85</v>
      </c>
    </row>
    <row r="99" spans="1:2" ht="12">
      <c r="A99" s="141" t="s">
        <v>183</v>
      </c>
      <c r="B99" s="115">
        <v>35031.73</v>
      </c>
    </row>
    <row r="100" spans="1:2" ht="12">
      <c r="A100" s="141" t="s">
        <v>184</v>
      </c>
      <c r="B100" s="115">
        <v>5221.19</v>
      </c>
    </row>
    <row r="101" spans="1:2" ht="12">
      <c r="A101" s="141" t="s">
        <v>185</v>
      </c>
      <c r="B101" s="115">
        <v>16713.36</v>
      </c>
    </row>
    <row r="102" spans="1:2" ht="12">
      <c r="A102" s="141" t="s">
        <v>186</v>
      </c>
      <c r="B102" s="115">
        <v>12229.15</v>
      </c>
    </row>
    <row r="103" spans="1:2" ht="12">
      <c r="A103" s="141" t="s">
        <v>187</v>
      </c>
      <c r="B103" s="115">
        <v>6238.01</v>
      </c>
    </row>
    <row r="104" spans="1:2" ht="12">
      <c r="A104" s="141" t="s">
        <v>188</v>
      </c>
      <c r="B104" s="115">
        <v>22823.52</v>
      </c>
    </row>
    <row r="105" spans="1:2" ht="12">
      <c r="A105" s="141" t="s">
        <v>189</v>
      </c>
      <c r="B105" s="115">
        <v>20030.99</v>
      </c>
    </row>
    <row r="106" spans="1:2" ht="12">
      <c r="A106" s="141" t="s">
        <v>190</v>
      </c>
      <c r="B106" s="115">
        <v>33451.08</v>
      </c>
    </row>
    <row r="107" spans="1:2" ht="12">
      <c r="A107" s="141" t="s">
        <v>191</v>
      </c>
      <c r="B107" s="115">
        <v>35047.92</v>
      </c>
    </row>
    <row r="108" spans="1:2" ht="12">
      <c r="A108" s="141" t="s">
        <v>192</v>
      </c>
      <c r="B108" s="115">
        <v>14697.93</v>
      </c>
    </row>
    <row r="109" spans="1:2" ht="12">
      <c r="A109" s="141" t="s">
        <v>193</v>
      </c>
      <c r="B109" s="115">
        <v>16365.46</v>
      </c>
    </row>
    <row r="110" spans="1:2" ht="12">
      <c r="A110" s="141" t="s">
        <v>194</v>
      </c>
      <c r="B110" s="146">
        <v>4121.3</v>
      </c>
    </row>
    <row r="111" spans="1:2" ht="12">
      <c r="A111" s="141" t="s">
        <v>195</v>
      </c>
      <c r="B111" s="115">
        <v>34915.57</v>
      </c>
    </row>
    <row r="112" spans="1:2" ht="12">
      <c r="A112" s="141" t="s">
        <v>196</v>
      </c>
      <c r="B112" s="115">
        <v>2955.05</v>
      </c>
    </row>
    <row r="113" spans="1:2" ht="12">
      <c r="A113" s="141" t="s">
        <v>197</v>
      </c>
      <c r="B113" s="115">
        <v>10.95</v>
      </c>
    </row>
    <row r="114" spans="1:2" ht="12">
      <c r="A114" s="141" t="s">
        <v>166</v>
      </c>
      <c r="B114" s="115">
        <v>2614890.33</v>
      </c>
    </row>
    <row r="116" ht="12">
      <c r="A116" s="139" t="s">
        <v>82</v>
      </c>
    </row>
    <row r="117" spans="1:2" ht="12">
      <c r="A117" s="139" t="s">
        <v>33</v>
      </c>
      <c r="B117" s="139" t="s">
        <v>83</v>
      </c>
    </row>
    <row r="119" spans="1:2" ht="12">
      <c r="A119" s="139" t="s">
        <v>34</v>
      </c>
      <c r="B119" s="137" t="s">
        <v>266</v>
      </c>
    </row>
    <row r="120" spans="1:2" ht="12">
      <c r="A120" s="139" t="s">
        <v>63</v>
      </c>
      <c r="B120" s="139" t="s">
        <v>138</v>
      </c>
    </row>
    <row r="121" spans="1:2" ht="12">
      <c r="A121" s="139" t="s">
        <v>3</v>
      </c>
      <c r="B121" s="137" t="s">
        <v>139</v>
      </c>
    </row>
    <row r="123" spans="1:3" ht="12">
      <c r="A123" s="141" t="s">
        <v>170</v>
      </c>
      <c r="B123" s="143" t="s">
        <v>171</v>
      </c>
      <c r="C123" s="144" t="s">
        <v>269</v>
      </c>
    </row>
    <row r="124" spans="1:3" ht="12">
      <c r="A124" s="141" t="s">
        <v>172</v>
      </c>
      <c r="B124" s="115">
        <v>17322577.65</v>
      </c>
      <c r="C124" s="145">
        <f>B124*0.014</f>
        <v>242516.08709999998</v>
      </c>
    </row>
    <row r="125" spans="1:3" ht="12">
      <c r="A125" s="141" t="s">
        <v>173</v>
      </c>
      <c r="B125" s="115">
        <v>9182461.52</v>
      </c>
      <c r="C125" s="115">
        <f aca="true" t="shared" si="2" ref="C125:C151">B125*0.014</f>
        <v>128554.46128</v>
      </c>
    </row>
    <row r="126" spans="1:3" ht="12">
      <c r="A126" s="141" t="s">
        <v>174</v>
      </c>
      <c r="B126" s="115">
        <v>1269372.63</v>
      </c>
      <c r="C126" s="115">
        <f t="shared" si="2"/>
        <v>17771.216819999998</v>
      </c>
    </row>
    <row r="127" spans="1:3" ht="12">
      <c r="A127" s="141" t="s">
        <v>175</v>
      </c>
      <c r="B127" s="115">
        <v>391807.23</v>
      </c>
      <c r="C127" s="115">
        <f t="shared" si="2"/>
        <v>5485.30122</v>
      </c>
    </row>
    <row r="128" spans="1:3" ht="12">
      <c r="A128" s="141" t="s">
        <v>176</v>
      </c>
      <c r="B128" s="115">
        <v>1073153.08</v>
      </c>
      <c r="C128" s="115">
        <f t="shared" si="2"/>
        <v>15024.14312</v>
      </c>
    </row>
    <row r="129" spans="1:3" ht="12">
      <c r="A129" s="141" t="s">
        <v>177</v>
      </c>
      <c r="B129" s="115">
        <v>4915089.78</v>
      </c>
      <c r="C129" s="115">
        <f t="shared" si="2"/>
        <v>68811.25692</v>
      </c>
    </row>
    <row r="130" spans="1:3" ht="12">
      <c r="A130" s="141" t="s">
        <v>149</v>
      </c>
      <c r="B130" s="115">
        <v>4434.72</v>
      </c>
      <c r="C130" s="115">
        <f t="shared" si="2"/>
        <v>62.08608</v>
      </c>
    </row>
    <row r="131" spans="1:3" ht="12">
      <c r="A131" s="141" t="s">
        <v>178</v>
      </c>
      <c r="B131" s="115">
        <v>202345.98</v>
      </c>
      <c r="C131" s="115">
        <f t="shared" si="2"/>
        <v>2832.8437200000003</v>
      </c>
    </row>
    <row r="132" spans="1:3" ht="12">
      <c r="A132" s="141" t="s">
        <v>179</v>
      </c>
      <c r="B132" s="146">
        <v>157271.9</v>
      </c>
      <c r="C132" s="115">
        <f t="shared" si="2"/>
        <v>2201.8066</v>
      </c>
    </row>
    <row r="133" spans="1:3" ht="12">
      <c r="A133" s="141" t="s">
        <v>180</v>
      </c>
      <c r="B133" s="115">
        <v>131462.15</v>
      </c>
      <c r="C133" s="115">
        <f t="shared" si="2"/>
        <v>1840.4701</v>
      </c>
    </row>
    <row r="134" spans="1:3" ht="12">
      <c r="A134" s="141" t="s">
        <v>181</v>
      </c>
      <c r="B134" s="115">
        <v>4966.25</v>
      </c>
      <c r="C134" s="115">
        <f t="shared" si="2"/>
        <v>69.5275</v>
      </c>
    </row>
    <row r="135" spans="1:3" ht="12">
      <c r="A135" s="141" t="s">
        <v>182</v>
      </c>
      <c r="B135" s="115">
        <v>1795.26</v>
      </c>
      <c r="C135" s="115">
        <f t="shared" si="2"/>
        <v>25.13364</v>
      </c>
    </row>
    <row r="136" spans="1:3" ht="12">
      <c r="A136" s="141" t="s">
        <v>183</v>
      </c>
      <c r="B136" s="115">
        <v>18242.47</v>
      </c>
      <c r="C136" s="115">
        <f t="shared" si="2"/>
        <v>255.39458000000002</v>
      </c>
    </row>
    <row r="137" spans="1:3" ht="12">
      <c r="A137" s="141" t="s">
        <v>184</v>
      </c>
      <c r="B137" s="115">
        <v>807.41</v>
      </c>
      <c r="C137" s="115">
        <f t="shared" si="2"/>
        <v>11.30374</v>
      </c>
    </row>
    <row r="138" spans="1:3" ht="12">
      <c r="A138" s="141" t="s">
        <v>185</v>
      </c>
      <c r="B138" s="115">
        <v>11540.42</v>
      </c>
      <c r="C138" s="115">
        <f t="shared" si="2"/>
        <v>161.56588</v>
      </c>
    </row>
    <row r="139" spans="1:3" ht="12">
      <c r="A139" s="141" t="s">
        <v>186</v>
      </c>
      <c r="B139" s="115">
        <v>3734.41</v>
      </c>
      <c r="C139" s="115">
        <f t="shared" si="2"/>
        <v>52.28174</v>
      </c>
    </row>
    <row r="140" spans="1:3" ht="12">
      <c r="A140" s="141" t="s">
        <v>187</v>
      </c>
      <c r="B140" s="115">
        <v>4280.44</v>
      </c>
      <c r="C140" s="115">
        <f t="shared" si="2"/>
        <v>59.926159999999996</v>
      </c>
    </row>
    <row r="141" spans="1:3" ht="12">
      <c r="A141" s="141" t="s">
        <v>188</v>
      </c>
      <c r="B141" s="115">
        <v>2416.06</v>
      </c>
      <c r="C141" s="115">
        <f t="shared" si="2"/>
        <v>33.82484</v>
      </c>
    </row>
    <row r="142" spans="1:3" ht="12">
      <c r="A142" s="141" t="s">
        <v>189</v>
      </c>
      <c r="B142" s="115">
        <v>8100.53</v>
      </c>
      <c r="C142" s="115">
        <f t="shared" si="2"/>
        <v>113.40742</v>
      </c>
    </row>
    <row r="143" spans="1:3" ht="12">
      <c r="A143" s="141" t="s">
        <v>190</v>
      </c>
      <c r="B143" s="115">
        <v>4475.94</v>
      </c>
      <c r="C143" s="115">
        <f t="shared" si="2"/>
        <v>62.66316</v>
      </c>
    </row>
    <row r="144" spans="1:3" ht="12">
      <c r="A144" s="141" t="s">
        <v>191</v>
      </c>
      <c r="B144" s="146">
        <v>55490.7</v>
      </c>
      <c r="C144" s="115">
        <f t="shared" si="2"/>
        <v>776.8697999999999</v>
      </c>
    </row>
    <row r="145" spans="1:3" ht="12">
      <c r="A145" s="141" t="s">
        <v>192</v>
      </c>
      <c r="B145" s="115">
        <v>12419.45</v>
      </c>
      <c r="C145" s="115">
        <f t="shared" si="2"/>
        <v>173.87230000000002</v>
      </c>
    </row>
    <row r="146" spans="1:3" ht="12">
      <c r="A146" s="141" t="s">
        <v>193</v>
      </c>
      <c r="B146" s="115">
        <v>13429.95</v>
      </c>
      <c r="C146" s="115">
        <f t="shared" si="2"/>
        <v>188.01930000000002</v>
      </c>
    </row>
    <row r="147" spans="1:3" ht="12">
      <c r="A147" s="141" t="s">
        <v>194</v>
      </c>
      <c r="B147" s="115">
        <v>2320.17</v>
      </c>
      <c r="C147" s="115">
        <f t="shared" si="2"/>
        <v>32.48238</v>
      </c>
    </row>
    <row r="148" spans="1:3" ht="12">
      <c r="A148" s="141" t="s">
        <v>195</v>
      </c>
      <c r="B148" s="115">
        <v>6345.98</v>
      </c>
      <c r="C148" s="115">
        <f t="shared" si="2"/>
        <v>88.84371999999999</v>
      </c>
    </row>
    <row r="149" spans="1:3" ht="12">
      <c r="A149" s="141" t="s">
        <v>196</v>
      </c>
      <c r="B149" s="115">
        <v>2064.08</v>
      </c>
      <c r="C149" s="115">
        <f t="shared" si="2"/>
        <v>28.89712</v>
      </c>
    </row>
    <row r="150" spans="1:3" ht="12">
      <c r="A150" s="141" t="s">
        <v>197</v>
      </c>
      <c r="B150" s="115">
        <v>22.68</v>
      </c>
      <c r="C150" s="115">
        <f t="shared" si="2"/>
        <v>0.31752</v>
      </c>
    </row>
    <row r="151" spans="1:3" ht="12">
      <c r="A151" s="141" t="s">
        <v>166</v>
      </c>
      <c r="B151" s="115">
        <v>930129.08</v>
      </c>
      <c r="C151" s="115">
        <f t="shared" si="2"/>
        <v>13021.80712</v>
      </c>
    </row>
    <row r="153" ht="12">
      <c r="A153" s="139" t="s">
        <v>82</v>
      </c>
    </row>
    <row r="154" spans="1:2" ht="12">
      <c r="A154" s="139" t="s">
        <v>33</v>
      </c>
      <c r="B154" s="139" t="s">
        <v>83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63.25390625" style="122" customWidth="1"/>
    <col min="2" max="2" width="37.875" style="122" customWidth="1"/>
    <col min="3" max="3" width="16.00390625" style="122" customWidth="1"/>
    <col min="4" max="4" width="14.125" style="122" customWidth="1"/>
    <col min="5" max="6" width="9.00390625" style="122" customWidth="1"/>
    <col min="7" max="7" width="40.625" style="122" customWidth="1"/>
    <col min="8" max="8" width="13.75390625" style="122" customWidth="1"/>
    <col min="9" max="9" width="19.125" style="122" customWidth="1"/>
    <col min="10" max="16384" width="9.00390625" style="122" customWidth="1"/>
  </cols>
  <sheetData>
    <row r="1" spans="1:2" ht="12">
      <c r="A1" s="149" t="s">
        <v>0</v>
      </c>
      <c r="B1" s="150">
        <v>41692.09541666666</v>
      </c>
    </row>
    <row r="2" spans="1:2" ht="12">
      <c r="A2" s="149" t="s">
        <v>1</v>
      </c>
      <c r="B2" s="150">
        <v>41730.60168146991</v>
      </c>
    </row>
    <row r="3" spans="1:2" ht="12">
      <c r="A3" s="149" t="s">
        <v>48</v>
      </c>
      <c r="B3" s="149" t="s">
        <v>2</v>
      </c>
    </row>
    <row r="5" spans="1:2" ht="12">
      <c r="A5" s="149" t="s">
        <v>3</v>
      </c>
      <c r="B5" s="149" t="s">
        <v>202</v>
      </c>
    </row>
    <row r="6" spans="1:2" ht="12">
      <c r="A6" s="149" t="s">
        <v>63</v>
      </c>
      <c r="B6" s="149" t="s">
        <v>138</v>
      </c>
    </row>
    <row r="7" spans="1:2" ht="12">
      <c r="A7" s="149" t="s">
        <v>61</v>
      </c>
      <c r="B7" s="149" t="s">
        <v>203</v>
      </c>
    </row>
    <row r="9" spans="1:3" ht="12">
      <c r="A9" s="151" t="s">
        <v>263</v>
      </c>
      <c r="B9" s="122">
        <v>2000</v>
      </c>
      <c r="C9" s="122">
        <v>2011</v>
      </c>
    </row>
    <row r="10" spans="1:3" ht="12">
      <c r="A10" s="106" t="s">
        <v>7</v>
      </c>
      <c r="B10" s="111">
        <f aca="true" t="shared" si="0" ref="B10:C12">B115</f>
        <v>9011437.1</v>
      </c>
      <c r="C10" s="112">
        <f t="shared" si="0"/>
        <v>10560548.9</v>
      </c>
    </row>
    <row r="11" spans="1:3" ht="12">
      <c r="A11" s="106" t="s">
        <v>30</v>
      </c>
      <c r="B11" s="113">
        <f t="shared" si="0"/>
        <v>172895.1</v>
      </c>
      <c r="C11" s="114">
        <f t="shared" si="0"/>
        <v>184321.9</v>
      </c>
    </row>
    <row r="12" spans="1:3" ht="12">
      <c r="A12" s="106" t="s">
        <v>31</v>
      </c>
      <c r="B12" s="113">
        <f t="shared" si="0"/>
        <v>102531</v>
      </c>
      <c r="C12" s="114">
        <f t="shared" si="0"/>
        <v>67449.1</v>
      </c>
    </row>
    <row r="13" spans="1:3" ht="12">
      <c r="A13" s="106" t="s">
        <v>10</v>
      </c>
      <c r="B13" s="115">
        <f>B157</f>
        <v>1531530.5</v>
      </c>
      <c r="C13" s="115">
        <f>C157</f>
        <v>1728847.9</v>
      </c>
    </row>
    <row r="14" spans="1:3" ht="12">
      <c r="A14" s="106" t="s">
        <v>11</v>
      </c>
      <c r="B14" s="115">
        <f>B119</f>
        <v>157417</v>
      </c>
      <c r="C14" s="115">
        <f>C119</f>
        <v>171123.6</v>
      </c>
    </row>
    <row r="15" spans="1:3" ht="12">
      <c r="A15" s="106" t="s">
        <v>129</v>
      </c>
      <c r="B15" s="115">
        <f>B65+B66+B67</f>
        <v>276221.7</v>
      </c>
      <c r="C15" s="115">
        <f>C65+C66+C67</f>
        <v>303673.6</v>
      </c>
    </row>
    <row r="16" spans="1:3" ht="12">
      <c r="A16" s="106" t="s">
        <v>130</v>
      </c>
      <c r="B16" s="115">
        <f>(B120+B158+B159+B160+B161+B162+B163+B164+B165)-B15</f>
        <v>6779453.099999999</v>
      </c>
      <c r="C16" s="115">
        <f>(C120+C158+C159+C160+C161+C162+C163+C164+C165)-C15</f>
        <v>8120108.200000001</v>
      </c>
    </row>
    <row r="17" spans="1:3" ht="12">
      <c r="A17" s="107" t="s">
        <v>199</v>
      </c>
      <c r="B17" s="152">
        <f>SUM(B11:B16)</f>
        <v>9020048.399999999</v>
      </c>
      <c r="C17" s="152">
        <f>SUM(C11:C16)</f>
        <v>10575524.3</v>
      </c>
    </row>
    <row r="18" spans="2:3" ht="12">
      <c r="B18" s="123"/>
      <c r="C18" s="123"/>
    </row>
    <row r="19" spans="1:3" ht="12">
      <c r="A19" s="122" t="s">
        <v>200</v>
      </c>
      <c r="B19" s="123">
        <f>B17-B10</f>
        <v>8611.299999998882</v>
      </c>
      <c r="C19" s="123">
        <f>C17-C10</f>
        <v>14975.400000000373</v>
      </c>
    </row>
    <row r="20" spans="2:3" ht="12">
      <c r="B20" s="124">
        <f>B19/B10</f>
        <v>0.000955596749379617</v>
      </c>
      <c r="C20" s="124">
        <f>C19/C10</f>
        <v>0.001418051290875645</v>
      </c>
    </row>
    <row r="23" ht="12">
      <c r="A23" s="153" t="s">
        <v>201</v>
      </c>
    </row>
    <row r="25" spans="1:2" ht="12">
      <c r="A25" s="149" t="s">
        <v>0</v>
      </c>
      <c r="B25" s="150">
        <v>41692.09541666666</v>
      </c>
    </row>
    <row r="26" spans="1:2" ht="12">
      <c r="A26" s="149" t="s">
        <v>1</v>
      </c>
      <c r="B26" s="150">
        <v>41730.60168146991</v>
      </c>
    </row>
    <row r="27" spans="1:2" ht="12">
      <c r="A27" s="149" t="s">
        <v>48</v>
      </c>
      <c r="B27" s="149" t="s">
        <v>2</v>
      </c>
    </row>
    <row r="29" spans="1:2" ht="12">
      <c r="A29" s="149" t="s">
        <v>3</v>
      </c>
      <c r="B29" s="149" t="s">
        <v>202</v>
      </c>
    </row>
    <row r="30" spans="1:2" ht="12">
      <c r="A30" s="149" t="s">
        <v>63</v>
      </c>
      <c r="B30" s="149" t="s">
        <v>138</v>
      </c>
    </row>
    <row r="31" spans="1:2" ht="12">
      <c r="A31" s="149" t="s">
        <v>61</v>
      </c>
      <c r="B31" s="149" t="s">
        <v>203</v>
      </c>
    </row>
    <row r="33" spans="1:3" ht="12">
      <c r="A33" s="106" t="s">
        <v>170</v>
      </c>
      <c r="B33" s="106" t="s">
        <v>70</v>
      </c>
      <c r="C33" s="106" t="s">
        <v>171</v>
      </c>
    </row>
    <row r="34" spans="1:3" ht="12">
      <c r="A34" s="106" t="s">
        <v>172</v>
      </c>
      <c r="B34" s="154">
        <v>9011437.1</v>
      </c>
      <c r="C34" s="154">
        <v>10560548.9</v>
      </c>
    </row>
    <row r="35" spans="1:3" ht="12">
      <c r="A35" s="106" t="s">
        <v>204</v>
      </c>
      <c r="B35" s="154">
        <v>150642.6</v>
      </c>
      <c r="C35" s="154">
        <v>162755.9</v>
      </c>
    </row>
    <row r="36" spans="1:3" ht="12">
      <c r="A36" s="106" t="s">
        <v>205</v>
      </c>
      <c r="B36" s="154">
        <v>14349.7</v>
      </c>
      <c r="C36" s="154">
        <v>15472.7</v>
      </c>
    </row>
    <row r="37" spans="1:3" ht="12">
      <c r="A37" s="106" t="s">
        <v>206</v>
      </c>
      <c r="B37" s="154">
        <v>8271.1</v>
      </c>
      <c r="C37" s="154">
        <v>6253.7</v>
      </c>
    </row>
    <row r="38" spans="1:3" ht="12">
      <c r="A38" s="106" t="s">
        <v>174</v>
      </c>
      <c r="B38" s="154">
        <v>102531</v>
      </c>
      <c r="C38" s="154">
        <v>67449.1</v>
      </c>
    </row>
    <row r="39" spans="1:3" ht="12">
      <c r="A39" s="106" t="s">
        <v>207</v>
      </c>
      <c r="B39" s="154">
        <v>204028.8</v>
      </c>
      <c r="C39" s="154">
        <v>214807.1</v>
      </c>
    </row>
    <row r="40" spans="1:3" ht="12">
      <c r="A40" s="106" t="s">
        <v>208</v>
      </c>
      <c r="B40" s="154">
        <v>83986.6</v>
      </c>
      <c r="C40" s="154">
        <v>64225.6</v>
      </c>
    </row>
    <row r="41" spans="1:6" ht="12">
      <c r="A41" s="106" t="s">
        <v>209</v>
      </c>
      <c r="B41" s="154">
        <v>35057.5</v>
      </c>
      <c r="C41" s="154">
        <v>34127.1</v>
      </c>
      <c r="F41" s="122">
        <v>2011</v>
      </c>
    </row>
    <row r="42" spans="1:6" ht="12">
      <c r="A42" s="106" t="s">
        <v>210</v>
      </c>
      <c r="B42" s="154">
        <v>42649.4</v>
      </c>
      <c r="C42" s="154">
        <v>46088.4</v>
      </c>
      <c r="F42" s="155">
        <f>SUM(C65:C69)</f>
        <v>501468.4</v>
      </c>
    </row>
    <row r="43" spans="1:6" ht="12">
      <c r="A43" s="106" t="s">
        <v>211</v>
      </c>
      <c r="B43" s="154">
        <v>48715.1</v>
      </c>
      <c r="C43" s="154">
        <v>43442</v>
      </c>
      <c r="F43" s="155">
        <f>F42-(C65+C66+C67)</f>
        <v>197794.80000000005</v>
      </c>
    </row>
    <row r="44" spans="1:3" ht="12">
      <c r="A44" s="106" t="s">
        <v>212</v>
      </c>
      <c r="B44" s="154">
        <v>34551.4</v>
      </c>
      <c r="C44" s="154">
        <v>35163</v>
      </c>
    </row>
    <row r="45" spans="1:3" ht="12">
      <c r="A45" s="106" t="s">
        <v>213</v>
      </c>
      <c r="B45" s="154">
        <v>102287.8</v>
      </c>
      <c r="C45" s="154">
        <v>107662.1</v>
      </c>
    </row>
    <row r="46" spans="1:3" ht="12">
      <c r="A46" s="106" t="s">
        <v>214</v>
      </c>
      <c r="B46" s="154">
        <v>48882.7</v>
      </c>
      <c r="C46" s="154">
        <v>80271.4</v>
      </c>
    </row>
    <row r="47" spans="1:3" ht="12">
      <c r="A47" s="106" t="s">
        <v>215</v>
      </c>
      <c r="B47" s="154">
        <v>69759.3</v>
      </c>
      <c r="C47" s="154">
        <v>83851</v>
      </c>
    </row>
    <row r="48" spans="1:3" ht="12">
      <c r="A48" s="106" t="s">
        <v>216</v>
      </c>
      <c r="B48" s="154">
        <v>70833.4</v>
      </c>
      <c r="C48" s="154">
        <v>69080.3</v>
      </c>
    </row>
    <row r="49" spans="1:3" ht="12">
      <c r="A49" s="106" t="s">
        <v>217</v>
      </c>
      <c r="B49" s="154">
        <v>74004.8</v>
      </c>
      <c r="C49" s="154">
        <v>64088.3</v>
      </c>
    </row>
    <row r="50" spans="1:3" ht="12">
      <c r="A50" s="106" t="s">
        <v>218</v>
      </c>
      <c r="B50" s="154">
        <v>149030.4</v>
      </c>
      <c r="C50" s="154">
        <v>166194.8</v>
      </c>
    </row>
    <row r="51" spans="1:3" ht="12">
      <c r="A51" s="106" t="s">
        <v>219</v>
      </c>
      <c r="B51" s="154">
        <v>67940.4</v>
      </c>
      <c r="C51" s="154">
        <v>123977.1</v>
      </c>
    </row>
    <row r="52" spans="1:3" ht="12">
      <c r="A52" s="106" t="s">
        <v>220</v>
      </c>
      <c r="B52" s="154">
        <v>80040</v>
      </c>
      <c r="C52" s="154">
        <v>83589</v>
      </c>
    </row>
    <row r="53" spans="1:3" ht="12">
      <c r="A53" s="106" t="s">
        <v>221</v>
      </c>
      <c r="B53" s="154">
        <v>150432.1</v>
      </c>
      <c r="C53" s="154">
        <v>178300.2</v>
      </c>
    </row>
    <row r="54" spans="1:3" ht="12">
      <c r="A54" s="106" t="s">
        <v>222</v>
      </c>
      <c r="B54" s="154">
        <v>113631.8</v>
      </c>
      <c r="C54" s="154">
        <v>152440.8</v>
      </c>
    </row>
    <row r="55" spans="1:3" ht="12">
      <c r="A55" s="106" t="s">
        <v>223</v>
      </c>
      <c r="B55" s="154">
        <v>35734.7</v>
      </c>
      <c r="C55" s="154">
        <v>44019.4</v>
      </c>
    </row>
    <row r="56" spans="1:3" ht="12">
      <c r="A56" s="106" t="s">
        <v>224</v>
      </c>
      <c r="B56" s="154">
        <v>74820.3</v>
      </c>
      <c r="C56" s="154">
        <v>74902</v>
      </c>
    </row>
    <row r="57" spans="1:3" ht="12">
      <c r="A57" s="106" t="s">
        <v>225</v>
      </c>
      <c r="B57" s="154">
        <v>51170.4</v>
      </c>
      <c r="C57" s="154">
        <v>63517.8</v>
      </c>
    </row>
    <row r="58" spans="1:3" ht="12">
      <c r="A58" s="106" t="s">
        <v>176</v>
      </c>
      <c r="B58" s="154">
        <v>157417</v>
      </c>
      <c r="C58" s="154">
        <v>171123.6</v>
      </c>
    </row>
    <row r="59" spans="1:3" ht="12">
      <c r="A59" s="106" t="s">
        <v>226</v>
      </c>
      <c r="B59" s="154">
        <v>23462.5</v>
      </c>
      <c r="C59" s="154">
        <v>25222.9</v>
      </c>
    </row>
    <row r="60" spans="1:3" ht="12">
      <c r="A60" s="106" t="s">
        <v>227</v>
      </c>
      <c r="B60" s="154">
        <v>56434.6</v>
      </c>
      <c r="C60" s="154">
        <v>64643.8</v>
      </c>
    </row>
    <row r="61" spans="1:3" ht="12">
      <c r="A61" s="106" t="s">
        <v>149</v>
      </c>
      <c r="B61" s="154">
        <v>593632.4</v>
      </c>
      <c r="C61" s="154">
        <v>591299.3</v>
      </c>
    </row>
    <row r="62" spans="1:3" ht="12">
      <c r="A62" s="106" t="s">
        <v>228</v>
      </c>
      <c r="B62" s="154">
        <v>135763.9</v>
      </c>
      <c r="C62" s="154">
        <v>161756.3</v>
      </c>
    </row>
    <row r="63" spans="1:5" ht="12">
      <c r="A63" s="106" t="s">
        <v>229</v>
      </c>
      <c r="B63" s="154">
        <v>450589.1</v>
      </c>
      <c r="C63" s="154">
        <v>555843.9</v>
      </c>
      <c r="E63" s="122">
        <v>2000</v>
      </c>
    </row>
    <row r="64" spans="1:5" ht="12">
      <c r="A64" s="106" t="s">
        <v>230</v>
      </c>
      <c r="B64" s="154">
        <v>420837.9</v>
      </c>
      <c r="C64" s="154">
        <v>484498</v>
      </c>
      <c r="D64" s="122" t="s">
        <v>231</v>
      </c>
      <c r="E64" s="155">
        <f>SUM(B65:B69)</f>
        <v>452612.3</v>
      </c>
    </row>
    <row r="65" spans="1:5" ht="12">
      <c r="A65" s="106" t="s">
        <v>180</v>
      </c>
      <c r="B65" s="154">
        <v>223885.2</v>
      </c>
      <c r="C65" s="154">
        <v>226815.7</v>
      </c>
      <c r="D65" s="122" t="s">
        <v>232</v>
      </c>
      <c r="E65" s="155">
        <f>E64-(B65+B66+B67)</f>
        <v>176390.59999999998</v>
      </c>
    </row>
    <row r="66" spans="1:3" ht="12">
      <c r="A66" s="106" t="s">
        <v>181</v>
      </c>
      <c r="B66" s="154">
        <v>21431.7</v>
      </c>
      <c r="C66" s="154">
        <v>40330.1</v>
      </c>
    </row>
    <row r="67" spans="1:3" ht="12">
      <c r="A67" s="106" t="s">
        <v>182</v>
      </c>
      <c r="B67" s="154">
        <v>30904.8</v>
      </c>
      <c r="C67" s="154">
        <v>36527.8</v>
      </c>
    </row>
    <row r="68" spans="1:3" ht="12">
      <c r="A68" s="106" t="s">
        <v>183</v>
      </c>
      <c r="B68" s="154">
        <v>121252.3</v>
      </c>
      <c r="C68" s="154">
        <v>154384.9</v>
      </c>
    </row>
    <row r="69" spans="1:3" ht="12">
      <c r="A69" s="106" t="s">
        <v>184</v>
      </c>
      <c r="B69" s="154">
        <v>55138.3</v>
      </c>
      <c r="C69" s="154">
        <v>43409.9</v>
      </c>
    </row>
    <row r="70" spans="1:3" ht="12">
      <c r="A70" s="106" t="s">
        <v>185</v>
      </c>
      <c r="B70" s="154">
        <v>284189.7</v>
      </c>
      <c r="C70" s="154">
        <v>303625.9</v>
      </c>
    </row>
    <row r="71" spans="1:3" ht="12">
      <c r="A71" s="106" t="s">
        <v>233</v>
      </c>
      <c r="B71" s="154">
        <v>64857.8</v>
      </c>
      <c r="C71" s="154">
        <v>66493</v>
      </c>
    </row>
    <row r="72" spans="1:3" ht="12">
      <c r="A72" s="106" t="s">
        <v>234</v>
      </c>
      <c r="B72" s="154">
        <v>58881.8</v>
      </c>
      <c r="C72" s="154">
        <v>72906.3</v>
      </c>
    </row>
    <row r="73" spans="1:3" ht="12">
      <c r="A73" s="106" t="s">
        <v>235</v>
      </c>
      <c r="B73" s="154">
        <v>122630.4</v>
      </c>
      <c r="C73" s="154">
        <v>232637</v>
      </c>
    </row>
    <row r="74" spans="1:3" ht="12">
      <c r="A74" s="106" t="s">
        <v>236</v>
      </c>
      <c r="B74" s="154">
        <v>140341.6</v>
      </c>
      <c r="C74" s="154">
        <v>245844.3</v>
      </c>
    </row>
    <row r="75" spans="1:3" ht="12">
      <c r="A75" s="106" t="s">
        <v>237</v>
      </c>
      <c r="B75" s="154">
        <v>314134.6</v>
      </c>
      <c r="C75" s="154">
        <v>431742.7</v>
      </c>
    </row>
    <row r="76" spans="1:3" ht="12">
      <c r="A76" s="106" t="s">
        <v>238</v>
      </c>
      <c r="B76" s="154">
        <v>116195.8</v>
      </c>
      <c r="C76" s="154">
        <v>122878.9</v>
      </c>
    </row>
    <row r="77" spans="1:3" ht="12">
      <c r="A77" s="106" t="s">
        <v>239</v>
      </c>
      <c r="B77" s="154">
        <v>66370.9</v>
      </c>
      <c r="C77" s="154">
        <v>80472.1</v>
      </c>
    </row>
    <row r="78" spans="1:3" ht="12">
      <c r="A78" s="106" t="s">
        <v>188</v>
      </c>
      <c r="B78" s="154">
        <v>903451</v>
      </c>
      <c r="C78" s="154">
        <v>1086313.4</v>
      </c>
    </row>
    <row r="79" spans="1:3" ht="12">
      <c r="A79" s="106" t="s">
        <v>240</v>
      </c>
      <c r="B79" s="154">
        <v>256200.9</v>
      </c>
      <c r="C79" s="154">
        <v>326301.1</v>
      </c>
    </row>
    <row r="80" spans="1:3" ht="12">
      <c r="A80" s="106" t="s">
        <v>241</v>
      </c>
      <c r="B80" s="154">
        <v>110440.3</v>
      </c>
      <c r="C80" s="154">
        <v>144783.6</v>
      </c>
    </row>
    <row r="81" spans="1:3" ht="12">
      <c r="A81" s="106" t="s">
        <v>242</v>
      </c>
      <c r="B81" s="154">
        <v>41743.9</v>
      </c>
      <c r="C81" s="154">
        <v>48819.4</v>
      </c>
    </row>
    <row r="82" spans="1:3" ht="12">
      <c r="A82" s="106" t="s">
        <v>243</v>
      </c>
      <c r="B82" s="154">
        <v>55147.9</v>
      </c>
      <c r="C82" s="154">
        <v>55611</v>
      </c>
    </row>
    <row r="83" spans="1:3" ht="12">
      <c r="A83" s="106" t="s">
        <v>244</v>
      </c>
      <c r="B83" s="154">
        <v>53436.4</v>
      </c>
      <c r="C83" s="154">
        <v>52284.8</v>
      </c>
    </row>
    <row r="84" spans="1:3" ht="12">
      <c r="A84" s="106" t="s">
        <v>245</v>
      </c>
      <c r="B84" s="154">
        <v>108704.9</v>
      </c>
      <c r="C84" s="154">
        <v>120854.7</v>
      </c>
    </row>
    <row r="85" spans="1:3" ht="12">
      <c r="A85" s="106" t="s">
        <v>246</v>
      </c>
      <c r="B85" s="154">
        <v>81792.7</v>
      </c>
      <c r="C85" s="154">
        <v>116553.6</v>
      </c>
    </row>
    <row r="86" spans="1:3" ht="12">
      <c r="A86" s="106" t="s">
        <v>247</v>
      </c>
      <c r="B86" s="154">
        <v>29566.4</v>
      </c>
      <c r="C86" s="154">
        <v>25298.5</v>
      </c>
    </row>
    <row r="87" spans="1:3" ht="12">
      <c r="A87" s="106" t="s">
        <v>248</v>
      </c>
      <c r="B87" s="154">
        <v>131975.5</v>
      </c>
      <c r="C87" s="154">
        <v>173541.9</v>
      </c>
    </row>
    <row r="88" spans="1:3" ht="12">
      <c r="A88" s="106" t="s">
        <v>191</v>
      </c>
      <c r="B88" s="154">
        <v>600123.4</v>
      </c>
      <c r="C88" s="154">
        <v>668146.1</v>
      </c>
    </row>
    <row r="89" spans="1:3" ht="12">
      <c r="A89" s="106" t="s">
        <v>192</v>
      </c>
      <c r="B89" s="154">
        <v>486133.7</v>
      </c>
      <c r="C89" s="154">
        <v>528261.8</v>
      </c>
    </row>
    <row r="90" spans="1:3" ht="12">
      <c r="A90" s="106" t="s">
        <v>249</v>
      </c>
      <c r="B90" s="154">
        <v>414940.6</v>
      </c>
      <c r="C90" s="154">
        <v>555715.9</v>
      </c>
    </row>
    <row r="91" spans="1:3" ht="12">
      <c r="A91" s="106" t="s">
        <v>250</v>
      </c>
      <c r="B91" s="154">
        <v>171089.1</v>
      </c>
      <c r="C91" s="154">
        <v>227144.9</v>
      </c>
    </row>
    <row r="92" spans="1:3" ht="12">
      <c r="A92" s="106" t="s">
        <v>251</v>
      </c>
      <c r="B92" s="154">
        <v>77130.6</v>
      </c>
      <c r="C92" s="154">
        <v>88792.5</v>
      </c>
    </row>
    <row r="93" spans="1:3" ht="12">
      <c r="A93" s="106" t="s">
        <v>252</v>
      </c>
      <c r="B93" s="154">
        <v>41204</v>
      </c>
      <c r="C93" s="154">
        <v>46230.9</v>
      </c>
    </row>
    <row r="94" spans="1:3" ht="12">
      <c r="A94" s="106" t="s">
        <v>253</v>
      </c>
      <c r="B94" s="154">
        <v>63753.9</v>
      </c>
      <c r="C94" s="154">
        <v>72001.2</v>
      </c>
    </row>
    <row r="95" spans="1:3" ht="12">
      <c r="A95" s="106" t="s">
        <v>254</v>
      </c>
      <c r="B95" s="154">
        <v>16557</v>
      </c>
      <c r="C95" s="154">
        <v>16533.4</v>
      </c>
    </row>
    <row r="96" spans="1:3" ht="12">
      <c r="A96" s="106" t="s">
        <v>255</v>
      </c>
      <c r="B96" s="154">
        <v>78608.9</v>
      </c>
      <c r="C96" s="154">
        <v>85773.9</v>
      </c>
    </row>
    <row r="97" spans="1:3" ht="12">
      <c r="A97" s="106" t="s">
        <v>196</v>
      </c>
      <c r="B97" s="154">
        <v>42540.7</v>
      </c>
      <c r="C97" s="154">
        <v>47497.8</v>
      </c>
    </row>
    <row r="98" spans="1:3" ht="12">
      <c r="A98" s="106" t="s">
        <v>197</v>
      </c>
      <c r="B98" s="154">
        <v>0</v>
      </c>
      <c r="C98" s="154">
        <v>0</v>
      </c>
    </row>
    <row r="100" ht="12">
      <c r="A100" s="149" t="s">
        <v>82</v>
      </c>
    </row>
    <row r="101" spans="1:2" ht="12">
      <c r="A101" s="149" t="s">
        <v>33</v>
      </c>
      <c r="B101" s="149" t="s">
        <v>83</v>
      </c>
    </row>
    <row r="104" ht="12">
      <c r="A104" s="153" t="s">
        <v>256</v>
      </c>
    </row>
    <row r="106" spans="1:2" ht="12">
      <c r="A106" s="149" t="s">
        <v>0</v>
      </c>
      <c r="B106" s="150">
        <v>41683.86849537037</v>
      </c>
    </row>
    <row r="107" spans="1:2" ht="12">
      <c r="A107" s="149" t="s">
        <v>1</v>
      </c>
      <c r="B107" s="150">
        <v>41731.447470416664</v>
      </c>
    </row>
    <row r="108" spans="1:2" ht="12">
      <c r="A108" s="149" t="s">
        <v>48</v>
      </c>
      <c r="B108" s="149" t="s">
        <v>2</v>
      </c>
    </row>
    <row r="110" spans="1:2" ht="12">
      <c r="A110" s="149" t="s">
        <v>3</v>
      </c>
      <c r="B110" s="149" t="s">
        <v>202</v>
      </c>
    </row>
    <row r="111" spans="1:2" ht="12">
      <c r="A111" s="149" t="s">
        <v>63</v>
      </c>
      <c r="B111" s="149" t="s">
        <v>138</v>
      </c>
    </row>
    <row r="112" spans="1:2" ht="12">
      <c r="A112" s="149" t="s">
        <v>61</v>
      </c>
      <c r="B112" s="149" t="s">
        <v>203</v>
      </c>
    </row>
    <row r="114" spans="1:3" ht="12">
      <c r="A114" s="106" t="s">
        <v>170</v>
      </c>
      <c r="B114" s="106" t="s">
        <v>70</v>
      </c>
      <c r="C114" s="106" t="s">
        <v>171</v>
      </c>
    </row>
    <row r="115" spans="1:3" ht="12">
      <c r="A115" s="106" t="s">
        <v>172</v>
      </c>
      <c r="B115" s="154">
        <v>9011437.1</v>
      </c>
      <c r="C115" s="154">
        <v>10560548.9</v>
      </c>
    </row>
    <row r="116" spans="1:3" ht="12">
      <c r="A116" s="106" t="s">
        <v>173</v>
      </c>
      <c r="B116" s="154">
        <v>172895.1</v>
      </c>
      <c r="C116" s="154">
        <v>184321.9</v>
      </c>
    </row>
    <row r="117" spans="1:3" ht="12">
      <c r="A117" s="106" t="s">
        <v>174</v>
      </c>
      <c r="B117" s="154">
        <v>102531</v>
      </c>
      <c r="C117" s="154">
        <v>67449.1</v>
      </c>
    </row>
    <row r="118" spans="1:3" ht="12">
      <c r="A118" s="106" t="s">
        <v>175</v>
      </c>
      <c r="B118" s="156" t="s">
        <v>33</v>
      </c>
      <c r="C118" s="156" t="s">
        <v>33</v>
      </c>
    </row>
    <row r="119" spans="1:3" ht="12">
      <c r="A119" s="106" t="s">
        <v>176</v>
      </c>
      <c r="B119" s="154">
        <v>157417</v>
      </c>
      <c r="C119" s="154">
        <v>171123.6</v>
      </c>
    </row>
    <row r="120" spans="1:3" ht="12">
      <c r="A120" s="106" t="s">
        <v>177</v>
      </c>
      <c r="B120" s="154">
        <v>79819.7</v>
      </c>
      <c r="C120" s="154">
        <v>89912.1</v>
      </c>
    </row>
    <row r="121" spans="1:3" ht="12">
      <c r="A121" s="106" t="s">
        <v>149</v>
      </c>
      <c r="B121" s="154">
        <v>593632.4</v>
      </c>
      <c r="C121" s="154">
        <v>591299.3</v>
      </c>
    </row>
    <row r="122" spans="1:3" ht="12">
      <c r="A122" s="106" t="s">
        <v>178</v>
      </c>
      <c r="B122" s="154">
        <v>1007322.7</v>
      </c>
      <c r="C122" s="154">
        <v>1201747.4</v>
      </c>
    </row>
    <row r="123" spans="1:3" ht="12">
      <c r="A123" s="106" t="s">
        <v>179</v>
      </c>
      <c r="B123" s="154">
        <v>452819.7</v>
      </c>
      <c r="C123" s="154">
        <v>499162.6</v>
      </c>
    </row>
    <row r="124" spans="1:3" ht="12">
      <c r="A124" s="106" t="s">
        <v>185</v>
      </c>
      <c r="B124" s="154">
        <v>284189.7</v>
      </c>
      <c r="C124" s="154">
        <v>303625.9</v>
      </c>
    </row>
    <row r="125" spans="1:3" ht="12">
      <c r="A125" s="106" t="s">
        <v>186</v>
      </c>
      <c r="B125" s="156" t="s">
        <v>33</v>
      </c>
      <c r="C125" s="156" t="s">
        <v>33</v>
      </c>
    </row>
    <row r="126" spans="1:3" ht="12">
      <c r="A126" s="106" t="s">
        <v>187</v>
      </c>
      <c r="B126" s="154">
        <v>492140.9</v>
      </c>
      <c r="C126" s="154">
        <v>634736.5</v>
      </c>
    </row>
    <row r="127" spans="1:3" ht="12">
      <c r="A127" s="106" t="s">
        <v>188</v>
      </c>
      <c r="B127" s="154">
        <v>903451</v>
      </c>
      <c r="C127" s="154">
        <v>1086313.4</v>
      </c>
    </row>
    <row r="128" spans="1:3" ht="12">
      <c r="A128" s="106" t="s">
        <v>189</v>
      </c>
      <c r="B128" s="156" t="s">
        <v>33</v>
      </c>
      <c r="C128" s="156" t="s">
        <v>33</v>
      </c>
    </row>
    <row r="129" spans="1:3" ht="12">
      <c r="A129" s="106" t="s">
        <v>190</v>
      </c>
      <c r="B129" s="154">
        <v>351249.8</v>
      </c>
      <c r="C129" s="154">
        <v>435993.8</v>
      </c>
    </row>
    <row r="130" spans="1:3" ht="12">
      <c r="A130" s="106" t="s">
        <v>191</v>
      </c>
      <c r="B130" s="154">
        <v>600123.4</v>
      </c>
      <c r="C130" s="154">
        <v>668146.1</v>
      </c>
    </row>
    <row r="131" spans="1:3" ht="12">
      <c r="A131" s="106" t="s">
        <v>192</v>
      </c>
      <c r="B131" s="154">
        <v>486133.7</v>
      </c>
      <c r="C131" s="154">
        <v>528261.8</v>
      </c>
    </row>
    <row r="132" spans="1:3" ht="12">
      <c r="A132" s="106" t="s">
        <v>193</v>
      </c>
      <c r="B132" s="156" t="s">
        <v>33</v>
      </c>
      <c r="C132" s="156" t="s">
        <v>33</v>
      </c>
    </row>
    <row r="133" spans="1:3" ht="12">
      <c r="A133" s="106" t="s">
        <v>194</v>
      </c>
      <c r="B133" s="154">
        <v>118328.1</v>
      </c>
      <c r="C133" s="154">
        <v>134996.4</v>
      </c>
    </row>
    <row r="134" spans="1:3" ht="12">
      <c r="A134" s="106" t="s">
        <v>195</v>
      </c>
      <c r="B134" s="154">
        <v>158901.6</v>
      </c>
      <c r="C134" s="154">
        <v>174283.9</v>
      </c>
    </row>
    <row r="135" spans="1:3" ht="12">
      <c r="A135" s="106" t="s">
        <v>196</v>
      </c>
      <c r="B135" s="154">
        <v>42540.7</v>
      </c>
      <c r="C135" s="154">
        <v>47497.8</v>
      </c>
    </row>
    <row r="136" spans="1:3" ht="12">
      <c r="A136" s="106" t="s">
        <v>197</v>
      </c>
      <c r="B136" s="154">
        <v>0</v>
      </c>
      <c r="C136" s="154">
        <v>0</v>
      </c>
    </row>
    <row r="138" ht="12">
      <c r="A138" s="149" t="s">
        <v>82</v>
      </c>
    </row>
    <row r="139" spans="1:2" ht="12">
      <c r="A139" s="149" t="s">
        <v>33</v>
      </c>
      <c r="B139" s="149" t="s">
        <v>83</v>
      </c>
    </row>
    <row r="143" ht="12">
      <c r="A143" s="153" t="s">
        <v>257</v>
      </c>
    </row>
    <row r="145" spans="1:2" ht="12">
      <c r="A145" s="149" t="s">
        <v>0</v>
      </c>
      <c r="B145" s="150">
        <v>41730.84846064815</v>
      </c>
    </row>
    <row r="146" spans="1:2" ht="12">
      <c r="A146" s="149" t="s">
        <v>1</v>
      </c>
      <c r="B146" s="150">
        <v>41731.45161563657</v>
      </c>
    </row>
    <row r="147" spans="1:2" ht="12">
      <c r="A147" s="149" t="s">
        <v>48</v>
      </c>
      <c r="B147" s="149" t="s">
        <v>2</v>
      </c>
    </row>
    <row r="149" spans="1:2" ht="12">
      <c r="A149" s="149" t="s">
        <v>3</v>
      </c>
      <c r="B149" s="149" t="s">
        <v>202</v>
      </c>
    </row>
    <row r="150" spans="1:2" ht="12">
      <c r="A150" s="149" t="s">
        <v>63</v>
      </c>
      <c r="B150" s="149" t="s">
        <v>138</v>
      </c>
    </row>
    <row r="151" spans="1:2" ht="12">
      <c r="A151" s="149" t="s">
        <v>61</v>
      </c>
      <c r="B151" s="149" t="s">
        <v>203</v>
      </c>
    </row>
    <row r="153" spans="1:3" ht="12">
      <c r="A153" s="106" t="s">
        <v>170</v>
      </c>
      <c r="B153" s="106" t="s">
        <v>70</v>
      </c>
      <c r="C153" s="106" t="s">
        <v>171</v>
      </c>
    </row>
    <row r="154" spans="1:3" ht="12">
      <c r="A154" s="106" t="s">
        <v>172</v>
      </c>
      <c r="B154" s="154">
        <v>9012495.3</v>
      </c>
      <c r="C154" s="154">
        <v>10562127.1</v>
      </c>
    </row>
    <row r="155" spans="1:3" ht="12">
      <c r="A155" s="106" t="s">
        <v>173</v>
      </c>
      <c r="B155" s="154">
        <v>172915.4</v>
      </c>
      <c r="C155" s="154">
        <v>184286.3</v>
      </c>
    </row>
    <row r="156" spans="1:3" ht="12">
      <c r="A156" s="106" t="s">
        <v>258</v>
      </c>
      <c r="B156" s="154">
        <v>1867607.2</v>
      </c>
      <c r="C156" s="154">
        <v>2054477.9</v>
      </c>
    </row>
    <row r="157" spans="1:3" ht="12">
      <c r="A157" s="106" t="s">
        <v>175</v>
      </c>
      <c r="B157" s="154">
        <v>1531530.5</v>
      </c>
      <c r="C157" s="154">
        <v>1728847.9</v>
      </c>
    </row>
    <row r="158" spans="1:3" ht="12">
      <c r="A158" s="106" t="s">
        <v>149</v>
      </c>
      <c r="B158" s="154">
        <v>593702.1</v>
      </c>
      <c r="C158" s="154">
        <v>591369.6</v>
      </c>
    </row>
    <row r="159" spans="1:3" ht="12">
      <c r="A159" s="106" t="s">
        <v>259</v>
      </c>
      <c r="B159" s="154">
        <v>1742874.9</v>
      </c>
      <c r="C159" s="154">
        <v>2004494.1</v>
      </c>
    </row>
    <row r="160" spans="1:3" ht="12">
      <c r="A160" s="106" t="s">
        <v>186</v>
      </c>
      <c r="B160" s="154">
        <v>383222.1</v>
      </c>
      <c r="C160" s="154">
        <v>617042.7</v>
      </c>
    </row>
    <row r="161" spans="1:3" ht="12">
      <c r="A161" s="106" t="s">
        <v>187</v>
      </c>
      <c r="B161" s="154">
        <v>492198.7</v>
      </c>
      <c r="C161" s="154">
        <v>634821.5</v>
      </c>
    </row>
    <row r="162" spans="1:3" ht="12">
      <c r="A162" s="106" t="s">
        <v>188</v>
      </c>
      <c r="B162" s="154">
        <v>903557.1</v>
      </c>
      <c r="C162" s="154">
        <v>1086504.4</v>
      </c>
    </row>
    <row r="163" spans="1:3" ht="12">
      <c r="A163" s="106" t="s">
        <v>260</v>
      </c>
      <c r="B163" s="154">
        <v>868129.2</v>
      </c>
      <c r="C163" s="154">
        <v>1064039.5</v>
      </c>
    </row>
    <row r="164" spans="1:3" ht="12">
      <c r="A164" s="106" t="s">
        <v>261</v>
      </c>
      <c r="B164" s="154">
        <v>1672237.9</v>
      </c>
      <c r="C164" s="154">
        <v>1978783.5</v>
      </c>
    </row>
    <row r="165" spans="1:3" ht="12">
      <c r="A165" s="106" t="s">
        <v>262</v>
      </c>
      <c r="B165" s="154">
        <v>319933.1</v>
      </c>
      <c r="C165" s="154">
        <v>356814.4</v>
      </c>
    </row>
    <row r="167" ht="12">
      <c r="A167" s="149" t="s">
        <v>82</v>
      </c>
    </row>
    <row r="168" spans="1:2" ht="12">
      <c r="A168" s="149" t="s">
        <v>33</v>
      </c>
      <c r="B168" s="149" t="s">
        <v>83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99"/>
  <sheetViews>
    <sheetView zoomScalePageLayoutView="0" workbookViewId="0" topLeftCell="A1">
      <selection activeCell="N4" sqref="N4"/>
    </sheetView>
  </sheetViews>
  <sheetFormatPr defaultColWidth="11.00390625" defaultRowHeight="14.25"/>
  <cols>
    <col min="1" max="1" width="25.625" style="3" customWidth="1"/>
    <col min="2" max="2" width="9.375" style="3" bestFit="1" customWidth="1"/>
    <col min="3" max="4" width="11.125" style="3" bestFit="1" customWidth="1"/>
    <col min="5" max="6" width="10.25390625" style="3" bestFit="1" customWidth="1"/>
    <col min="7" max="16384" width="11.00390625" style="3" customWidth="1"/>
  </cols>
  <sheetData>
    <row r="1" spans="1:38" ht="12">
      <c r="A1" s="5" t="s">
        <v>322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>
      <c r="A2" s="5" t="s">
        <v>296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">
      <c r="A3" s="6" t="s">
        <v>41</v>
      </c>
      <c r="B3" s="170" t="s">
        <v>94</v>
      </c>
      <c r="C3" s="17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7" t="s">
        <v>6</v>
      </c>
      <c r="B4" s="8">
        <v>2000</v>
      </c>
      <c r="C4" s="8">
        <v>2011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10" t="s">
        <v>30</v>
      </c>
      <c r="B5" s="11">
        <f>'Acidifying gases'!H7</f>
        <v>8228.750316</v>
      </c>
      <c r="C5" s="11">
        <f>'Acidifying gases'!I7</f>
        <v>7166.229724</v>
      </c>
      <c r="D5" s="12">
        <f>B5/($B$12)*100</f>
        <v>28.107828034852243</v>
      </c>
      <c r="E5" s="12">
        <f>C5/($C$12)*100</f>
        <v>36.005014138298534</v>
      </c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>
      <c r="A6" s="10" t="s">
        <v>31</v>
      </c>
      <c r="B6" s="11">
        <f>'Acidifying gases'!H8</f>
        <v>236.81446400000002</v>
      </c>
      <c r="C6" s="11">
        <f>'Acidifying gases'!I8</f>
        <v>142.01976799999997</v>
      </c>
      <c r="D6" s="12">
        <f aca="true" t="shared" si="0" ref="D6:D11">B6/($B$12)*100</f>
        <v>0.8089126507259681</v>
      </c>
      <c r="E6" s="12">
        <f aca="true" t="shared" si="1" ref="E6:E11">C6/($C$12)*100</f>
        <v>0.7135444929476388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">
      <c r="A7" s="10" t="s">
        <v>10</v>
      </c>
      <c r="B7" s="11">
        <f>'Acidifying gases'!H9</f>
        <v>4412.969327</v>
      </c>
      <c r="C7" s="11">
        <f>'Acidifying gases'!I9</f>
        <v>2630.2257029999996</v>
      </c>
      <c r="D7" s="12">
        <f t="shared" si="0"/>
        <v>15.073854255270325</v>
      </c>
      <c r="E7" s="12">
        <f t="shared" si="1"/>
        <v>13.214942483112505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">
      <c r="A8" s="10" t="s">
        <v>11</v>
      </c>
      <c r="B8" s="11">
        <f>'Acidifying gases'!H10</f>
        <v>7905.328982999999</v>
      </c>
      <c r="C8" s="11">
        <f>'Acidifying gases'!I10</f>
        <v>3424.954338</v>
      </c>
      <c r="D8" s="12">
        <f t="shared" si="0"/>
        <v>27.00308298102666</v>
      </c>
      <c r="E8" s="12">
        <f t="shared" si="1"/>
        <v>17.20786719266452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">
      <c r="A9" s="10" t="s">
        <v>129</v>
      </c>
      <c r="B9" s="11">
        <f>'Acidifying gases'!H11</f>
        <v>3928.991663</v>
      </c>
      <c r="C9" s="11">
        <f>'Acidifying gases'!I11</f>
        <v>3513.8825159999997</v>
      </c>
      <c r="D9" s="12">
        <f t="shared" si="0"/>
        <v>13.420679662529226</v>
      </c>
      <c r="E9" s="12">
        <f t="shared" si="1"/>
        <v>17.654665638918615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">
      <c r="A10" s="10" t="s">
        <v>130</v>
      </c>
      <c r="B10" s="11">
        <f>'Acidifying gases'!H12</f>
        <v>1854.848792</v>
      </c>
      <c r="C10" s="11">
        <f>'Acidifying gases'!I12</f>
        <v>1248.7562659999999</v>
      </c>
      <c r="D10" s="12">
        <f t="shared" si="0"/>
        <v>6.335806638198331</v>
      </c>
      <c r="E10" s="12">
        <f t="shared" si="1"/>
        <v>6.274078384905943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">
      <c r="A11" s="10" t="s">
        <v>105</v>
      </c>
      <c r="B11" s="11">
        <f>'Acidifying gases'!H89</f>
        <v>2707.949863</v>
      </c>
      <c r="C11" s="11">
        <f>'Acidifying gases'!I14</f>
        <v>1777.3531819999998</v>
      </c>
      <c r="D11" s="12">
        <f t="shared" si="0"/>
        <v>9.249835777397246</v>
      </c>
      <c r="E11" s="12">
        <f t="shared" si="1"/>
        <v>8.929887669152244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">
      <c r="A12" s="13" t="s">
        <v>135</v>
      </c>
      <c r="B12" s="14">
        <f>SUM(B5:B11)</f>
        <v>29275.653408</v>
      </c>
      <c r="C12" s="14">
        <f>SUM(C5:C11)</f>
        <v>19903.421497</v>
      </c>
      <c r="D12" s="12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5:38" ht="12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5:38" ht="12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</sheetData>
  <sheetProtection/>
  <mergeCells count="1">
    <mergeCell ref="B3:C3"/>
  </mergeCells>
  <printOptions/>
  <pageMargins left="0.7" right="0.7" top="0.75" bottom="0.75" header="0.3" footer="0.3"/>
  <pageSetup fitToHeight="0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1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4.00390625" style="3" customWidth="1"/>
    <col min="2" max="2" width="14.25390625" style="3" customWidth="1"/>
    <col min="3" max="3" width="18.25390625" style="3" customWidth="1"/>
    <col min="4" max="4" width="13.125" style="3" customWidth="1"/>
    <col min="5" max="5" width="11.125" style="3" bestFit="1" customWidth="1"/>
    <col min="6" max="6" width="11.00390625" style="3" customWidth="1"/>
    <col min="7" max="7" width="0.875" style="3" customWidth="1"/>
    <col min="8" max="8" width="11.00390625" style="3" hidden="1" customWidth="1"/>
    <col min="9" max="16384" width="11.00390625" style="3" customWidth="1"/>
  </cols>
  <sheetData>
    <row r="1" spans="1:38" ht="13.5">
      <c r="A1" s="5" t="s">
        <v>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3.5">
      <c r="A3" s="5" t="s">
        <v>296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3.5">
      <c r="A4" s="6" t="s">
        <v>41</v>
      </c>
      <c r="B4" s="15" t="s">
        <v>315</v>
      </c>
      <c r="C4" s="15" t="s">
        <v>318</v>
      </c>
      <c r="D4" s="15" t="s">
        <v>317</v>
      </c>
      <c r="E4" s="16" t="s">
        <v>94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10" t="s">
        <v>30</v>
      </c>
      <c r="B5" s="11">
        <f>'Acidifying gases'!C7</f>
        <v>100.86653</v>
      </c>
      <c r="C5" s="11">
        <f>'Acidifying gases'!E7</f>
        <v>720.6138309999999</v>
      </c>
      <c r="D5" s="11">
        <f>'Acidifying gases'!G7</f>
        <v>6344.749363</v>
      </c>
      <c r="E5" s="11">
        <f>'Acidifying gases'!I7</f>
        <v>7166.229724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>
      <c r="A6" s="10" t="s">
        <v>31</v>
      </c>
      <c r="B6" s="11">
        <f>'Acidifying gases'!C8</f>
        <v>48.680330000000005</v>
      </c>
      <c r="C6" s="11">
        <f>'Acidifying gases'!E8</f>
        <v>92.73917099999998</v>
      </c>
      <c r="D6" s="11">
        <f>'Acidifying gases'!G8</f>
        <v>0.6002669999999999</v>
      </c>
      <c r="E6" s="11">
        <f>'Acidifying gases'!I8</f>
        <v>142.01976799999997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">
      <c r="A7" s="10" t="s">
        <v>10</v>
      </c>
      <c r="B7" s="11">
        <f>'Acidifying gases'!C9</f>
        <v>1443.52864</v>
      </c>
      <c r="C7" s="11">
        <f>'Acidifying gases'!E9</f>
        <v>1037.4664649999997</v>
      </c>
      <c r="D7" s="11">
        <f>'Acidifying gases'!G9</f>
        <v>149.230598</v>
      </c>
      <c r="E7" s="11">
        <f>'Acidifying gases'!I9</f>
        <v>2630.2257029999996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">
      <c r="A8" s="10" t="s">
        <v>11</v>
      </c>
      <c r="B8" s="11">
        <f>'Acidifying gases'!C10</f>
        <v>2275.7142000000003</v>
      </c>
      <c r="C8" s="11">
        <f>'Acidifying gases'!E10</f>
        <v>1140.5093909999998</v>
      </c>
      <c r="D8" s="11">
        <f>'Acidifying gases'!G10</f>
        <v>8.730747</v>
      </c>
      <c r="E8" s="11">
        <f>'Acidifying gases'!I10</f>
        <v>3424.954338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">
      <c r="A9" s="10" t="s">
        <v>129</v>
      </c>
      <c r="B9" s="11">
        <f>'Acidifying gases'!C11</f>
        <v>756.7213600000001</v>
      </c>
      <c r="C9" s="11">
        <f>'Acidifying gases'!E11</f>
        <v>2745.360275</v>
      </c>
      <c r="D9" s="11">
        <f>'Acidifying gases'!G11</f>
        <v>11.800880999999999</v>
      </c>
      <c r="E9" s="11">
        <f>'Acidifying gases'!I11</f>
        <v>3513.8825159999997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">
      <c r="A10" s="10" t="s">
        <v>130</v>
      </c>
      <c r="B10" s="11">
        <f>'Acidifying gases'!C12</f>
        <v>140.59934999999984</v>
      </c>
      <c r="C10" s="11">
        <f>'Acidifying gases'!E12</f>
        <v>943.5249180000001</v>
      </c>
      <c r="D10" s="11">
        <f>'Acidifying gases'!G12</f>
        <v>164.63199799999995</v>
      </c>
      <c r="E10" s="11">
        <f>'Acidifying gases'!I12</f>
        <v>1248.7562659999999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">
      <c r="A11" s="10" t="s">
        <v>105</v>
      </c>
      <c r="B11" s="11">
        <f>'Acidifying gases'!C14</f>
        <v>382.0079</v>
      </c>
      <c r="C11" s="11">
        <f>'Acidifying gases'!E14</f>
        <v>1165.2084849999999</v>
      </c>
      <c r="D11" s="11">
        <f>'Acidifying gases'!G14</f>
        <v>230.136797</v>
      </c>
      <c r="E11" s="11">
        <f>'Acidifying gases'!I14</f>
        <v>1777.3531819999998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">
      <c r="A12" s="13" t="s">
        <v>107</v>
      </c>
      <c r="B12" s="14">
        <f>SUM(B5:B11)</f>
        <v>5148.11831</v>
      </c>
      <c r="C12" s="14">
        <f>SUM(C5:C11)</f>
        <v>7845.422536</v>
      </c>
      <c r="D12" s="14">
        <f>SUM(D5:D11)</f>
        <v>6909.8806509999995</v>
      </c>
      <c r="E12" s="14">
        <f>SUM(E5:E11)</f>
        <v>19903.421497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">
      <c r="A13" s="13" t="s">
        <v>95</v>
      </c>
      <c r="B13" s="19">
        <f>B12/$E$12</f>
        <v>0.2586549408490377</v>
      </c>
      <c r="C13" s="19">
        <f>C12/$E$12</f>
        <v>0.39417456627658337</v>
      </c>
      <c r="D13" s="19">
        <f>D12/$E$12</f>
        <v>0.34717049287437896</v>
      </c>
      <c r="E13" s="19">
        <f>E12/$E$12</f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6:38" ht="12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6:38" ht="12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6:38" ht="12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6:38" ht="12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6:38" ht="12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6:38" ht="12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6:38" ht="12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6:38" ht="12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6:38" ht="12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6:38" ht="12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6:38" ht="12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6:38" ht="12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6:38" ht="12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6:38" ht="12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6:38" ht="12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6:38" ht="12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6:38" ht="12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6:38" ht="12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6:38" ht="12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6:38" ht="12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6:38" ht="12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6:38" ht="12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6:38" ht="12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6:38" ht="12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6:38" ht="12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6:38" ht="12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6:38" ht="12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6:38" ht="12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6:38" ht="12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6:38" ht="12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6:38" ht="12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6:38" ht="12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6:38" ht="12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6:38" ht="12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6:38" ht="12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6:38" ht="12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6:38" ht="12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6:38" ht="12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6:38" ht="12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6:38" ht="12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6:38" ht="12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6:38" ht="12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6:38" ht="12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6:38" ht="12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6:38" ht="12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6:38" ht="12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6:38" ht="12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6:38" ht="12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6:38" ht="12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6:38" ht="12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6:38" ht="12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6:38" ht="12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6:38" ht="12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6:38" ht="12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6:38" ht="12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6:38" ht="12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6:38" ht="12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6:38" ht="12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6:38" ht="12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6:38" ht="12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6:38" ht="12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6:38" ht="12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6:38" ht="12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6:38" ht="12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6:38" ht="12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6:38" ht="12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6:38" ht="12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6:38" ht="12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6:38" ht="12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6:38" ht="12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6:38" ht="12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6:38" ht="12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6:38" ht="12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6:38" ht="12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6:38" ht="12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6:38" ht="12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6:38" ht="12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6:38" ht="12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6:38" ht="12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6:38" ht="12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6:38" ht="12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6:38" ht="12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6:38" ht="12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6:38" ht="12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6:38" ht="12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6:38" ht="12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6:38" ht="12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6:38" ht="12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6:38" ht="12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6:38" ht="12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6:38" ht="12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6:38" ht="12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6:38" ht="12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6:38" ht="12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6:38" ht="12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6:38" ht="12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6:38" ht="12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6:38" ht="12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6:38" ht="12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6:38" ht="12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6:38" ht="12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6:38" ht="12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6:38" ht="12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6:38" ht="12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6:38" ht="12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6:38" ht="12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6:38" ht="12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6:38" ht="12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6:38" ht="12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6:38" ht="12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6:38" ht="12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6:38" ht="12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52"/>
  <sheetViews>
    <sheetView zoomScalePageLayoutView="0" workbookViewId="0" topLeftCell="A1">
      <selection activeCell="K16" sqref="K16"/>
    </sheetView>
  </sheetViews>
  <sheetFormatPr defaultColWidth="11.00390625" defaultRowHeight="14.25"/>
  <cols>
    <col min="1" max="1" width="9.00390625" style="3" customWidth="1"/>
    <col min="2" max="2" width="24.50390625" style="3" customWidth="1"/>
    <col min="3" max="3" width="11.625" style="3" customWidth="1"/>
    <col min="4" max="4" width="12.375" style="3" bestFit="1" customWidth="1"/>
    <col min="5" max="5" width="16.625" style="3" customWidth="1"/>
    <col min="6" max="6" width="17.75390625" style="3" customWidth="1"/>
    <col min="7" max="8" width="9.00390625" style="3" customWidth="1"/>
    <col min="9" max="10" width="9.875" style="3" bestFit="1" customWidth="1"/>
    <col min="11" max="16384" width="11.00390625" style="3" customWidth="1"/>
  </cols>
  <sheetData>
    <row r="1" spans="1:31" ht="13.5">
      <c r="A1" s="5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2">
      <c r="A4" s="1"/>
      <c r="B4" s="18" t="s">
        <v>104</v>
      </c>
      <c r="C4" s="15">
        <v>2000</v>
      </c>
      <c r="D4" s="15">
        <v>2011</v>
      </c>
      <c r="E4" s="15" t="s">
        <v>276</v>
      </c>
      <c r="F4" s="15" t="s">
        <v>273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">
      <c r="A5" s="18" t="s">
        <v>62</v>
      </c>
      <c r="B5" s="24" t="s">
        <v>7</v>
      </c>
      <c r="C5" s="25">
        <f>'Acidifying gases'!H22/'GVAEU27-2000-2011'!B10</f>
        <v>2.9482204941540346</v>
      </c>
      <c r="D5" s="25">
        <f>'Acidifying gases'!I22/'GVAEU27-2000-2011'!C10</f>
        <v>1.7163945213112928</v>
      </c>
      <c r="E5" s="25">
        <f aca="true" t="shared" si="0" ref="E5:E10">D5-C5</f>
        <v>-1.2318259728427419</v>
      </c>
      <c r="F5" s="161">
        <f aca="true" t="shared" si="1" ref="F5:F10">((D5-C5)/C5)</f>
        <v>-0.41782016483682416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">
      <c r="A6" s="18"/>
      <c r="B6" s="10" t="s">
        <v>30</v>
      </c>
      <c r="C6" s="25">
        <f>'Acidifying gases'!H23/'GVAEU27-2000-2011'!B11</f>
        <v>47.59388968224085</v>
      </c>
      <c r="D6" s="25">
        <f>'Acidifying gases'!I23/'GVAEU27-2000-2011'!C11</f>
        <v>38.87888375716613</v>
      </c>
      <c r="E6" s="25">
        <f t="shared" si="0"/>
        <v>-8.71500592507472</v>
      </c>
      <c r="F6" s="161">
        <f t="shared" si="1"/>
        <v>-0.18311186547811475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">
      <c r="A7" s="18"/>
      <c r="B7" s="10" t="s">
        <v>31</v>
      </c>
      <c r="C7" s="25">
        <f>'Acidifying gases'!H24/'GVAEU27-2000-2011'!B12</f>
        <v>2.3096864753099062</v>
      </c>
      <c r="D7" s="25">
        <f>'Acidifying gases'!I24/'GVAEU27-2000-2011'!C12</f>
        <v>2.1055843295166277</v>
      </c>
      <c r="E7" s="25">
        <f t="shared" si="0"/>
        <v>-0.20410214579327857</v>
      </c>
      <c r="F7" s="161">
        <f t="shared" si="1"/>
        <v>-0.08836790100088922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">
      <c r="A8" s="18"/>
      <c r="B8" s="10" t="s">
        <v>10</v>
      </c>
      <c r="C8" s="25">
        <f>'Acidifying gases'!H25/'GVAEU27-2000-2011'!B13</f>
        <v>2.881411324815274</v>
      </c>
      <c r="D8" s="25">
        <f>'Acidifying gases'!I25/'GVAEU27-2000-2011'!C13</f>
        <v>1.5213748433277443</v>
      </c>
      <c r="E8" s="25">
        <f t="shared" si="0"/>
        <v>-1.3600364814875299</v>
      </c>
      <c r="F8" s="161">
        <f t="shared" si="1"/>
        <v>-0.47200358719167634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">
      <c r="A9" s="22"/>
      <c r="B9" s="10" t="s">
        <v>11</v>
      </c>
      <c r="C9" s="25">
        <f>'Acidifying gases'!H26/'GVAEU27-2000-2011'!B14</f>
        <v>50.21902960290184</v>
      </c>
      <c r="D9" s="25">
        <f>'Acidifying gases'!I26/'GVAEU27-2000-2011'!C14</f>
        <v>20.014506111372132</v>
      </c>
      <c r="E9" s="25">
        <f t="shared" si="0"/>
        <v>-30.20452349152971</v>
      </c>
      <c r="F9" s="161">
        <f t="shared" si="1"/>
        <v>-0.6014557376031889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">
      <c r="A10" s="22"/>
      <c r="B10" s="10" t="s">
        <v>129</v>
      </c>
      <c r="C10" s="25">
        <f>'Acidifying gases'!H27/'GVAEU27-2000-2011'!B15</f>
        <v>14.224051415945958</v>
      </c>
      <c r="D10" s="25">
        <f>'Acidifying gases'!I27/'GVAEU27-2000-2011'!C15</f>
        <v>11.571247931990136</v>
      </c>
      <c r="E10" s="25">
        <f t="shared" si="0"/>
        <v>-2.6528034839558217</v>
      </c>
      <c r="F10" s="161">
        <f t="shared" si="1"/>
        <v>-0.18650125807207646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zoomScalePageLayoutView="0" workbookViewId="0" topLeftCell="A1">
      <selection activeCell="A47" sqref="A47"/>
    </sheetView>
  </sheetViews>
  <sheetFormatPr defaultColWidth="9.00390625" defaultRowHeight="14.25"/>
  <cols>
    <col min="1" max="1" width="38.25390625" style="3" customWidth="1"/>
    <col min="2" max="9" width="11.375" style="3" bestFit="1" customWidth="1"/>
    <col min="10" max="10" width="12.00390625" style="3" bestFit="1" customWidth="1"/>
    <col min="11" max="13" width="11.375" style="3" bestFit="1" customWidth="1"/>
    <col min="14" max="14" width="10.25390625" style="3" bestFit="1" customWidth="1"/>
    <col min="15" max="16384" width="9.00390625" style="3" customWidth="1"/>
  </cols>
  <sheetData>
    <row r="1" ht="13.5">
      <c r="A1" s="5" t="s">
        <v>300</v>
      </c>
    </row>
    <row r="2" ht="12">
      <c r="A2" s="20" t="s">
        <v>290</v>
      </c>
    </row>
    <row r="4" spans="1:2" ht="12">
      <c r="A4" s="20" t="s">
        <v>0</v>
      </c>
      <c r="B4" s="21">
        <v>41409.41678240741</v>
      </c>
    </row>
    <row r="5" spans="1:2" ht="12">
      <c r="A5" s="20" t="s">
        <v>1</v>
      </c>
      <c r="B5" s="21">
        <v>41781.58607638889</v>
      </c>
    </row>
    <row r="6" spans="1:2" ht="12">
      <c r="A6" s="20" t="s">
        <v>48</v>
      </c>
      <c r="B6" s="20" t="s">
        <v>2</v>
      </c>
    </row>
    <row r="8" spans="1:2" ht="12">
      <c r="A8" s="20" t="s">
        <v>63</v>
      </c>
      <c r="B8" s="20" t="s">
        <v>64</v>
      </c>
    </row>
    <row r="9" spans="1:2" ht="12">
      <c r="A9" s="20" t="s">
        <v>69</v>
      </c>
      <c r="B9" s="121" t="s">
        <v>71</v>
      </c>
    </row>
    <row r="10" spans="1:2" ht="12">
      <c r="A10" s="20" t="s">
        <v>3</v>
      </c>
      <c r="B10" s="20" t="s">
        <v>4</v>
      </c>
    </row>
    <row r="12" spans="1:13" ht="12">
      <c r="A12" s="15" t="s">
        <v>286</v>
      </c>
      <c r="B12" s="17" t="s">
        <v>70</v>
      </c>
      <c r="C12" s="17" t="s">
        <v>284</v>
      </c>
      <c r="D12" s="17" t="s">
        <v>283</v>
      </c>
      <c r="E12" s="17" t="s">
        <v>282</v>
      </c>
      <c r="F12" s="17" t="s">
        <v>281</v>
      </c>
      <c r="G12" s="17" t="s">
        <v>280</v>
      </c>
      <c r="H12" s="17" t="s">
        <v>279</v>
      </c>
      <c r="I12" s="17" t="s">
        <v>278</v>
      </c>
      <c r="J12" s="165" t="s">
        <v>287</v>
      </c>
      <c r="K12" s="165" t="s">
        <v>288</v>
      </c>
      <c r="L12" s="165" t="s">
        <v>289</v>
      </c>
      <c r="M12" s="165" t="s">
        <v>171</v>
      </c>
    </row>
    <row r="13" spans="1:13" ht="12.75">
      <c r="A13" s="94" t="s">
        <v>291</v>
      </c>
      <c r="B13" s="166">
        <v>8162316.77</v>
      </c>
      <c r="C13" s="166">
        <v>7888149.52</v>
      </c>
      <c r="D13" s="166">
        <v>7605678.71</v>
      </c>
      <c r="E13" s="166">
        <v>7568425.18</v>
      </c>
      <c r="F13" s="166">
        <v>7458171.81</v>
      </c>
      <c r="G13" s="166">
        <v>7086474.92</v>
      </c>
      <c r="H13" s="166">
        <v>7065302.59</v>
      </c>
      <c r="I13" s="166">
        <v>6793389.38</v>
      </c>
      <c r="J13" s="166">
        <v>5257901.25</v>
      </c>
      <c r="K13" s="166">
        <v>4800499.12</v>
      </c>
      <c r="L13" s="166">
        <v>4770980.16</v>
      </c>
      <c r="M13" s="166">
        <v>4692937.51</v>
      </c>
    </row>
    <row r="14" spans="1:13" ht="12.75">
      <c r="A14" s="94" t="s">
        <v>36</v>
      </c>
      <c r="B14" s="166">
        <v>11718391.86</v>
      </c>
      <c r="C14" s="166">
        <v>11613672.16</v>
      </c>
      <c r="D14" s="166">
        <v>11564365.06</v>
      </c>
      <c r="E14" s="166">
        <v>11664992.43</v>
      </c>
      <c r="F14" s="166">
        <v>11727182.77</v>
      </c>
      <c r="G14" s="166">
        <v>11809756.23</v>
      </c>
      <c r="H14" s="166">
        <v>11774016.94</v>
      </c>
      <c r="I14" s="166">
        <v>11730789.04</v>
      </c>
      <c r="J14" s="166">
        <v>10723843.14</v>
      </c>
      <c r="K14" s="167">
        <v>9688555.3</v>
      </c>
      <c r="L14" s="166">
        <v>9567361.53</v>
      </c>
      <c r="M14" s="166">
        <v>9543162.94</v>
      </c>
    </row>
    <row r="15" spans="1:13" ht="12.75">
      <c r="A15" s="94" t="s">
        <v>37</v>
      </c>
      <c r="B15" s="166">
        <v>16512691.37</v>
      </c>
      <c r="C15" s="166">
        <v>15768140.87</v>
      </c>
      <c r="D15" s="166">
        <v>15138470.15</v>
      </c>
      <c r="E15" s="166">
        <v>14616127.01</v>
      </c>
      <c r="F15" s="166">
        <v>14690459.28</v>
      </c>
      <c r="G15" s="166">
        <v>13960329.67</v>
      </c>
      <c r="H15" s="166">
        <v>13795902.56</v>
      </c>
      <c r="I15" s="166">
        <v>13350004.01</v>
      </c>
      <c r="J15" s="166">
        <v>11979293.37</v>
      </c>
      <c r="K15" s="166">
        <v>10127134.51</v>
      </c>
      <c r="L15" s="166">
        <v>11113379.67</v>
      </c>
      <c r="M15" s="166">
        <v>10779913.61</v>
      </c>
    </row>
    <row r="16" spans="1:14" ht="12.75">
      <c r="A16" s="94" t="s">
        <v>43</v>
      </c>
      <c r="B16" s="166">
        <v>21809633.87</v>
      </c>
      <c r="C16" s="167">
        <v>21186249.6</v>
      </c>
      <c r="D16" s="166">
        <v>20751530.35</v>
      </c>
      <c r="E16" s="166">
        <v>20242427.98</v>
      </c>
      <c r="F16" s="167">
        <v>19689345.9</v>
      </c>
      <c r="G16" s="166">
        <v>19397674.88</v>
      </c>
      <c r="H16" s="166">
        <v>19178205.29</v>
      </c>
      <c r="I16" s="167">
        <v>18935406.4</v>
      </c>
      <c r="J16" s="166">
        <v>18248180.91</v>
      </c>
      <c r="K16" s="167">
        <v>17819022.4</v>
      </c>
      <c r="L16" s="166">
        <v>17618888.73</v>
      </c>
      <c r="M16" s="166">
        <v>17322577.65</v>
      </c>
      <c r="N16" s="3" t="s">
        <v>277</v>
      </c>
    </row>
    <row r="17" spans="2:13" ht="12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</row>
    <row r="18" spans="2:13" ht="12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13" ht="12">
      <c r="A19" s="20" t="s">
        <v>63</v>
      </c>
      <c r="B19" s="20" t="s">
        <v>64</v>
      </c>
      <c r="J19" s="130"/>
      <c r="K19" s="130"/>
      <c r="L19" s="130"/>
      <c r="M19" s="130"/>
    </row>
    <row r="20" spans="1:2" ht="12">
      <c r="A20" s="20" t="s">
        <v>69</v>
      </c>
      <c r="B20" s="121" t="s">
        <v>32</v>
      </c>
    </row>
    <row r="21" spans="1:2" ht="12">
      <c r="A21" s="20" t="s">
        <v>3</v>
      </c>
      <c r="B21" s="20" t="s">
        <v>4</v>
      </c>
    </row>
    <row r="23" spans="1:13" ht="12">
      <c r="A23" s="15" t="s">
        <v>286</v>
      </c>
      <c r="B23" s="15" t="s">
        <v>70</v>
      </c>
      <c r="C23" s="15" t="s">
        <v>284</v>
      </c>
      <c r="D23" s="15" t="s">
        <v>283</v>
      </c>
      <c r="E23" s="15" t="s">
        <v>282</v>
      </c>
      <c r="F23" s="15" t="s">
        <v>281</v>
      </c>
      <c r="G23" s="15" t="s">
        <v>280</v>
      </c>
      <c r="H23" s="15" t="s">
        <v>279</v>
      </c>
      <c r="I23" s="15" t="s">
        <v>278</v>
      </c>
      <c r="J23" s="163" t="s">
        <v>287</v>
      </c>
      <c r="K23" s="163" t="s">
        <v>288</v>
      </c>
      <c r="L23" s="163" t="s">
        <v>289</v>
      </c>
      <c r="M23" s="163" t="s">
        <v>171</v>
      </c>
    </row>
    <row r="24" spans="1:13" ht="12.75">
      <c r="A24" s="94" t="s">
        <v>291</v>
      </c>
      <c r="B24" s="166">
        <v>4435422.62</v>
      </c>
      <c r="C24" s="166">
        <v>4206133.26</v>
      </c>
      <c r="D24" s="166">
        <v>3936684.88</v>
      </c>
      <c r="E24" s="166">
        <v>3798390.34</v>
      </c>
      <c r="F24" s="166">
        <v>3592067.67</v>
      </c>
      <c r="G24" s="166">
        <v>3351269.72</v>
      </c>
      <c r="H24" s="167">
        <v>3212640.7</v>
      </c>
      <c r="I24" s="166">
        <v>3014287.16</v>
      </c>
      <c r="J24" s="166">
        <v>2930103.42</v>
      </c>
      <c r="K24" s="166">
        <v>2806314.28</v>
      </c>
      <c r="L24" s="167">
        <v>2809611.8</v>
      </c>
      <c r="M24" s="166">
        <v>2614890.33</v>
      </c>
    </row>
    <row r="25" spans="1:13" ht="12.75">
      <c r="A25" s="94" t="s">
        <v>36</v>
      </c>
      <c r="B25" s="166">
        <v>2742392.54</v>
      </c>
      <c r="C25" s="166">
        <v>2671993.58</v>
      </c>
      <c r="D25" s="166">
        <v>2550623.98</v>
      </c>
      <c r="E25" s="166">
        <v>2464540.75</v>
      </c>
      <c r="F25" s="166">
        <v>2359550.73</v>
      </c>
      <c r="G25" s="166">
        <v>2265508.23</v>
      </c>
      <c r="H25" s="166">
        <v>2155582.87</v>
      </c>
      <c r="I25" s="166">
        <v>2067157.63</v>
      </c>
      <c r="J25" s="167">
        <v>1960920.1</v>
      </c>
      <c r="K25" s="166">
        <v>1854729.09</v>
      </c>
      <c r="L25" s="166">
        <v>1831530.53</v>
      </c>
      <c r="M25" s="166">
        <v>1664583.55</v>
      </c>
    </row>
    <row r="26" spans="1:13" ht="12.75">
      <c r="A26" s="94" t="s">
        <v>37</v>
      </c>
      <c r="B26" s="166">
        <v>23038252.52</v>
      </c>
      <c r="C26" s="166">
        <v>21953144.53</v>
      </c>
      <c r="D26" s="166">
        <v>20491436.72</v>
      </c>
      <c r="E26" s="166">
        <v>19417651.28</v>
      </c>
      <c r="F26" s="166">
        <v>18234744.15</v>
      </c>
      <c r="G26" s="166">
        <v>17083769.44</v>
      </c>
      <c r="H26" s="166">
        <v>16160639.99</v>
      </c>
      <c r="I26" s="166">
        <v>15324646.23</v>
      </c>
      <c r="J26" s="166">
        <v>14495605.89</v>
      </c>
      <c r="K26" s="166">
        <v>13711010.59</v>
      </c>
      <c r="L26" s="166">
        <v>14157973.13</v>
      </c>
      <c r="M26" s="166">
        <v>12729109.55</v>
      </c>
    </row>
    <row r="27" spans="1:13" ht="12.75">
      <c r="A27" s="94" t="s">
        <v>43</v>
      </c>
      <c r="B27" s="166">
        <v>698968.66</v>
      </c>
      <c r="C27" s="166">
        <v>691768.83</v>
      </c>
      <c r="D27" s="166">
        <v>651501.73</v>
      </c>
      <c r="E27" s="166">
        <v>654122.68</v>
      </c>
      <c r="F27" s="166">
        <v>644657.27</v>
      </c>
      <c r="G27" s="166">
        <v>644213.37</v>
      </c>
      <c r="H27" s="166">
        <v>637834.11</v>
      </c>
      <c r="I27" s="166">
        <v>609390.94</v>
      </c>
      <c r="J27" s="166">
        <v>979193.33</v>
      </c>
      <c r="K27" s="166">
        <v>963783.27</v>
      </c>
      <c r="L27" s="166">
        <v>994096.55</v>
      </c>
      <c r="M27" s="166">
        <v>930129.08</v>
      </c>
    </row>
    <row r="28" spans="1:13" ht="12">
      <c r="A28" s="2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9" ht="12">
      <c r="A29" s="41"/>
      <c r="B29" s="41"/>
      <c r="C29" s="41" t="s">
        <v>87</v>
      </c>
      <c r="D29" s="41">
        <v>1.22</v>
      </c>
      <c r="E29" s="41" t="s">
        <v>37</v>
      </c>
      <c r="F29" s="41">
        <v>0.11</v>
      </c>
      <c r="G29" s="41" t="s">
        <v>43</v>
      </c>
      <c r="H29" s="168">
        <v>0.014</v>
      </c>
      <c r="I29" s="41"/>
    </row>
    <row r="30" spans="1:9" ht="12">
      <c r="A30" s="121" t="s">
        <v>301</v>
      </c>
      <c r="B30" s="41"/>
      <c r="C30" s="41"/>
      <c r="D30" s="41"/>
      <c r="E30" s="41"/>
      <c r="F30" s="41"/>
      <c r="G30" s="41"/>
      <c r="H30" s="41"/>
      <c r="I30" s="41"/>
    </row>
    <row r="31" spans="1:13" ht="12">
      <c r="A31" s="121"/>
      <c r="B31" s="15" t="s">
        <v>70</v>
      </c>
      <c r="C31" s="15" t="s">
        <v>284</v>
      </c>
      <c r="D31" s="15" t="s">
        <v>283</v>
      </c>
      <c r="E31" s="15" t="s">
        <v>282</v>
      </c>
      <c r="F31" s="15" t="s">
        <v>281</v>
      </c>
      <c r="G31" s="15" t="s">
        <v>280</v>
      </c>
      <c r="H31" s="15" t="s">
        <v>279</v>
      </c>
      <c r="I31" s="15" t="s">
        <v>278</v>
      </c>
      <c r="J31" s="163" t="s">
        <v>287</v>
      </c>
      <c r="K31" s="163" t="s">
        <v>288</v>
      </c>
      <c r="L31" s="163" t="s">
        <v>289</v>
      </c>
      <c r="M31" s="163" t="s">
        <v>171</v>
      </c>
    </row>
    <row r="32" spans="1:13" ht="12">
      <c r="A32" s="94" t="s">
        <v>318</v>
      </c>
      <c r="B32" s="130">
        <f aca="true" t="shared" si="0" ref="B32:M32">(B14*1.22+B25*1.22)/1000</f>
        <v>17642.156968</v>
      </c>
      <c r="C32" s="130">
        <f t="shared" si="0"/>
        <v>17428.512202799997</v>
      </c>
      <c r="D32" s="130">
        <f t="shared" si="0"/>
        <v>17220.2866288</v>
      </c>
      <c r="E32" s="130">
        <f t="shared" si="0"/>
        <v>17238.0304796</v>
      </c>
      <c r="F32" s="130">
        <f t="shared" si="0"/>
        <v>17185.814870000002</v>
      </c>
      <c r="G32" s="130">
        <f t="shared" si="0"/>
        <v>17171.8226412</v>
      </c>
      <c r="H32" s="130">
        <f t="shared" si="0"/>
        <v>16994.1117682</v>
      </c>
      <c r="I32" s="130">
        <f t="shared" si="0"/>
        <v>16833.4949374</v>
      </c>
      <c r="J32" s="130">
        <f t="shared" si="0"/>
        <v>15475.411152800001</v>
      </c>
      <c r="K32" s="130">
        <f t="shared" si="0"/>
        <v>14082.8069558</v>
      </c>
      <c r="L32" s="130">
        <f t="shared" si="0"/>
        <v>13906.6483132</v>
      </c>
      <c r="M32" s="130">
        <f t="shared" si="0"/>
        <v>13673.450717799999</v>
      </c>
    </row>
    <row r="33" spans="1:13" ht="12">
      <c r="A33" s="94" t="s">
        <v>58</v>
      </c>
      <c r="B33" s="130">
        <f aca="true" t="shared" si="1" ref="B33:M33">(B15*0.11+B26*0.11)/1000</f>
        <v>4350.6038278999995</v>
      </c>
      <c r="C33" s="130">
        <f t="shared" si="1"/>
        <v>4149.341394</v>
      </c>
      <c r="D33" s="130">
        <f t="shared" si="1"/>
        <v>3919.2897557</v>
      </c>
      <c r="E33" s="130">
        <f t="shared" si="1"/>
        <v>3743.7156119</v>
      </c>
      <c r="F33" s="130">
        <f t="shared" si="1"/>
        <v>3621.7723773</v>
      </c>
      <c r="G33" s="130">
        <f t="shared" si="1"/>
        <v>3414.8509021</v>
      </c>
      <c r="H33" s="130">
        <f t="shared" si="1"/>
        <v>3295.2196805000003</v>
      </c>
      <c r="I33" s="130">
        <f t="shared" si="1"/>
        <v>3154.2115264</v>
      </c>
      <c r="J33" s="130">
        <f t="shared" si="1"/>
        <v>2912.2389186</v>
      </c>
      <c r="K33" s="130">
        <f t="shared" si="1"/>
        <v>2622.1959610000004</v>
      </c>
      <c r="L33" s="130">
        <f t="shared" si="1"/>
        <v>2779.848808</v>
      </c>
      <c r="M33" s="130">
        <f t="shared" si="1"/>
        <v>2585.9925476000003</v>
      </c>
    </row>
    <row r="34" spans="1:13" ht="12">
      <c r="A34" s="94" t="s">
        <v>319</v>
      </c>
      <c r="B34" s="162">
        <f aca="true" t="shared" si="2" ref="B34:M34">(B13+B24)/1000</f>
        <v>12597.73939</v>
      </c>
      <c r="C34" s="162">
        <f t="shared" si="2"/>
        <v>12094.28278</v>
      </c>
      <c r="D34" s="162">
        <f t="shared" si="2"/>
        <v>11542.363589999999</v>
      </c>
      <c r="E34" s="162">
        <f t="shared" si="2"/>
        <v>11366.81552</v>
      </c>
      <c r="F34" s="162">
        <f t="shared" si="2"/>
        <v>11050.23948</v>
      </c>
      <c r="G34" s="162">
        <f t="shared" si="2"/>
        <v>10437.74464</v>
      </c>
      <c r="H34" s="162">
        <f t="shared" si="2"/>
        <v>10277.94329</v>
      </c>
      <c r="I34" s="162">
        <f t="shared" si="2"/>
        <v>9807.676539999999</v>
      </c>
      <c r="J34" s="162">
        <f t="shared" si="2"/>
        <v>8188.00467</v>
      </c>
      <c r="K34" s="162">
        <f t="shared" si="2"/>
        <v>7606.8134</v>
      </c>
      <c r="L34" s="162">
        <f t="shared" si="2"/>
        <v>7580.59196</v>
      </c>
      <c r="M34" s="162">
        <f t="shared" si="2"/>
        <v>7307.82784</v>
      </c>
    </row>
    <row r="35" spans="1:13" ht="13.5">
      <c r="A35" s="94" t="s">
        <v>320</v>
      </c>
      <c r="B35" s="162">
        <f aca="true" t="shared" si="3" ref="B35:M35">(B16*0.014+B27*0.014)/1000</f>
        <v>315.12043542000004</v>
      </c>
      <c r="C35" s="162">
        <f t="shared" si="3"/>
        <v>306.29225802</v>
      </c>
      <c r="D35" s="162">
        <f t="shared" si="3"/>
        <v>299.64244912000004</v>
      </c>
      <c r="E35" s="162">
        <f t="shared" si="3"/>
        <v>292.55170924</v>
      </c>
      <c r="F35" s="162">
        <f t="shared" si="3"/>
        <v>284.67604437999995</v>
      </c>
      <c r="G35" s="162">
        <f t="shared" si="3"/>
        <v>280.58643549999994</v>
      </c>
      <c r="H35" s="162">
        <f t="shared" si="3"/>
        <v>277.42455160000003</v>
      </c>
      <c r="I35" s="162">
        <f t="shared" si="3"/>
        <v>273.62716276</v>
      </c>
      <c r="J35" s="162">
        <f t="shared" si="3"/>
        <v>269.18323936</v>
      </c>
      <c r="K35" s="162">
        <f t="shared" si="3"/>
        <v>262.95927938</v>
      </c>
      <c r="L35" s="162">
        <f t="shared" si="3"/>
        <v>260.58179392</v>
      </c>
      <c r="M35" s="162">
        <f t="shared" si="3"/>
        <v>255.53789422</v>
      </c>
    </row>
    <row r="36" spans="2:13" ht="12">
      <c r="B36" s="130">
        <f aca="true" t="shared" si="4" ref="B36:M36">SUM(B34:B35)</f>
        <v>12912.85982542</v>
      </c>
      <c r="C36" s="130">
        <f t="shared" si="4"/>
        <v>12400.575038019999</v>
      </c>
      <c r="D36" s="130">
        <f t="shared" si="4"/>
        <v>11842.006039119999</v>
      </c>
      <c r="E36" s="130">
        <f t="shared" si="4"/>
        <v>11659.36722924</v>
      </c>
      <c r="F36" s="130">
        <f t="shared" si="4"/>
        <v>11334.91552438</v>
      </c>
      <c r="G36" s="130">
        <f t="shared" si="4"/>
        <v>10718.3310755</v>
      </c>
      <c r="H36" s="130">
        <f t="shared" si="4"/>
        <v>10555.367841599998</v>
      </c>
      <c r="I36" s="130">
        <f t="shared" si="4"/>
        <v>10081.303702759998</v>
      </c>
      <c r="J36" s="130">
        <f t="shared" si="4"/>
        <v>8457.18790936</v>
      </c>
      <c r="K36" s="130">
        <f t="shared" si="4"/>
        <v>7869.77267938</v>
      </c>
      <c r="L36" s="130">
        <f t="shared" si="4"/>
        <v>7841.173753919999</v>
      </c>
      <c r="M36" s="130">
        <f t="shared" si="4"/>
        <v>7563.36573422</v>
      </c>
    </row>
  </sheetData>
  <sheetProtection/>
  <printOptions/>
  <pageMargins left="0.75" right="0.75" top="1" bottom="1" header="0.5" footer="0.5"/>
  <pageSetup fitToHeight="1" fitToWidth="1" horizontalDpi="300" verticalDpi="300" orientation="landscape" pageOrder="overThenDown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89"/>
  <sheetViews>
    <sheetView zoomScalePageLayoutView="0" workbookViewId="0" topLeftCell="A1">
      <selection activeCell="K8" sqref="K8"/>
    </sheetView>
  </sheetViews>
  <sheetFormatPr defaultColWidth="11.00390625" defaultRowHeight="14.25"/>
  <cols>
    <col min="1" max="1" width="23.00390625" style="3" bestFit="1" customWidth="1"/>
    <col min="2" max="3" width="10.25390625" style="3" bestFit="1" customWidth="1"/>
    <col min="4" max="16384" width="11.00390625" style="3" customWidth="1"/>
  </cols>
  <sheetData>
    <row r="1" spans="1:26" ht="13.5">
      <c r="A1" s="5" t="s">
        <v>323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>
      <c r="A5" s="10"/>
      <c r="B5" s="172" t="s">
        <v>292</v>
      </c>
      <c r="C5" s="1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>
      <c r="A6" s="10" t="s">
        <v>6</v>
      </c>
      <c r="B6" s="26">
        <v>2000</v>
      </c>
      <c r="C6" s="26">
        <v>2011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>
      <c r="A7" s="10" t="s">
        <v>30</v>
      </c>
      <c r="B7" s="11">
        <f>'Tropospheric ozone percursors'!J6</f>
        <v>4066648.2973800004</v>
      </c>
      <c r="C7" s="11">
        <f>'Tropospheric ozone percursors'!K6</f>
        <v>2298213.46418</v>
      </c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>
      <c r="A8" s="10" t="s">
        <v>31</v>
      </c>
      <c r="B8" s="11">
        <f>'Tropospheric ozone percursors'!J7</f>
        <v>625926.83692</v>
      </c>
      <c r="C8" s="11">
        <f>'Tropospheric ozone percursors'!K7</f>
        <v>338382.01631999994</v>
      </c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>
      <c r="A9" s="10" t="s">
        <v>10</v>
      </c>
      <c r="B9" s="11">
        <f>'Tropospheric ozone percursors'!J8</f>
        <v>7007724.497640001</v>
      </c>
      <c r="C9" s="11">
        <f>'Tropospheric ozone percursors'!K8</f>
        <v>4820770.582119999</v>
      </c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>
      <c r="A10" s="10" t="s">
        <v>11</v>
      </c>
      <c r="B10" s="11">
        <f>'Tropospheric ozone percursors'!J9</f>
        <v>2982544.29012</v>
      </c>
      <c r="C10" s="11">
        <f>'Tropospheric ozone percursors'!K9</f>
        <v>2236242.8847199995</v>
      </c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>
      <c r="A11" s="10" t="s">
        <v>129</v>
      </c>
      <c r="B11" s="11">
        <f>'Tropospheric ozone percursors'!J10</f>
        <v>5372049.7763</v>
      </c>
      <c r="C11" s="11">
        <f>'Tropospheric ozone percursors'!K10</f>
        <v>5290091.49254</v>
      </c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>
      <c r="A12" s="10" t="s">
        <v>130</v>
      </c>
      <c r="B12" s="11">
        <f>'Tropospheric ozone percursors'!J11</f>
        <v>4525592.14232</v>
      </c>
      <c r="C12" s="11">
        <f>'Tropospheric ozone percursors'!K11</f>
        <v>2780202.4300199985</v>
      </c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>
      <c r="A13" s="10" t="s">
        <v>105</v>
      </c>
      <c r="B13" s="11">
        <f>'Tropospheric ozone percursors'!J13</f>
        <v>10325134.857239999</v>
      </c>
      <c r="C13" s="11">
        <f>'Tropospheric ozone percursors'!K13</f>
        <v>6058906.118620001</v>
      </c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>
      <c r="A14" s="10" t="s">
        <v>96</v>
      </c>
      <c r="B14" s="11">
        <f>SUM(B7:B13)</f>
        <v>34905620.697919995</v>
      </c>
      <c r="C14" s="11">
        <f>SUM(C7:C13)</f>
        <v>23822808.988519996</v>
      </c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</sheetData>
  <sheetProtection/>
  <mergeCells count="1">
    <mergeCell ref="B5:C5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157"/>
  <sheetViews>
    <sheetView zoomScalePageLayoutView="0" workbookViewId="0" topLeftCell="A1">
      <selection activeCell="L24" sqref="L24"/>
    </sheetView>
  </sheetViews>
  <sheetFormatPr defaultColWidth="11.00390625" defaultRowHeight="14.25"/>
  <cols>
    <col min="1" max="1" width="23.00390625" style="3" bestFit="1" customWidth="1"/>
    <col min="2" max="2" width="16.125" style="3" customWidth="1"/>
    <col min="3" max="3" width="18.625" style="3" customWidth="1"/>
    <col min="4" max="4" width="10.25390625" style="3" bestFit="1" customWidth="1"/>
    <col min="5" max="5" width="15.625" style="3" customWidth="1"/>
    <col min="6" max="6" width="12.00390625" style="3" customWidth="1"/>
    <col min="7" max="16384" width="11.00390625" style="3" customWidth="1"/>
  </cols>
  <sheetData>
    <row r="1" spans="1:34" ht="13.5">
      <c r="A1" s="5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">
      <c r="A4" s="169" t="s">
        <v>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7" ht="12">
      <c r="A5" s="6"/>
      <c r="B5" s="15" t="s">
        <v>318</v>
      </c>
      <c r="C5" s="15" t="s">
        <v>58</v>
      </c>
      <c r="D5" s="15" t="s">
        <v>319</v>
      </c>
      <c r="E5" s="15" t="s">
        <v>321</v>
      </c>
      <c r="F5" s="15" t="s">
        <v>292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>
      <c r="A6" s="7" t="s">
        <v>6</v>
      </c>
      <c r="B6" s="17">
        <v>2011</v>
      </c>
      <c r="C6" s="17">
        <v>2011</v>
      </c>
      <c r="D6" s="17">
        <v>2011</v>
      </c>
      <c r="E6" s="17">
        <v>2011</v>
      </c>
      <c r="F6" s="17">
        <v>2011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>
      <c r="A7" s="10" t="s">
        <v>30</v>
      </c>
      <c r="B7" s="11">
        <f>'Tropospheric ozone percursors'!C20</f>
        <v>1255.9269626</v>
      </c>
      <c r="C7" s="11">
        <f>'Tropospheric ozone percursors'!G20</f>
        <v>172.96859030000002</v>
      </c>
      <c r="D7" s="11">
        <f>'Tropospheric ozone percursors'!I20</f>
        <v>740.7634499999999</v>
      </c>
      <c r="E7" s="11">
        <f>'Tropospheric ozone percursors'!E20</f>
        <v>128.55446128</v>
      </c>
      <c r="F7" s="11">
        <f aca="true" t="shared" si="0" ref="F7:F13">B7+C7+D7+E7</f>
        <v>2298.21346418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">
      <c r="A8" s="10" t="s">
        <v>31</v>
      </c>
      <c r="B8" s="11">
        <f>'Tropospheric ozone percursors'!C21</f>
        <v>161.6311266</v>
      </c>
      <c r="C8" s="11">
        <f>'Tropospheric ozone percursors'!G21</f>
        <v>5.6795629</v>
      </c>
      <c r="D8" s="11">
        <f>'Tropospheric ozone percursors'!I21</f>
        <v>153.30011</v>
      </c>
      <c r="E8" s="11">
        <f>'Tropospheric ozone percursors'!E21</f>
        <v>17.77121682</v>
      </c>
      <c r="F8" s="11">
        <f t="shared" si="0"/>
        <v>338.38201632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>
      <c r="A9" s="10" t="s">
        <v>10</v>
      </c>
      <c r="B9" s="11">
        <f>'Tropospheric ozone percursors'!C22</f>
        <v>1808.155839</v>
      </c>
      <c r="C9" s="11">
        <f>'Tropospheric ozone percursors'!G22</f>
        <v>612.2604719</v>
      </c>
      <c r="D9" s="11">
        <f>'Tropospheric ozone percursors'!I22</f>
        <v>2394.86897</v>
      </c>
      <c r="E9" s="11">
        <f>'Tropospheric ozone percursors'!E22</f>
        <v>5.48530122</v>
      </c>
      <c r="F9" s="11">
        <f t="shared" si="0"/>
        <v>4820.77058212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>
      <c r="A10" s="10" t="s">
        <v>11</v>
      </c>
      <c r="B10" s="11">
        <f>'Tropospheric ozone percursors'!C23</f>
        <v>1987.7449385999998</v>
      </c>
      <c r="C10" s="11">
        <f>'Tropospheric ozone percursors'!G23</f>
        <v>68.483613</v>
      </c>
      <c r="D10" s="11">
        <f>'Tropospheric ozone percursors'!I23</f>
        <v>164.99019</v>
      </c>
      <c r="E10" s="11">
        <f>'Tropospheric ozone percursors'!E23</f>
        <v>15.024143120000002</v>
      </c>
      <c r="F10" s="11">
        <f t="shared" si="0"/>
        <v>2236.24288472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">
      <c r="A11" s="10" t="s">
        <v>129</v>
      </c>
      <c r="B11" s="11">
        <f>'Tropospheric ozone percursors'!C24</f>
        <v>4784.770765</v>
      </c>
      <c r="C11" s="11">
        <f>'Tropospheric ozone percursors'!G24</f>
        <v>166.9381263</v>
      </c>
      <c r="D11" s="11">
        <f>'Tropospheric ozone percursors'!I24</f>
        <v>336.44746999999995</v>
      </c>
      <c r="E11" s="11">
        <f>'Tropospheric ozone percursors'!E24</f>
        <v>1.93513124</v>
      </c>
      <c r="F11" s="11">
        <f t="shared" si="0"/>
        <v>5290.09149254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">
      <c r="A12" s="10" t="s">
        <v>130</v>
      </c>
      <c r="B12" s="11">
        <f>'Tropospheric ozone percursors'!C25</f>
        <v>1644.4291427999985</v>
      </c>
      <c r="C12" s="11">
        <f>'Tropospheric ozone percursors'!G25</f>
        <v>159.46013379999988</v>
      </c>
      <c r="D12" s="11">
        <f>'Tropospheric ozone percursors'!I25</f>
        <v>902.5673199999999</v>
      </c>
      <c r="E12" s="11">
        <f>'Tropospheric ozone percursors'!E25</f>
        <v>73.74583342</v>
      </c>
      <c r="F12" s="11">
        <f t="shared" si="0"/>
        <v>2780.2024300199982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">
      <c r="A13" s="10" t="s">
        <v>105</v>
      </c>
      <c r="B13" s="11">
        <f>'Tropospheric ozone percursors'!C27</f>
        <v>2030.7919310000002</v>
      </c>
      <c r="C13" s="11">
        <f>'Tropospheric ozone percursors'!G27</f>
        <v>1400.2020505</v>
      </c>
      <c r="D13" s="11">
        <f>'Tropospheric ozone percursors'!I27</f>
        <v>2614.89033</v>
      </c>
      <c r="E13" s="11">
        <f>'Tropospheric ozone percursors'!E27</f>
        <v>13.02180712</v>
      </c>
      <c r="F13" s="11">
        <f t="shared" si="0"/>
        <v>6058.90611862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">
      <c r="A14" s="18" t="s">
        <v>96</v>
      </c>
      <c r="B14" s="11">
        <f>SUM(B7:B13)</f>
        <v>13673.450705599998</v>
      </c>
      <c r="C14" s="11">
        <f>SUM(C7:C13)</f>
        <v>2585.9925487</v>
      </c>
      <c r="D14" s="11">
        <f>SUM(D7:D13)</f>
        <v>7307.82784</v>
      </c>
      <c r="E14" s="11">
        <f>SUM(E7:E13)</f>
        <v>255.53789422</v>
      </c>
      <c r="F14" s="11">
        <f>SUM(F7:F13)</f>
        <v>23822.808988519995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">
      <c r="A15" s="90" t="s">
        <v>272</v>
      </c>
      <c r="B15" s="125">
        <f>B14/F14</f>
        <v>0.5739646702531643</v>
      </c>
      <c r="C15" s="125">
        <f>C14/$F$14</f>
        <v>0.10855111796204081</v>
      </c>
      <c r="D15" s="125">
        <f>D14/$F$14</f>
        <v>0.30675760543274216</v>
      </c>
      <c r="E15" s="125">
        <f>E14/$F$14</f>
        <v>0.010726606352052836</v>
      </c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">
      <c r="A16" s="90" t="s">
        <v>273</v>
      </c>
      <c r="B16" s="125">
        <f>('Tropospheric ozone percursors'!C28-'Tropospheric ozone percursors'!B28)/'Tropospheric ozone percursors'!B28</f>
        <v>-0.22495584233320612</v>
      </c>
      <c r="C16" s="125">
        <f>('Tropospheric ozone percursors'!G28-'Tropospheric ozone percursors'!F28)/'Tropospheric ozone percursors'!F28</f>
        <v>-0.40560146368451117</v>
      </c>
      <c r="D16" s="125">
        <f>('Tropospheric ozone percursors'!I28-'Tropospheric ozone percursors'!H28)/'Tropospheric ozone percursors'!H28</f>
        <v>-0.41990958974779374</v>
      </c>
      <c r="E16" s="125">
        <f>('Tropospheric ozone percursors'!E28-'Tropospheric ozone percursors'!D28)/'Tropospheric ozone percursors'!D28</f>
        <v>-0.1890786331282737</v>
      </c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">
      <c r="A33" s="1"/>
      <c r="B33" s="1" t="s">
        <v>271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">
      <c r="A38" s="1"/>
      <c r="B38" s="174" t="s">
        <v>270</v>
      </c>
      <c r="C38" s="174"/>
      <c r="D38" s="174"/>
      <c r="E38" s="174"/>
      <c r="F38" s="17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">
      <c r="A39" s="1"/>
      <c r="B39" s="174"/>
      <c r="C39" s="174"/>
      <c r="D39" s="174"/>
      <c r="E39" s="174"/>
      <c r="F39" s="17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</sheetData>
  <sheetProtection/>
  <mergeCells count="1">
    <mergeCell ref="B38:F39"/>
  </mergeCell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65"/>
  <sheetViews>
    <sheetView tabSelected="1" zoomScalePageLayoutView="0" workbookViewId="0" topLeftCell="A1">
      <selection activeCell="F8" sqref="F8"/>
    </sheetView>
  </sheetViews>
  <sheetFormatPr defaultColWidth="11.00390625" defaultRowHeight="14.25"/>
  <cols>
    <col min="1" max="1" width="21.75390625" style="3" customWidth="1"/>
    <col min="2" max="2" width="10.50390625" style="3" customWidth="1"/>
    <col min="3" max="3" width="12.50390625" style="3" customWidth="1"/>
    <col min="4" max="4" width="14.25390625" style="3" customWidth="1"/>
    <col min="5" max="16384" width="11.00390625" style="3" customWidth="1"/>
  </cols>
  <sheetData>
    <row r="1" spans="1:49" ht="13.5">
      <c r="A1" s="5" t="s">
        <v>324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2">
      <c r="A4" s="18" t="s">
        <v>293</v>
      </c>
      <c r="B4" s="15">
        <v>2000</v>
      </c>
      <c r="C4" s="15">
        <v>2011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">
      <c r="A5" s="10" t="s">
        <v>7</v>
      </c>
      <c r="B5" s="28">
        <f>'Tropospheric ozone percursors'!J5/'GVAEU27-2000-2011'!B10</f>
        <v>2.727698755626891</v>
      </c>
      <c r="C5" s="28">
        <f>'Tropospheric ozone percursors'!K5/'GVAEU27-2000-2011'!C10</f>
        <v>1.6821003386481168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">
      <c r="A6" s="10" t="s">
        <v>30</v>
      </c>
      <c r="B6" s="28">
        <f>'Tropospheric ozone percursors'!J6/'GVAEU27-2000-2011'!B11</f>
        <v>23.520899651754156</v>
      </c>
      <c r="C6" s="28">
        <f>'Tropospheric ozone percursors'!K6/'GVAEU27-2000-2011'!C11</f>
        <v>12.46847750690504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">
      <c r="A7" s="10" t="s">
        <v>31</v>
      </c>
      <c r="B7" s="28">
        <f>'Tropospheric ozone percursors'!J7/'GVAEU27-2000-2011'!B12</f>
        <v>6.104756970282159</v>
      </c>
      <c r="C7" s="28">
        <f>'Tropospheric ozone percursors'!K7/'GVAEU27-2000-2011'!C12</f>
        <v>5.016849984951614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">
      <c r="A8" s="10" t="s">
        <v>10</v>
      </c>
      <c r="B8" s="28">
        <f>'Tropospheric ozone percursors'!J8/'GVAEU27-2000-2011'!B13</f>
        <v>4.575634959695547</v>
      </c>
      <c r="C8" s="28">
        <f>'Tropospheric ozone percursors'!K8/'GVAEU27-2000-2011'!C13</f>
        <v>2.7884295559603594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">
      <c r="A9" s="10" t="s">
        <v>11</v>
      </c>
      <c r="B9" s="28">
        <f>'Tropospheric ozone percursors'!J9/'GVAEU27-2000-2011'!B14</f>
        <v>18.94677379266534</v>
      </c>
      <c r="C9" s="28">
        <f>'Tropospheric ozone percursors'!K9/'GVAEU27-2000-2011'!C14</f>
        <v>13.067998129539113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">
      <c r="A10" s="10" t="s">
        <v>129</v>
      </c>
      <c r="B10" s="28">
        <f>'Tropospheric ozone percursors'!J10/'GVAEU27-2000-2011'!B15</f>
        <v>19.448326385291235</v>
      </c>
      <c r="C10" s="28">
        <f>'Tropospheric ozone percursors'!K10/'GVAEU27-2000-2011'!C15</f>
        <v>17.420320675027398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">
      <c r="A11" s="10" t="s">
        <v>130</v>
      </c>
      <c r="B11" s="28">
        <f>'Tropospheric ozone percursors'!J11/'GVAEU27-2000-2011'!B16</f>
        <v>0.667545313104976</v>
      </c>
      <c r="C11" s="28">
        <f>'Tropospheric ozone percursors'!K11/'GVAEU27-2000-2011'!C16</f>
        <v>0.3423848995041714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5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showGridLines="0" zoomScalePageLayoutView="0" workbookViewId="0" topLeftCell="A1">
      <selection activeCell="F25" sqref="F25"/>
    </sheetView>
  </sheetViews>
  <sheetFormatPr defaultColWidth="11.00390625" defaultRowHeight="14.25"/>
  <cols>
    <col min="1" max="1" width="11.00390625" style="3" customWidth="1"/>
    <col min="2" max="2" width="1.12109375" style="3" customWidth="1"/>
    <col min="3" max="3" width="30.125" style="3" bestFit="1" customWidth="1"/>
    <col min="4" max="4" width="13.125" style="3" bestFit="1" customWidth="1"/>
    <col min="5" max="5" width="20.125" style="3" bestFit="1" customWidth="1"/>
    <col min="6" max="6" width="12.25390625" style="3" customWidth="1"/>
    <col min="7" max="7" width="1.12109375" style="3" customWidth="1"/>
    <col min="8" max="16384" width="11.00390625" style="3" customWidth="1"/>
  </cols>
  <sheetData>
    <row r="1" ht="19.5" customHeight="1">
      <c r="A1" s="5" t="s">
        <v>294</v>
      </c>
    </row>
    <row r="2" ht="5.25" customHeight="1"/>
    <row r="3" spans="3:7" ht="12">
      <c r="C3" s="160" t="s">
        <v>51</v>
      </c>
      <c r="D3" s="160" t="s">
        <v>52</v>
      </c>
      <c r="E3" s="160" t="s">
        <v>53</v>
      </c>
      <c r="F3" s="160" t="s">
        <v>308</v>
      </c>
      <c r="G3" s="157"/>
    </row>
    <row r="4" spans="3:7" ht="12">
      <c r="C4" s="175" t="s">
        <v>54</v>
      </c>
      <c r="D4" s="175" t="s">
        <v>307</v>
      </c>
      <c r="E4" s="159" t="s">
        <v>56</v>
      </c>
      <c r="F4" s="158">
        <v>0.7</v>
      </c>
      <c r="G4" s="31"/>
    </row>
    <row r="5" spans="3:7" ht="13.5">
      <c r="C5" s="176"/>
      <c r="D5" s="176"/>
      <c r="E5" s="30" t="s">
        <v>304</v>
      </c>
      <c r="F5" s="29">
        <v>1</v>
      </c>
      <c r="G5" s="31"/>
    </row>
    <row r="6" spans="3:7" ht="13.5">
      <c r="C6" s="176"/>
      <c r="D6" s="176"/>
      <c r="E6" s="30" t="s">
        <v>305</v>
      </c>
      <c r="F6" s="29">
        <v>1.9</v>
      </c>
      <c r="G6" s="31"/>
    </row>
    <row r="7" spans="3:7" ht="13.5">
      <c r="C7" s="176" t="s">
        <v>57</v>
      </c>
      <c r="D7" s="176" t="s">
        <v>303</v>
      </c>
      <c r="E7" s="30" t="s">
        <v>306</v>
      </c>
      <c r="F7" s="29">
        <v>0.014</v>
      </c>
      <c r="G7" s="31"/>
    </row>
    <row r="8" spans="3:7" ht="12">
      <c r="C8" s="176"/>
      <c r="D8" s="176"/>
      <c r="E8" s="30" t="s">
        <v>58</v>
      </c>
      <c r="F8" s="29">
        <v>0.11</v>
      </c>
      <c r="G8" s="31"/>
    </row>
    <row r="9" spans="3:7" ht="36">
      <c r="C9" s="176"/>
      <c r="D9" s="176"/>
      <c r="E9" s="30" t="s">
        <v>59</v>
      </c>
      <c r="F9" s="29">
        <v>1</v>
      </c>
      <c r="G9" s="31"/>
    </row>
    <row r="10" spans="3:7" ht="12">
      <c r="C10" s="176"/>
      <c r="D10" s="176"/>
      <c r="E10" s="30" t="s">
        <v>56</v>
      </c>
      <c r="F10" s="29">
        <v>1.22</v>
      </c>
      <c r="G10" s="31"/>
    </row>
    <row r="11" ht="6" customHeight="1"/>
  </sheetData>
  <sheetProtection/>
  <mergeCells count="4">
    <mergeCell ref="D4:D6"/>
    <mergeCell ref="C4:C6"/>
    <mergeCell ref="D7:D10"/>
    <mergeCell ref="C7:C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BIDDLE David (ESTAT)</dc:creator>
  <cp:keywords/>
  <dc:description/>
  <cp:lastModifiedBy>HORVATHOVA Judita (ESTAT)</cp:lastModifiedBy>
  <cp:lastPrinted>2014-05-22T08:34:00Z</cp:lastPrinted>
  <dcterms:created xsi:type="dcterms:W3CDTF">2013-03-08T15:20:13Z</dcterms:created>
  <dcterms:modified xsi:type="dcterms:W3CDTF">2014-09-24T08:43:30Z</dcterms:modified>
  <cp:category/>
  <cp:version/>
  <cp:contentType/>
  <cp:contentStatus/>
</cp:coreProperties>
</file>