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C0A60808-7431-4C1A-85F6-4D4EB39172B5}"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<sst xmlns="http://schemas.openxmlformats.org/spreadsheetml/2006/main" count="127" uniqueCount="73">
  <si>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</si>
  <si>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</si>
  <si>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</si>
  <si>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</si>
  <si>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</si>
  <si>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</si>
  <si>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</si>
  <si>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</si>
  <si>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</si>
  <si>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</si>
  <si>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</si>
  <si>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</si>
  <si>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</si>
  <si>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</si>
  <si>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</si>
  <si>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</si>
  <si>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</si>
  <si>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</si>
  <si>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</si>
  <si>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</si>
  <si>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</si>
  <si>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</si>
  <si>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</si>
  <si>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</si>
  <si>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</si>
  <si>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</si>
  <si>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</si>
  <si>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</si>
  <si>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</si>
  <si>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</si>
  <si>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</si>
  <si>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</si>
  <si>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</si>
  <si>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</si>
  <si>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</si>
  <si>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</si>
  <si>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</si>
  <si>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</si>
  <si>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</si>
  <si>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</si>
  <si>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</si>
  <si>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</si>
  <si>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</si>
  <si>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</si>
  <si>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</si>
  <si>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</si>
  <si>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</si>
  <si>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</si>
  <si>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</si>
  <si>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</si>
  <si>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</si>
  <si>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</si>
  <si>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</si>
  <si>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</si>
  <si>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</si>
  <si>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</si>
  <si>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</si>
  <si>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</si>
  <si>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</si>
  <si>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</si>
  <si>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Slovenia</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</si>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</sst>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0000000}"/>
    <cellStyle name="Hyperlink" xfId="7" builtinId="8"/>
    <cellStyle name="Normal" xfId="0" builtinId="0"/>
    <cellStyle name="Normal 10" xfId="4" xr:uid="{00000000-0005-0000-0000-000003000000}"/>
    <cellStyle name="Normal 17" xfId="2" xr:uid="{00000000-0005-0000-0000-000004000000}"/>
    <cellStyle name="Normal 2" xfId="1" xr:uid="{00000000-0005-0000-0000-000005000000}"/>
    <cellStyle name="Normal 2 2" xfId="3" xr:uid="{00000000-0005-0000-0000-000006000000}"/>
    <cellStyle name="Normal 2 3" xfId="5" xr:uid="{00000000-0005-0000-0000-000007000000}"/>
    <cellStyle name="Normal 3" xfId="9" xr:uid="{00000000-0005-0000-0000-000008000000}"/>
    <cellStyle name="Normal 4" xfId="8" xr:uid="{00000000-0005-0000-0000-000009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1" t="s">
        <v>63</v>
      </c>
      <c r="B2" s="71"/>
      <c r="C2" s="71"/>
      <c r="D2" s="71"/>
      <c r="E2" s="71"/>
      <c r="F2" s="71"/>
      <c r="G2" s="71"/>
      <c r="H2" s="71"/>
      <c r="I2" s="71"/>
      <c r="J2" s="71"/>
      <c r="AF2" s="68" t="s">
        <v>62</v>
      </c>
    </row>
    <row r="3" spans="1:32" ht="15.75" customHeight="1" x14ac:dyDescent="0.2">
      <c r="A3" s="71"/>
      <c r="B3" s="71"/>
      <c r="C3" s="71"/>
      <c r="D3" s="71"/>
      <c r="E3" s="71"/>
      <c r="F3" s="71"/>
      <c r="G3" s="71"/>
      <c r="H3" s="71"/>
      <c r="I3" s="71"/>
      <c r="J3" s="71"/>
    </row>
    <row r="5" spans="1:32" s="19" customFormat="1" ht="50.25" customHeight="1" x14ac:dyDescent="0.2">
      <c r="A5" s="69" t="s">
        <v>46</v>
      </c>
      <c r="B5" s="69"/>
      <c r="C5" s="69"/>
      <c r="D5" s="69"/>
      <c r="E5" s="69"/>
      <c r="F5" s="69"/>
      <c r="G5" s="69"/>
      <c r="H5" s="69"/>
      <c r="I5" s="69"/>
      <c r="J5" s="69"/>
    </row>
    <row r="6" spans="1:32" s="19" customFormat="1" ht="35.25" customHeight="1" x14ac:dyDescent="0.2">
      <c r="A6" s="69" t="s">
        <v>47</v>
      </c>
      <c r="B6" s="69"/>
      <c r="C6" s="69"/>
      <c r="D6" s="69"/>
      <c r="E6" s="69"/>
      <c r="F6" s="69"/>
      <c r="G6" s="69"/>
      <c r="H6" s="69"/>
      <c r="I6" s="69"/>
      <c r="J6" s="69"/>
    </row>
    <row r="7" spans="1:32" s="19" customFormat="1" ht="105.75" customHeight="1" x14ac:dyDescent="0.2">
      <c r="A7" s="69" t="s">
        <v>65</v>
      </c>
      <c r="B7" s="69"/>
      <c r="C7" s="69"/>
      <c r="D7" s="69"/>
      <c r="E7" s="69"/>
      <c r="F7" s="69"/>
      <c r="G7" s="69"/>
      <c r="H7" s="69"/>
      <c r="I7" s="69"/>
      <c r="J7" s="69"/>
    </row>
    <row r="8" spans="1:32" s="19" customFormat="1" ht="175.5" customHeight="1" x14ac:dyDescent="0.2">
      <c r="A8" s="72" t="s">
        <v>64</v>
      </c>
      <c r="B8" s="72"/>
      <c r="C8" s="72"/>
      <c r="D8" s="72"/>
      <c r="E8" s="72"/>
      <c r="F8" s="72"/>
      <c r="G8" s="72"/>
      <c r="H8" s="72"/>
      <c r="I8" s="72"/>
      <c r="J8" s="72"/>
    </row>
    <row r="9" spans="1:32" s="19" customFormat="1" ht="129" customHeight="1" x14ac:dyDescent="0.2">
      <c r="A9" s="69" t="s">
        <v>48</v>
      </c>
      <c r="B9" s="69"/>
      <c r="C9" s="69"/>
      <c r="D9" s="69"/>
      <c r="E9" s="69"/>
      <c r="F9" s="69"/>
      <c r="G9" s="69"/>
      <c r="H9" s="69"/>
      <c r="I9" s="69"/>
      <c r="J9" s="69"/>
    </row>
    <row r="10" spans="1:32" s="19" customFormat="1" ht="71.25" customHeight="1" x14ac:dyDescent="0.2">
      <c r="A10" s="69" t="s">
        <v>70</v>
      </c>
      <c r="B10" s="69"/>
      <c r="C10" s="69"/>
      <c r="D10" s="69"/>
      <c r="E10" s="69"/>
      <c r="F10" s="69"/>
      <c r="G10" s="69"/>
      <c r="H10" s="69"/>
      <c r="I10" s="69"/>
      <c r="J10" s="69"/>
    </row>
    <row r="11" spans="1:32" s="19" customFormat="1" ht="63" customHeight="1" x14ac:dyDescent="0.2">
      <c r="A11" s="69" t="s">
        <v>25</v>
      </c>
      <c r="B11" s="69"/>
      <c r="C11" s="69"/>
      <c r="D11" s="69"/>
      <c r="E11" s="69"/>
      <c r="F11" s="69"/>
      <c r="G11" s="69"/>
      <c r="H11" s="69"/>
      <c r="I11" s="69"/>
      <c r="J11" s="69"/>
    </row>
    <row r="12" spans="1:32" s="19" customFormat="1" ht="61.5" customHeight="1" x14ac:dyDescent="0.2">
      <c r="A12" s="69" t="s">
        <v>49</v>
      </c>
      <c r="B12" s="69"/>
      <c r="C12" s="69"/>
      <c r="D12" s="69"/>
      <c r="E12" s="69"/>
      <c r="F12" s="69"/>
      <c r="G12" s="69"/>
      <c r="H12" s="69"/>
      <c r="I12" s="69"/>
      <c r="J12" s="69"/>
    </row>
    <row r="13" spans="1:32" s="19" customFormat="1" ht="41.25" customHeight="1" x14ac:dyDescent="0.2">
      <c r="A13" s="70" t="s">
        <v>45</v>
      </c>
      <c r="B13" s="70"/>
      <c r="C13" s="70"/>
      <c r="D13" s="70"/>
      <c r="E13" s="70"/>
      <c r="F13" s="70"/>
      <c r="G13" s="70"/>
      <c r="H13" s="70"/>
      <c r="I13" s="70"/>
      <c r="J13" s="70"/>
    </row>
    <row r="14" spans="1:32" ht="78.75" customHeight="1" x14ac:dyDescent="0.2">
      <c r="A14" s="70" t="s">
        <v>71</v>
      </c>
      <c r="B14" s="70"/>
      <c r="C14" s="70"/>
      <c r="D14" s="70"/>
      <c r="E14" s="70"/>
      <c r="F14" s="70"/>
      <c r="G14" s="70"/>
      <c r="H14" s="70"/>
      <c r="I14" s="70"/>
      <c r="J14" s="70"/>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45380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0</v>
      </c>
      <c r="F6" s="35">
        <f t="shared" si="1"/>
        <v>49.484567999999996</v>
      </c>
      <c r="G6" s="35">
        <f t="shared" si="1"/>
        <v>76.049696600000004</v>
      </c>
      <c r="H6" s="35">
        <f t="shared" si="1"/>
        <v>78.638266534246583</v>
      </c>
      <c r="I6" s="35">
        <f t="shared" si="1"/>
        <v>80.368509950000004</v>
      </c>
      <c r="J6" s="35">
        <f t="shared" si="1"/>
        <v>59.317068844657534</v>
      </c>
      <c r="K6" s="35">
        <f t="shared" si="1"/>
        <v>84.468939779999999</v>
      </c>
      <c r="L6" s="38">
        <f t="shared" si="1"/>
        <v>80.407772440000002</v>
      </c>
      <c r="M6" s="38">
        <f t="shared" ref="M6:N6" si="2">IF(AND(M7="0",M8="0",M9="0",M10="0"),"0",IF(AND(M7="M",M8="M",M9="M",M10="M"),"M",IF(AND(M7="L",M8="L",M9="L",M10="L"),"L",IF(AND(ISTEXT(M7),ISTEXT(M8),ISTEXT(M9),ISTEXT(M10)),"L",SUM(M7:M10)))))</f>
        <v>250.06104445000005</v>
      </c>
      <c r="N6" s="38">
        <f t="shared" si="2"/>
        <v>231.00715830999999</v>
      </c>
      <c r="O6" s="38">
        <f t="shared" ref="O6:Q6" si="3">IF(AND(O7="0",O8="0",O9="0",O10="0"),"0",IF(AND(O7="M",O8="M",O9="M",O10="M"),"M",IF(AND(O7="L",O8="L",O9="L",O10="L"),"L",IF(AND(ISTEXT(O7),ISTEXT(O8),ISTEXT(O9),ISTEXT(O10)),"L",SUM(O7:O10)))))</f>
        <v>270.78001653499996</v>
      </c>
      <c r="P6" s="38">
        <f t="shared" si="3"/>
        <v>197.97383150999997</v>
      </c>
      <c r="Q6" s="38">
        <f t="shared" si="3"/>
        <v>68.72041723000001</v>
      </c>
      <c r="R6" s="38">
        <f t="shared" ref="R6:S6" si="4">IF(AND(R7="0",R8="0",R9="0",R10="0"),"0",IF(AND(R7="M",R8="M",R9="M",R10="M"),"M",IF(AND(R7="L",R8="L",R9="L",R10="L"),"L",IF(AND(ISTEXT(R7),ISTEXT(R8),ISTEXT(R9),ISTEXT(R10)),"L",SUM(R7:R10)))))</f>
        <v>85.903343799999988</v>
      </c>
      <c r="S6" s="38">
        <f t="shared" si="4"/>
        <v>90.836846079999987</v>
      </c>
      <c r="T6" s="38">
        <f t="shared" ref="T6" si="5">IF(AND(T7="0",T8="0",T9="0",T10="0"),"0",IF(AND(T7="M",T8="M",T9="M",T10="M"),"M",IF(AND(T7="L",T8="L",T9="L",T10="L"),"L",IF(AND(ISTEXT(T7),ISTEXT(T8),ISTEXT(T9),ISTEXT(T10)),"L",SUM(T7:T10)))))</f>
        <v>74.886887000000002</v>
      </c>
    </row>
    <row r="7" spans="1:20" x14ac:dyDescent="0.2">
      <c r="A7" s="66" t="e">
        <f>CountryCode &amp; ".FC.OGF.S13.MNAC." &amp; RefVintage</f>
        <v>#REF!</v>
      </c>
      <c r="B7" s="12" t="s">
        <v>12</v>
      </c>
      <c r="C7" s="53" t="s">
        <v>2</v>
      </c>
      <c r="D7" s="28">
        <v>0</v>
      </c>
      <c r="E7" s="28">
        <v>0</v>
      </c>
      <c r="F7" s="28">
        <v>7.7650680000000003</v>
      </c>
      <c r="G7" s="28">
        <v>20.4236966</v>
      </c>
      <c r="H7" s="28">
        <v>19.343457000000001</v>
      </c>
      <c r="I7" s="28">
        <v>8.86850995</v>
      </c>
      <c r="J7" s="28">
        <v>2.23537842</v>
      </c>
      <c r="K7" s="28">
        <v>2.0000000000000018</v>
      </c>
      <c r="L7" s="28">
        <v>1</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0</v>
      </c>
      <c r="F8" s="28">
        <v>41.719499999999996</v>
      </c>
      <c r="G8" s="28">
        <v>55.625999999999998</v>
      </c>
      <c r="H8" s="28">
        <v>59.294809534246582</v>
      </c>
      <c r="I8" s="28">
        <v>71.5</v>
      </c>
      <c r="J8" s="28">
        <v>57.081653424657539</v>
      </c>
      <c r="K8" s="28">
        <v>45.772999999999996</v>
      </c>
      <c r="L8" s="28">
        <v>45.965000000000003</v>
      </c>
      <c r="M8" s="28">
        <v>54.3</v>
      </c>
      <c r="N8" s="28">
        <v>44.954999999999998</v>
      </c>
      <c r="O8" s="28">
        <v>27.332320849999999</v>
      </c>
      <c r="P8" s="28">
        <v>29.900123550000004</v>
      </c>
      <c r="Q8" s="28">
        <v>18.91</v>
      </c>
      <c r="R8" s="28">
        <v>15.94150984</v>
      </c>
      <c r="S8" s="28">
        <v>11.080978869999999</v>
      </c>
      <c r="T8" s="28">
        <v>10.81583745</v>
      </c>
    </row>
    <row r="9" spans="1:20" x14ac:dyDescent="0.2">
      <c r="A9" s="66" t="e">
        <f>CountryCode &amp; ".FC.D421.S13.MNAC." &amp; RefVintage</f>
        <v>#REF!</v>
      </c>
      <c r="B9" s="12" t="s">
        <v>14</v>
      </c>
      <c r="C9" s="53" t="s">
        <v>4</v>
      </c>
      <c r="D9" s="28">
        <v>0</v>
      </c>
      <c r="E9" s="28">
        <v>0</v>
      </c>
      <c r="F9" s="28">
        <v>0</v>
      </c>
      <c r="G9" s="28">
        <v>0</v>
      </c>
      <c r="H9" s="28">
        <v>0</v>
      </c>
      <c r="I9" s="28">
        <v>0</v>
      </c>
      <c r="J9" s="28">
        <v>0</v>
      </c>
      <c r="K9" s="28">
        <v>0</v>
      </c>
      <c r="L9" s="28">
        <v>0</v>
      </c>
      <c r="M9" s="28">
        <v>45.5</v>
      </c>
      <c r="N9" s="28">
        <v>101.51700000000001</v>
      </c>
      <c r="O9" s="28">
        <v>166.94021682999997</v>
      </c>
      <c r="P9" s="28">
        <v>76.318707959999983</v>
      </c>
      <c r="Q9" s="28">
        <v>2.8033094100000002</v>
      </c>
      <c r="R9" s="28">
        <v>25.492364639999998</v>
      </c>
      <c r="S9" s="28">
        <v>28.389944889999999</v>
      </c>
      <c r="T9" s="28">
        <v>27.499924760000003</v>
      </c>
    </row>
    <row r="10" spans="1:20" x14ac:dyDescent="0.2">
      <c r="A10" s="66" t="e">
        <f>CountryCode &amp; ".FC.OOR.S13.MNAC." &amp; RefVintage</f>
        <v>#REF!</v>
      </c>
      <c r="B10" s="58" t="s">
        <v>15</v>
      </c>
      <c r="C10" s="32" t="s">
        <v>6</v>
      </c>
      <c r="D10" s="28">
        <v>0</v>
      </c>
      <c r="E10" s="28">
        <v>0</v>
      </c>
      <c r="F10" s="28">
        <v>0</v>
      </c>
      <c r="G10" s="28">
        <v>0</v>
      </c>
      <c r="H10" s="28">
        <v>0</v>
      </c>
      <c r="I10" s="28">
        <v>0</v>
      </c>
      <c r="J10" s="28">
        <v>3.6999999999842714E-5</v>
      </c>
      <c r="K10" s="28">
        <v>36.695939780000003</v>
      </c>
      <c r="L10" s="28">
        <v>33.442772440000006</v>
      </c>
      <c r="M10" s="28">
        <v>150.26104445000004</v>
      </c>
      <c r="N10" s="28">
        <v>84.535158309999986</v>
      </c>
      <c r="O10" s="28">
        <v>76.507478855000002</v>
      </c>
      <c r="P10" s="28">
        <v>91.754999999999995</v>
      </c>
      <c r="Q10" s="28">
        <v>47.007107820000002</v>
      </c>
      <c r="R10" s="28">
        <v>44.469469319999995</v>
      </c>
      <c r="S10" s="28">
        <v>51.365922319999996</v>
      </c>
      <c r="T10" s="28">
        <v>36.571124789999999</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0</v>
      </c>
      <c r="F11" s="35">
        <f t="shared" si="6"/>
        <v>45.755208333333336</v>
      </c>
      <c r="G11" s="35">
        <f t="shared" si="6"/>
        <v>62.5625</v>
      </c>
      <c r="H11" s="35">
        <f t="shared" si="6"/>
        <v>315.58634332191781</v>
      </c>
      <c r="I11" s="35">
        <f t="shared" si="6"/>
        <v>142.47380993150682</v>
      </c>
      <c r="J11" s="35">
        <f t="shared" si="6"/>
        <v>3736.140771340898</v>
      </c>
      <c r="K11" s="35">
        <f t="shared" si="6"/>
        <v>825.06791311317738</v>
      </c>
      <c r="L11" s="38">
        <f t="shared" si="6"/>
        <v>619.98630169931812</v>
      </c>
      <c r="M11" s="38">
        <f t="shared" ref="M11:N11" si="7">IF(AND(M12="0",M13="0",M14="0",M15="0",M16="0"),"0",IF(AND(M12="M",M13="M",M14="M",M15="M",M16="M"),"M",IF(AND(M12="L",M13="L",M14="L",M15="L",M16="L"),"L",IF(AND(ISTEXT(M12),ISTEXT(M13),ISTEXT(M14),ISTEXT(M15),ISTEXT(M16)),"L",SUM(M12:M16)))))</f>
        <v>429.08204834556841</v>
      </c>
      <c r="N11" s="38">
        <f t="shared" si="7"/>
        <v>219.95469831473775</v>
      </c>
      <c r="O11" s="38">
        <f t="shared" ref="O11:Q11" si="8">IF(AND(O12="0",O13="0",O14="0",O15="0",O16="0"),"0",IF(AND(O12="M",O13="M",O14="M",O15="M",O16="M"),"M",IF(AND(O12="L",O13="L",O14="L",O15="L",O16="L"),"L",IF(AND(ISTEXT(O12),ISTEXT(O13),ISTEXT(O14),ISTEXT(O15),ISTEXT(O16)),"L",SUM(O12:O16)))))</f>
        <v>149.53669394541714</v>
      </c>
      <c r="P11" s="38">
        <f t="shared" si="8"/>
        <v>138.6527602219625</v>
      </c>
      <c r="Q11" s="38">
        <f t="shared" si="8"/>
        <v>65.358859252041242</v>
      </c>
      <c r="R11" s="38">
        <f t="shared" ref="R11:S11" si="9">IF(AND(R12="0",R13="0",R14="0",R15="0",R16="0"),"0",IF(AND(R12="M",R13="M",R14="M",R15="M",R16="M"),"M",IF(AND(R12="L",R13="L",R14="L",R15="L",R16="L"),"L",IF(AND(ISTEXT(R12),ISTEXT(R13),ISTEXT(R14),ISTEXT(R15),ISTEXT(R16)),"L",SUM(R12:R16)))))</f>
        <v>36.895756304498697</v>
      </c>
      <c r="S11" s="38">
        <f t="shared" si="9"/>
        <v>58.295734222716817</v>
      </c>
      <c r="T11" s="38">
        <f t="shared" ref="T11" si="10">IF(AND(T12="0",T13="0",T14="0",T15="0",T16="0"),"0",IF(AND(T12="M",T13="M",T14="M",T15="M",T16="M"),"M",IF(AND(T12="L",T13="L",T14="L",T15="L",T16="L"),"L",IF(AND(ISTEXT(T12),ISTEXT(T13),ISTEXT(T14),ISTEXT(T15),ISTEXT(T16)),"L",SUM(T12:T16)))))</f>
        <v>54.185078313600428</v>
      </c>
    </row>
    <row r="12" spans="1:20" x14ac:dyDescent="0.2">
      <c r="A12" s="66" t="e">
        <f>CountryCode &amp; ".FC.D41_P.S13.MNAC." &amp; RefVintage</f>
        <v>#REF!</v>
      </c>
      <c r="B12" s="12" t="s">
        <v>16</v>
      </c>
      <c r="C12" s="54" t="s">
        <v>51</v>
      </c>
      <c r="D12" s="28">
        <v>0</v>
      </c>
      <c r="E12" s="28">
        <v>0</v>
      </c>
      <c r="F12" s="28">
        <v>45.755208333333336</v>
      </c>
      <c r="G12" s="28">
        <v>62.5625</v>
      </c>
      <c r="H12" s="28">
        <v>72.186343321917818</v>
      </c>
      <c r="I12" s="28">
        <v>81.473809931506835</v>
      </c>
      <c r="J12" s="28">
        <v>97.818061340898126</v>
      </c>
      <c r="K12" s="28">
        <v>249</v>
      </c>
      <c r="L12" s="28">
        <v>250.07999999999998</v>
      </c>
      <c r="M12" s="28">
        <v>234.6</v>
      </c>
      <c r="N12" s="28">
        <v>138.85</v>
      </c>
      <c r="O12" s="28">
        <v>89.889031160000002</v>
      </c>
      <c r="P12" s="28">
        <v>78.234370200000001</v>
      </c>
      <c r="Q12" s="28">
        <v>64.843326812041241</v>
      </c>
      <c r="R12" s="28">
        <v>48.664446249999997</v>
      </c>
      <c r="S12" s="28">
        <v>54.269186580000003</v>
      </c>
      <c r="T12" s="28">
        <v>57.176760000000002</v>
      </c>
    </row>
    <row r="13" spans="1:20" x14ac:dyDescent="0.2">
      <c r="A13" s="66" t="e">
        <f>CountryCode &amp; ".FC.D99CI.S13.MNAC." &amp; RefVintage</f>
        <v>#REF!</v>
      </c>
      <c r="B13" s="21" t="s">
        <v>17</v>
      </c>
      <c r="C13" s="53" t="s">
        <v>1</v>
      </c>
      <c r="D13" s="28">
        <v>0</v>
      </c>
      <c r="E13" s="28">
        <v>0</v>
      </c>
      <c r="F13" s="28">
        <v>0</v>
      </c>
      <c r="G13" s="28">
        <v>0</v>
      </c>
      <c r="H13" s="28">
        <v>243.4</v>
      </c>
      <c r="I13" s="28">
        <v>61</v>
      </c>
      <c r="J13" s="28">
        <v>3633</v>
      </c>
      <c r="K13" s="28">
        <v>351.7</v>
      </c>
      <c r="L13" s="28">
        <v>0</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5.3227099999999998</v>
      </c>
      <c r="K16" s="28">
        <v>224.36791311317739</v>
      </c>
      <c r="L16" s="28">
        <v>369.90630169931819</v>
      </c>
      <c r="M16" s="28">
        <v>194.48204834556842</v>
      </c>
      <c r="N16" s="28">
        <v>81.104698314737746</v>
      </c>
      <c r="O16" s="28">
        <v>59.647662785417126</v>
      </c>
      <c r="P16" s="28">
        <v>60.418390021962502</v>
      </c>
      <c r="Q16" s="28">
        <v>0.51553243999999987</v>
      </c>
      <c r="R16" s="28">
        <v>-11.768689945501299</v>
      </c>
      <c r="S16" s="28">
        <v>4.0265476427168103</v>
      </c>
      <c r="T16" s="28">
        <v>-2.9916816863995699</v>
      </c>
    </row>
    <row r="17" spans="1:20" s="27" customFormat="1" x14ac:dyDescent="0.2">
      <c r="A17" s="66" t="e">
        <f>CountryCode &amp; ".FC.OOE_NA.S13.MNAC." &amp; RefVintage</f>
        <v>#REF!</v>
      </c>
      <c r="B17" s="34"/>
      <c r="C17" s="59" t="s">
        <v>44</v>
      </c>
      <c r="D17" s="31">
        <v>0</v>
      </c>
      <c r="E17" s="31">
        <v>0</v>
      </c>
      <c r="F17" s="31">
        <v>0</v>
      </c>
      <c r="G17" s="31">
        <v>0</v>
      </c>
      <c r="H17" s="31">
        <v>0</v>
      </c>
      <c r="I17" s="31">
        <v>0</v>
      </c>
      <c r="J17" s="31">
        <v>7.9874000000000001E-2</v>
      </c>
      <c r="K17" s="31">
        <v>51.420982549999998</v>
      </c>
      <c r="L17" s="31">
        <v>23.121305684100001</v>
      </c>
      <c r="M17" s="31">
        <v>54.263516969999998</v>
      </c>
      <c r="N17" s="31">
        <v>-50.180748510000001</v>
      </c>
      <c r="O17" s="31">
        <v>-16.520549544999994</v>
      </c>
      <c r="P17" s="31">
        <v>-8.5011448499999993</v>
      </c>
      <c r="Q17" s="31">
        <v>-47.382602989999995</v>
      </c>
      <c r="R17" s="31">
        <v>-54.78762184</v>
      </c>
      <c r="S17" s="31">
        <v>-25.033934779999999</v>
      </c>
      <c r="T17" s="31">
        <v>-11.75008779</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0</v>
      </c>
      <c r="F18" s="39">
        <f t="shared" si="11"/>
        <v>3.7293596666666602</v>
      </c>
      <c r="G18" s="39">
        <f t="shared" si="11"/>
        <v>13.487196600000004</v>
      </c>
      <c r="H18" s="39">
        <f t="shared" si="11"/>
        <v>-236.94807678767123</v>
      </c>
      <c r="I18" s="39">
        <f t="shared" si="11"/>
        <v>-62.105299981506818</v>
      </c>
      <c r="J18" s="39">
        <f t="shared" si="11"/>
        <v>-3676.8237024962405</v>
      </c>
      <c r="K18" s="39">
        <f t="shared" si="11"/>
        <v>-740.59897333317736</v>
      </c>
      <c r="L18" s="40">
        <f t="shared" si="11"/>
        <v>-539.57852925931809</v>
      </c>
      <c r="M18" s="40">
        <f t="shared" ref="M18:N18" si="12">IF(AND(M6="0",M11="0"),"0",IF(AND(M6="M",M11="M"),"M",IF(AND(M6="L",M11="L"),"L",IF(AND(ISTEXT(M6),ISTEXT(M11)),"L",SUM(M6,-M11)))))</f>
        <v>-179.02100389556836</v>
      </c>
      <c r="N18" s="40">
        <f t="shared" si="12"/>
        <v>11.05245999526224</v>
      </c>
      <c r="O18" s="40">
        <f t="shared" ref="O18:Q18" si="13">IF(AND(O6="0",O11="0"),"0",IF(AND(O6="M",O11="M"),"M",IF(AND(O6="L",O11="L"),"L",IF(AND(ISTEXT(O6),ISTEXT(O11)),"L",SUM(O6,-O11)))))</f>
        <v>121.24332258958282</v>
      </c>
      <c r="P18" s="40">
        <f t="shared" si="13"/>
        <v>59.321071288037473</v>
      </c>
      <c r="Q18" s="40">
        <f t="shared" si="13"/>
        <v>3.3615579779587677</v>
      </c>
      <c r="R18" s="40">
        <f t="shared" ref="R18:S18" si="14">IF(AND(R6="0",R11="0"),"0",IF(AND(R6="M",R11="M"),"M",IF(AND(R6="L",R11="L"),"L",IF(AND(ISTEXT(R6),ISTEXT(R11)),"L",SUM(R6,-R11)))))</f>
        <v>49.007587495501291</v>
      </c>
      <c r="S18" s="40">
        <f t="shared" si="14"/>
        <v>32.54111185728317</v>
      </c>
      <c r="T18" s="40">
        <f t="shared" ref="T18" si="15">IF(AND(T6="0",T11="0"),"0",IF(AND(T6="M",T11="M"),"M",IF(AND(T6="L",T11="L"),"L",IF(AND(ISTEXT(T6),ISTEXT(T11)),"L",SUM(T6,-T11)))))</f>
        <v>20.701808686399573</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0</v>
      </c>
      <c r="F23" s="35">
        <f t="shared" si="17"/>
        <v>1431.2249999999999</v>
      </c>
      <c r="G23" s="35">
        <f t="shared" si="17"/>
        <v>1432.8990440459399</v>
      </c>
      <c r="H23" s="35">
        <f t="shared" si="17"/>
        <v>1476.982141858862</v>
      </c>
      <c r="I23" s="35">
        <f t="shared" si="17"/>
        <v>1533.0648545570871</v>
      </c>
      <c r="J23" s="35">
        <f t="shared" si="17"/>
        <v>2230.9809083496671</v>
      </c>
      <c r="K23" s="35">
        <f t="shared" si="17"/>
        <v>3290.4034438924982</v>
      </c>
      <c r="L23" s="38">
        <f t="shared" si="17"/>
        <v>2728.842783968822</v>
      </c>
      <c r="M23" s="38">
        <f t="shared" ref="M23:N23" si="18">IF(AND(M24="0",M25="0",M26="0",M27="0"),"0",IF(AND(M24="M",M25="M",M26="M",M27="M"),"M",IF(AND(M24="L",M25="L",M26="L",M27="L"),"L",IF(AND(ISTEXT(M24),ISTEXT(M25),ISTEXT(M26),ISTEXT(M27)),"L",SUM(M24:M27)))))</f>
        <v>2669.9335155375466</v>
      </c>
      <c r="N23" s="38">
        <f t="shared" si="18"/>
        <v>2595.6778597572979</v>
      </c>
      <c r="O23" s="38">
        <f t="shared" ref="O23:Q23" si="19">IF(AND(O24="0",O25="0",O26="0",O27="0"),"0",IF(AND(O24="M",O25="M",O26="M",O27="M"),"M",IF(AND(O24="L",O25="L",O26="L",O27="L"),"L",IF(AND(ISTEXT(O24),ISTEXT(O25),ISTEXT(O26),ISTEXT(O27)),"L",SUM(O24:O27)))))</f>
        <v>1862.6120835085912</v>
      </c>
      <c r="P23" s="38">
        <f t="shared" si="19"/>
        <v>1706.9456492296695</v>
      </c>
      <c r="Q23" s="38">
        <f t="shared" si="19"/>
        <v>1069.0453376390747</v>
      </c>
      <c r="R23" s="38">
        <f t="shared" ref="R23:S23" si="20">IF(AND(R24="0",R25="0",R26="0",R27="0"),"0",IF(AND(R24="M",R25="M",R26="M",R27="M"),"M",IF(AND(R24="L",R25="L",R26="L",R27="L"),"L",IF(AND(ISTEXT(R24),ISTEXT(R25),ISTEXT(R26),ISTEXT(R27)),"L",SUM(R24:R27)))))</f>
        <v>1131.234827171111</v>
      </c>
      <c r="S23" s="38">
        <f t="shared" si="20"/>
        <v>996.72021700329901</v>
      </c>
      <c r="T23" s="38">
        <f t="shared" ref="T23" si="21">IF(AND(T24="0",T25="0",T26="0",T27="0"),"0",IF(AND(T24="M",T25="M",T26="M",T27="M"),"M",IF(AND(T24="L",T25="L",T26="L",T27="L"),"L",IF(AND(ISTEXT(T24),ISTEXT(T25),ISTEXT(T26),ISTEXT(T27)),"L",SUM(T24:T27)))))</f>
        <v>933.94041288621338</v>
      </c>
    </row>
    <row r="24" spans="1:20" x14ac:dyDescent="0.2">
      <c r="A24" s="67" t="e">
        <f>CountryCode &amp; ".FC.F4_A.S13.MNAC." &amp; RefVintage</f>
        <v>#REF!</v>
      </c>
      <c r="B24" s="12" t="s">
        <v>12</v>
      </c>
      <c r="C24" s="53" t="s">
        <v>7</v>
      </c>
      <c r="D24" s="28">
        <v>0</v>
      </c>
      <c r="E24" s="28">
        <v>0</v>
      </c>
      <c r="F24" s="28">
        <v>1270</v>
      </c>
      <c r="G24" s="28">
        <v>1270</v>
      </c>
      <c r="H24" s="28">
        <v>1312</v>
      </c>
      <c r="I24" s="28">
        <v>1364</v>
      </c>
      <c r="J24" s="28">
        <v>0</v>
      </c>
      <c r="K24" s="28">
        <v>405.00000000000006</v>
      </c>
      <c r="L24" s="28">
        <v>368.97500000000008</v>
      </c>
      <c r="M24" s="28">
        <v>-2.4999999999920419E-2</v>
      </c>
      <c r="N24" s="28">
        <v>-2.4999999999920419E-2</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161.22499999999999</v>
      </c>
      <c r="G26" s="28">
        <v>162.89904404594</v>
      </c>
      <c r="H26" s="28">
        <v>164.98214185886201</v>
      </c>
      <c r="I26" s="28">
        <v>169.06485455708699</v>
      </c>
      <c r="J26" s="28">
        <v>1020.1658</v>
      </c>
      <c r="K26" s="28">
        <v>1239.5843304116381</v>
      </c>
      <c r="L26" s="28">
        <v>1326.269668664708</v>
      </c>
      <c r="M26" s="28">
        <v>1511.1738684553793</v>
      </c>
      <c r="N26" s="28">
        <v>1713.9258264865739</v>
      </c>
      <c r="O26" s="28">
        <v>1110.4337064506713</v>
      </c>
      <c r="P26" s="28">
        <v>984.7443262169935</v>
      </c>
      <c r="Q26" s="28">
        <v>466.24610096216554</v>
      </c>
      <c r="R26" s="28">
        <v>626.02753172537587</v>
      </c>
      <c r="S26" s="28">
        <v>557.62688346056609</v>
      </c>
      <c r="T26" s="28">
        <v>678.23016999708045</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1210.8151083496671</v>
      </c>
      <c r="K27" s="28">
        <v>1645.8191134808601</v>
      </c>
      <c r="L27" s="28">
        <v>1033.5981153041139</v>
      </c>
      <c r="M27" s="28">
        <v>1158.7846470821671</v>
      </c>
      <c r="N27" s="28">
        <v>881.77703327072402</v>
      </c>
      <c r="O27" s="28">
        <v>752.17837705791999</v>
      </c>
      <c r="P27" s="28">
        <v>722.20132301267597</v>
      </c>
      <c r="Q27" s="28">
        <v>602.799236676909</v>
      </c>
      <c r="R27" s="28">
        <v>505.20729544573504</v>
      </c>
      <c r="S27" s="28">
        <v>439.09333354273298</v>
      </c>
      <c r="T27" s="28">
        <v>255.71024288913299</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0</v>
      </c>
      <c r="F28" s="35">
        <f t="shared" si="22"/>
        <v>1426.2706403333334</v>
      </c>
      <c r="G28" s="35">
        <f t="shared" si="22"/>
        <v>1412.7834437333333</v>
      </c>
      <c r="H28" s="35">
        <f t="shared" si="22"/>
        <v>1691.7315205210043</v>
      </c>
      <c r="I28" s="35">
        <f t="shared" si="22"/>
        <v>1805.836820502511</v>
      </c>
      <c r="J28" s="35">
        <f t="shared" si="22"/>
        <v>5153.8604419987514</v>
      </c>
      <c r="K28" s="35">
        <f t="shared" si="22"/>
        <v>6741.9784859987512</v>
      </c>
      <c r="L28" s="38">
        <f t="shared" si="22"/>
        <v>6595.3064859987517</v>
      </c>
      <c r="M28" s="38">
        <f t="shared" ref="M28:N28" si="23">IF(AND(M29="0",M30="0",M32="0"),"0",IF(AND(M29="M",M30="M",M32="M"),"M",IF(AND(M29="L",M30="L",M32="L"),"L",IF(AND(ISTEXT(M29),ISTEXT(M30),ISTEXT(M32)),"L",SUM(M29,M30,M32)))))</f>
        <v>6120.4342782987515</v>
      </c>
      <c r="N28" s="38">
        <f t="shared" si="23"/>
        <v>5732.6384449587522</v>
      </c>
      <c r="O28" s="38">
        <f t="shared" ref="O28:P28" si="24">IF(AND(O29="0",O30="0",O32="0"),"0",IF(AND(O29="M",O30="M",O32="M"),"M",IF(AND(O29="L",O30="L",O32="L"),"L",IF(AND(ISTEXT(O29),ISTEXT(O30),ISTEXT(O32)),"L",SUM(O29,O30,O32)))))</f>
        <v>4653.7999070787528</v>
      </c>
      <c r="P28" s="38">
        <f t="shared" si="24"/>
        <v>4357.0003824787527</v>
      </c>
      <c r="Q28" s="38">
        <f t="shared" ref="Q28:R28" si="25">IF(AND(Q29="0",Q30="0",Q32="0"),"0",IF(AND(Q29="M",Q30="M",Q32="M"),"M",IF(AND(Q29="L",Q30="L",Q32="L"),"L",IF(AND(ISTEXT(Q29),ISTEXT(Q30),ISTEXT(Q32)),"L",SUM(Q29,Q30,Q32)))))</f>
        <v>3824.0387648107944</v>
      </c>
      <c r="R28" s="38">
        <f t="shared" si="25"/>
        <v>3682.7219769207941</v>
      </c>
      <c r="S28" s="38">
        <f t="shared" ref="S28:T28" si="26">IF(AND(S29="0",S30="0",S32="0"),"0",IF(AND(S29="M",S30="M",S32="M"),"M",IF(AND(S29="L",S30="L",S32="L"),"L",IF(AND(ISTEXT(S29),ISTEXT(S30),ISTEXT(S32)),"L",SUM(S29,S30,S32)))))</f>
        <v>3579.8251955807946</v>
      </c>
      <c r="T28" s="38">
        <f t="shared" si="26"/>
        <v>3509.3837688207946</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0</v>
      </c>
      <c r="L29" s="28">
        <v>0</v>
      </c>
      <c r="M29" s="28">
        <v>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0</v>
      </c>
      <c r="F30" s="28">
        <v>1426.2706403333334</v>
      </c>
      <c r="G30" s="28">
        <v>1412.7834437333333</v>
      </c>
      <c r="H30" s="28">
        <v>1691.7315205210043</v>
      </c>
      <c r="I30" s="28">
        <v>1805.836820502511</v>
      </c>
      <c r="J30" s="28">
        <v>4141.2754859987517</v>
      </c>
      <c r="K30" s="28">
        <v>5178.7784859987514</v>
      </c>
      <c r="L30" s="28">
        <v>5337.906485998752</v>
      </c>
      <c r="M30" s="28">
        <v>4861.1064859987519</v>
      </c>
      <c r="N30" s="28">
        <v>4855.3064859987526</v>
      </c>
      <c r="O30" s="28">
        <v>3958.4314859987526</v>
      </c>
      <c r="P30" s="28">
        <v>3808.2635403187528</v>
      </c>
      <c r="Q30" s="28">
        <v>3427.9335015707943</v>
      </c>
      <c r="R30" s="28">
        <v>3451.8836179207942</v>
      </c>
      <c r="S30" s="28">
        <v>3479.8836935807944</v>
      </c>
      <c r="T30" s="28">
        <v>3509.3837688207946</v>
      </c>
    </row>
    <row r="31" spans="1:20" x14ac:dyDescent="0.2">
      <c r="A31" s="66" t="e">
        <f>CountryCode &amp; ".FC.F3_I_L.S13.MNAC." &amp; RefVintage</f>
        <v>#REF!</v>
      </c>
      <c r="B31" s="16"/>
      <c r="C31" s="54" t="s">
        <v>54</v>
      </c>
      <c r="D31" s="31">
        <v>0</v>
      </c>
      <c r="E31" s="31">
        <v>0</v>
      </c>
      <c r="F31" s="31">
        <v>1426.2706403333334</v>
      </c>
      <c r="G31" s="31">
        <v>1412.7834437333333</v>
      </c>
      <c r="H31" s="31">
        <v>1691.7315205210043</v>
      </c>
      <c r="I31" s="31">
        <v>1805.836820502511</v>
      </c>
      <c r="J31" s="31">
        <v>4141.2754859987517</v>
      </c>
      <c r="K31" s="31">
        <v>5178.7784859987514</v>
      </c>
      <c r="L31" s="31">
        <v>5337.906485998752</v>
      </c>
      <c r="M31" s="31">
        <v>4861.1064859987519</v>
      </c>
      <c r="N31" s="31">
        <v>4855.3064859987526</v>
      </c>
      <c r="O31" s="31">
        <v>3958.4314859987526</v>
      </c>
      <c r="P31" s="31">
        <v>3808.2635403187528</v>
      </c>
      <c r="Q31" s="31">
        <v>3427.9335015707943</v>
      </c>
      <c r="R31" s="31">
        <v>3451.8836179207942</v>
      </c>
      <c r="S31" s="31">
        <v>3479.8836935807944</v>
      </c>
      <c r="T31" s="31">
        <v>3509.3837688207946</v>
      </c>
    </row>
    <row r="32" spans="1:20" x14ac:dyDescent="0.2">
      <c r="A32" s="66" t="e">
        <f>CountryCode &amp; ".FC.FO_L.S13.MNAC." &amp; RefVintage</f>
        <v>#REF!</v>
      </c>
      <c r="B32" s="22" t="s">
        <v>18</v>
      </c>
      <c r="C32" s="54" t="s">
        <v>55</v>
      </c>
      <c r="D32" s="29">
        <v>0</v>
      </c>
      <c r="E32" s="30">
        <v>0</v>
      </c>
      <c r="F32" s="28">
        <v>0</v>
      </c>
      <c r="G32" s="28">
        <v>0</v>
      </c>
      <c r="H32" s="28">
        <v>0</v>
      </c>
      <c r="I32" s="28">
        <v>0</v>
      </c>
      <c r="J32" s="28">
        <v>1012.584956</v>
      </c>
      <c r="K32" s="28">
        <v>1563.2</v>
      </c>
      <c r="L32" s="28">
        <v>1257.4000000000001</v>
      </c>
      <c r="M32" s="28">
        <v>1259.3277923000001</v>
      </c>
      <c r="N32" s="28">
        <v>877.33195895999995</v>
      </c>
      <c r="O32" s="28">
        <v>695.36842107999996</v>
      </c>
      <c r="P32" s="28">
        <v>548.73684216000004</v>
      </c>
      <c r="Q32" s="28">
        <v>396.10526324</v>
      </c>
      <c r="R32" s="28">
        <v>230.838359</v>
      </c>
      <c r="S32" s="28">
        <v>99.941502</v>
      </c>
      <c r="T32" s="28">
        <v>0</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2000</v>
      </c>
      <c r="G33" s="35">
        <f t="shared" si="27"/>
        <v>2200</v>
      </c>
      <c r="H33" s="35">
        <f t="shared" si="27"/>
        <v>1554.8630000000001</v>
      </c>
      <c r="I33" s="35">
        <f t="shared" si="27"/>
        <v>199.86300000000006</v>
      </c>
      <c r="J33" s="35">
        <f t="shared" si="27"/>
        <v>397.96300000000008</v>
      </c>
      <c r="K33" s="35">
        <f t="shared" si="27"/>
        <v>118.96300000000008</v>
      </c>
      <c r="L33" s="38">
        <f t="shared" si="27"/>
        <v>0</v>
      </c>
      <c r="M33" s="38">
        <f t="shared" ref="M33:N33" si="28">IF(AND(M34="0",M35="0",M36="0",M37="0"),"0",IF(AND(M34="M",M35="M",M36="M",M37="M"),"M",IF(AND(M34="L",M35="L",M36="L",M37="L"),"L",IF(AND(ISTEXT(M34),ISTEXT(M35),ISTEXT(M36),ISTEXT(M37)),"L",SUM(M34:M37)))))</f>
        <v>0</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0</v>
      </c>
      <c r="F34" s="28">
        <v>2000</v>
      </c>
      <c r="G34" s="28">
        <v>2200</v>
      </c>
      <c r="H34" s="28">
        <v>1554.8630000000001</v>
      </c>
      <c r="I34" s="28">
        <v>199.86300000000006</v>
      </c>
      <c r="J34" s="28">
        <v>397.96300000000008</v>
      </c>
      <c r="K34" s="28">
        <v>118.96300000000008</v>
      </c>
      <c r="L34" s="28">
        <v>0</v>
      </c>
      <c r="M34" s="28">
        <v>0</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t="s">
        <v>72</v>
      </c>
      <c r="G35" s="28" t="s">
        <v>72</v>
      </c>
      <c r="H35" s="28" t="s">
        <v>72</v>
      </c>
      <c r="I35" s="28" t="s">
        <v>72</v>
      </c>
      <c r="J35" s="28" t="s">
        <v>72</v>
      </c>
      <c r="K35" s="28" t="s">
        <v>72</v>
      </c>
      <c r="L35" s="28" t="s">
        <v>72</v>
      </c>
      <c r="M35" s="28" t="s">
        <v>72</v>
      </c>
      <c r="N35" s="28" t="s">
        <v>72</v>
      </c>
      <c r="O35" s="28" t="s">
        <v>72</v>
      </c>
      <c r="P35" s="28" t="s">
        <v>72</v>
      </c>
      <c r="Q35" s="28" t="s">
        <v>72</v>
      </c>
      <c r="R35" s="28" t="s">
        <v>72</v>
      </c>
      <c r="S35" s="28" t="s">
        <v>72</v>
      </c>
      <c r="T35" s="28" t="s">
        <v>72</v>
      </c>
    </row>
    <row r="36" spans="1:20" x14ac:dyDescent="0.2">
      <c r="A36" s="66" t="e">
        <f>CountryCode &amp; ".FC.F_SPV_CL.S13.MNAC." &amp; RefVintage</f>
        <v>#REF!</v>
      </c>
      <c r="B36" s="21" t="s">
        <v>34</v>
      </c>
      <c r="C36" s="54" t="s">
        <v>58</v>
      </c>
      <c r="D36" s="28">
        <v>0</v>
      </c>
      <c r="E36" s="28">
        <v>0</v>
      </c>
      <c r="F36" s="28" t="s">
        <v>72</v>
      </c>
      <c r="G36" s="28" t="s">
        <v>72</v>
      </c>
      <c r="H36" s="28" t="s">
        <v>72</v>
      </c>
      <c r="I36" s="28" t="s">
        <v>72</v>
      </c>
      <c r="J36" s="28" t="s">
        <v>72</v>
      </c>
      <c r="K36" s="28" t="s">
        <v>72</v>
      </c>
      <c r="L36" s="28" t="s">
        <v>72</v>
      </c>
      <c r="M36" s="28" t="s">
        <v>72</v>
      </c>
      <c r="N36" s="28" t="s">
        <v>72</v>
      </c>
      <c r="O36" s="28" t="s">
        <v>72</v>
      </c>
      <c r="P36" s="28" t="s">
        <v>72</v>
      </c>
      <c r="Q36" s="28" t="s">
        <v>72</v>
      </c>
      <c r="R36" s="28" t="s">
        <v>72</v>
      </c>
      <c r="S36" s="28" t="s">
        <v>72</v>
      </c>
      <c r="T36" s="28" t="s">
        <v>72</v>
      </c>
    </row>
    <row r="37" spans="1:20" x14ac:dyDescent="0.2">
      <c r="A37" s="66" t="e">
        <f>CountryCode &amp; ".FC.OO_CL.S13.MNAC." &amp; RefVintage</f>
        <v>#REF!</v>
      </c>
      <c r="B37" s="34" t="s">
        <v>37</v>
      </c>
      <c r="C37" s="32" t="s">
        <v>38</v>
      </c>
      <c r="D37" s="29">
        <v>0</v>
      </c>
      <c r="E37" s="29">
        <v>0</v>
      </c>
      <c r="F37" s="29" t="s">
        <v>72</v>
      </c>
      <c r="G37" s="29" t="s">
        <v>72</v>
      </c>
      <c r="H37" s="29" t="s">
        <v>72</v>
      </c>
      <c r="I37" s="29" t="s">
        <v>72</v>
      </c>
      <c r="J37" s="29" t="s">
        <v>72</v>
      </c>
      <c r="K37" s="29" t="s">
        <v>72</v>
      </c>
      <c r="L37" s="29" t="s">
        <v>72</v>
      </c>
      <c r="M37" s="29" t="s">
        <v>72</v>
      </c>
      <c r="N37" s="29" t="s">
        <v>72</v>
      </c>
      <c r="O37" s="29" t="s">
        <v>72</v>
      </c>
      <c r="P37" s="29" t="s">
        <v>72</v>
      </c>
      <c r="Q37" s="29" t="s">
        <v>72</v>
      </c>
      <c r="R37" s="29" t="s">
        <v>72</v>
      </c>
      <c r="S37" s="29" t="s">
        <v>72</v>
      </c>
      <c r="T37" s="29" t="s">
        <v>72</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