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4EB5028B-BE3B-47D0-96E7-1209747DB6E8}"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<sst xmlns="http://schemas.openxmlformats.org/spreadsheetml/2006/main" count="82" uniqueCount="72">
  <si>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</si>
  <si>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</si>
  <si>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</si>
  <si>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</si>
  <si>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</si>
  <si>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</si>
  <si>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</si>
  <si>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</si>
  <si>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</si>
  <si>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</si>
  <si>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</si>
  <si>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</si>
  <si>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</si>
  <si>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</si>
  <si>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</si>
  <si>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</si>
  <si>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</si>
  <si>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</si>
  <si>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</si>
  <si>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</si>
  <si>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</si>
  <si>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</si>
  <si>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</si>
  <si>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</si>
  <si>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</si>
  <si>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</si>
  <si>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</si>
  <si>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</si>
  <si>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</si>
  <si>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</si>
  <si>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</si>
  <si>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</si>
  <si>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</si>
  <si>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</si>
  <si>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</si>
  <si>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</si>
  <si>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</si>
  <si>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</si>
  <si>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</si>
  <si>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</si>
  <si>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</si>
  <si>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</si>
  <si>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</si>
  <si>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</si>
  <si>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</si>
  <si>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</si>
  <si>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</si>
  <si>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</si>
  <si>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</si>
  <si>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</si>
  <si>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</si>
  <si>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</si>
  <si>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</si>
  <si>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</si>
  <si>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</si>
  <si>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</si>
  <si>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</si>
  <si>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</si>
  <si>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</si>
  <si>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</si>
  <si>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Ireland</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</si>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</sst>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Alignment="1" applyProtection="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pplyProtection="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1" t="s">
        <v>63</v>
      </c>
      <c r="B2" s="71"/>
      <c r="C2" s="71"/>
      <c r="D2" s="71"/>
      <c r="E2" s="71"/>
      <c r="F2" s="71"/>
      <c r="G2" s="71"/>
      <c r="H2" s="71"/>
      <c r="I2" s="71"/>
      <c r="J2" s="71"/>
      <c r="AF2" s="68" t="s">
        <v>62</v>
      </c>
    </row>
    <row r="3" spans="1:32" ht="15.75" customHeight="1" x14ac:dyDescent="0.2">
      <c r="A3" s="71"/>
      <c r="B3" s="71"/>
      <c r="C3" s="71"/>
      <c r="D3" s="71"/>
      <c r="E3" s="71"/>
      <c r="F3" s="71"/>
      <c r="G3" s="71"/>
      <c r="H3" s="71"/>
      <c r="I3" s="71"/>
      <c r="J3" s="71"/>
    </row>
    <row r="5" spans="1:32" s="19" customFormat="1" ht="50.25" customHeight="1" x14ac:dyDescent="0.2">
      <c r="A5" s="69" t="s">
        <v>46</v>
      </c>
      <c r="B5" s="69"/>
      <c r="C5" s="69"/>
      <c r="D5" s="69"/>
      <c r="E5" s="69"/>
      <c r="F5" s="69"/>
      <c r="G5" s="69"/>
      <c r="H5" s="69"/>
      <c r="I5" s="69"/>
      <c r="J5" s="69"/>
    </row>
    <row r="6" spans="1:32" s="19" customFormat="1" ht="35.25" customHeight="1" x14ac:dyDescent="0.2">
      <c r="A6" s="69" t="s">
        <v>47</v>
      </c>
      <c r="B6" s="69"/>
      <c r="C6" s="69"/>
      <c r="D6" s="69"/>
      <c r="E6" s="69"/>
      <c r="F6" s="69"/>
      <c r="G6" s="69"/>
      <c r="H6" s="69"/>
      <c r="I6" s="69"/>
      <c r="J6" s="69"/>
    </row>
    <row r="7" spans="1:32" s="19" customFormat="1" ht="105.75" customHeight="1" x14ac:dyDescent="0.2">
      <c r="A7" s="69" t="s">
        <v>65</v>
      </c>
      <c r="B7" s="69"/>
      <c r="C7" s="69"/>
      <c r="D7" s="69"/>
      <c r="E7" s="69"/>
      <c r="F7" s="69"/>
      <c r="G7" s="69"/>
      <c r="H7" s="69"/>
      <c r="I7" s="69"/>
      <c r="J7" s="69"/>
    </row>
    <row r="8" spans="1:32" s="19" customFormat="1" ht="175.5" customHeight="1" x14ac:dyDescent="0.2">
      <c r="A8" s="72" t="s">
        <v>64</v>
      </c>
      <c r="B8" s="72"/>
      <c r="C8" s="72"/>
      <c r="D8" s="72"/>
      <c r="E8" s="72"/>
      <c r="F8" s="72"/>
      <c r="G8" s="72"/>
      <c r="H8" s="72"/>
      <c r="I8" s="72"/>
      <c r="J8" s="72"/>
    </row>
    <row r="9" spans="1:32" s="19" customFormat="1" ht="129" customHeight="1" x14ac:dyDescent="0.2">
      <c r="A9" s="69" t="s">
        <v>48</v>
      </c>
      <c r="B9" s="69"/>
      <c r="C9" s="69"/>
      <c r="D9" s="69"/>
      <c r="E9" s="69"/>
      <c r="F9" s="69"/>
      <c r="G9" s="69"/>
      <c r="H9" s="69"/>
      <c r="I9" s="69"/>
      <c r="J9" s="69"/>
    </row>
    <row r="10" spans="1:32" s="19" customFormat="1" ht="71.25" customHeight="1" x14ac:dyDescent="0.2">
      <c r="A10" s="69" t="s">
        <v>70</v>
      </c>
      <c r="B10" s="69"/>
      <c r="C10" s="69"/>
      <c r="D10" s="69"/>
      <c r="E10" s="69"/>
      <c r="F10" s="69"/>
      <c r="G10" s="69"/>
      <c r="H10" s="69"/>
      <c r="I10" s="69"/>
      <c r="J10" s="69"/>
    </row>
    <row r="11" spans="1:32" s="19" customFormat="1" ht="63" customHeight="1" x14ac:dyDescent="0.2">
      <c r="A11" s="69" t="s">
        <v>25</v>
      </c>
      <c r="B11" s="69"/>
      <c r="C11" s="69"/>
      <c r="D11" s="69"/>
      <c r="E11" s="69"/>
      <c r="F11" s="69"/>
      <c r="G11" s="69"/>
      <c r="H11" s="69"/>
      <c r="I11" s="69"/>
      <c r="J11" s="69"/>
    </row>
    <row r="12" spans="1:32" s="19" customFormat="1" ht="61.5" customHeight="1" x14ac:dyDescent="0.2">
      <c r="A12" s="69" t="s">
        <v>49</v>
      </c>
      <c r="B12" s="69"/>
      <c r="C12" s="69"/>
      <c r="D12" s="69"/>
      <c r="E12" s="69"/>
      <c r="F12" s="69"/>
      <c r="G12" s="69"/>
      <c r="H12" s="69"/>
      <c r="I12" s="69"/>
      <c r="J12" s="69"/>
    </row>
    <row r="13" spans="1:32" s="19" customFormat="1" ht="41.25" customHeight="1" x14ac:dyDescent="0.2">
      <c r="A13" s="70" t="s">
        <v>45</v>
      </c>
      <c r="B13" s="70"/>
      <c r="C13" s="70"/>
      <c r="D13" s="70"/>
      <c r="E13" s="70"/>
      <c r="F13" s="70"/>
      <c r="G13" s="70"/>
      <c r="H13" s="70"/>
      <c r="I13" s="70"/>
      <c r="J13" s="70"/>
    </row>
    <row r="14" spans="1:32" ht="78.75" customHeight="1" x14ac:dyDescent="0.2">
      <c r="A14" s="70" t="s">
        <v>71</v>
      </c>
      <c r="B14" s="70"/>
      <c r="C14" s="70"/>
      <c r="D14" s="70"/>
      <c r="E14" s="70"/>
      <c r="F14" s="70"/>
      <c r="G14" s="70"/>
      <c r="H14" s="70"/>
      <c r="I14" s="70"/>
      <c r="J14" s="70"/>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45379</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110.06728688</v>
      </c>
      <c r="F6" s="35">
        <f t="shared" si="1"/>
        <v>883.74630890000003</v>
      </c>
      <c r="G6" s="35">
        <f t="shared" si="1"/>
        <v>1743.5668070898175</v>
      </c>
      <c r="H6" s="35">
        <f t="shared" si="1"/>
        <v>3065.4750839683611</v>
      </c>
      <c r="I6" s="35">
        <f t="shared" si="1"/>
        <v>3035.6510504535768</v>
      </c>
      <c r="J6" s="35">
        <f t="shared" si="1"/>
        <v>2769.0827451011673</v>
      </c>
      <c r="K6" s="35">
        <f t="shared" si="1"/>
        <v>2295.2281188681186</v>
      </c>
      <c r="L6" s="38">
        <f t="shared" si="1"/>
        <v>2174.4549568139778</v>
      </c>
      <c r="M6" s="38">
        <f t="shared" ref="M6:N6" si="2">IF(AND(M7="0",M8="0",M9="0",M10="0"),"0",IF(AND(M7="M",M8="M",M9="M",M10="M"),"M",IF(AND(M7="L",M8="L",M9="L",M10="L"),"L",IF(AND(ISTEXT(M7),ISTEXT(M8),ISTEXT(M9),ISTEXT(M10)),"L",SUM(M7:M10)))))</f>
        <v>1714.7425010692491</v>
      </c>
      <c r="N6" s="38">
        <f t="shared" si="2"/>
        <v>1297.4303568596451</v>
      </c>
      <c r="O6" s="38">
        <f t="shared" ref="O6:Q6" si="3">IF(AND(O7="0",O8="0",O9="0",O10="0"),"0",IF(AND(O7="M",O8="M",O9="M",O10="M"),"M",IF(AND(O7="L",O8="L",O9="L",O10="L"),"L",IF(AND(ISTEXT(O7),ISTEXT(O8),ISTEXT(O9),ISTEXT(O10)),"L",SUM(O7:O10)))))</f>
        <v>1175.7657835387736</v>
      </c>
      <c r="P6" s="38">
        <f t="shared" si="3"/>
        <v>1108.4152547655067</v>
      </c>
      <c r="Q6" s="38">
        <f t="shared" si="3"/>
        <v>1217.5858345780694</v>
      </c>
      <c r="R6" s="38">
        <f t="shared" ref="R6:S6" si="4">IF(AND(R7="0",R8="0",R9="0",R10="0"),"0",IF(AND(R7="M",R8="M",R9="M",R10="M"),"M",IF(AND(R7="L",R8="L",R9="L",R10="L"),"L",IF(AND(ISTEXT(R7),ISTEXT(R8),ISTEXT(R9),ISTEXT(R10)),"L",SUM(R7:R10)))))</f>
        <v>937.85819607605674</v>
      </c>
      <c r="S6" s="38">
        <f t="shared" si="4"/>
        <v>899.00823780002906</v>
      </c>
      <c r="T6" s="38">
        <f t="shared" ref="T6" si="5">IF(AND(T7="0",T8="0",T9="0",T10="0"),"0",IF(AND(T7="M",T8="M",T9="M",T10="M"),"M",IF(AND(T7="L",T8="L",T9="L",T10="L"),"L",IF(AND(ISTEXT(T7),ISTEXT(T8),ISTEXT(T9),ISTEXT(T10)),"L",SUM(T7:T10)))))</f>
        <v>1180.8285782842868</v>
      </c>
    </row>
    <row r="7" spans="1:20" x14ac:dyDescent="0.2">
      <c r="A7" s="66" t="e">
        <f>CountryCode &amp; ".FC.OGF.S13.MNAC." &amp; RefVintage</f>
        <v>#REF!</v>
      </c>
      <c r="B7" s="12" t="s">
        <v>12</v>
      </c>
      <c r="C7" s="53" t="s">
        <v>2</v>
      </c>
      <c r="D7" s="28">
        <v>0</v>
      </c>
      <c r="E7" s="28">
        <v>110.06728688</v>
      </c>
      <c r="F7" s="28">
        <v>436.94630890000002</v>
      </c>
      <c r="G7" s="28">
        <v>1073.58740966</v>
      </c>
      <c r="H7" s="28">
        <v>1214.8372840000002</v>
      </c>
      <c r="I7" s="28">
        <v>933.5</v>
      </c>
      <c r="J7" s="28">
        <v>420.39300000000003</v>
      </c>
      <c r="K7" s="28">
        <v>155.16771399999999</v>
      </c>
      <c r="L7" s="28">
        <v>53.282949000000002</v>
      </c>
      <c r="M7" s="28">
        <v>45.48</v>
      </c>
      <c r="N7" s="28">
        <v>5.2059999999999995</v>
      </c>
      <c r="O7" s="28">
        <v>0</v>
      </c>
      <c r="P7" s="28">
        <v>0</v>
      </c>
      <c r="Q7" s="28">
        <v>0</v>
      </c>
      <c r="R7" s="28">
        <v>0</v>
      </c>
      <c r="S7" s="28">
        <v>0</v>
      </c>
      <c r="T7" s="28">
        <v>0</v>
      </c>
    </row>
    <row r="8" spans="1:20" x14ac:dyDescent="0.2">
      <c r="A8" s="66" t="e">
        <f>CountryCode &amp; ".FC.D41_R.S13.MNAC." &amp; RefVintage</f>
        <v>#REF!</v>
      </c>
      <c r="B8" s="12" t="s">
        <v>13</v>
      </c>
      <c r="C8" s="53" t="s">
        <v>5</v>
      </c>
      <c r="D8" s="28">
        <v>0</v>
      </c>
      <c r="E8" s="28">
        <v>0</v>
      </c>
      <c r="F8" s="28">
        <v>386.8</v>
      </c>
      <c r="G8" s="28">
        <v>508.15936682999995</v>
      </c>
      <c r="H8" s="28">
        <v>1041.0988021531507</v>
      </c>
      <c r="I8" s="28">
        <v>1539.16973366</v>
      </c>
      <c r="J8" s="28">
        <v>1089.9370030122222</v>
      </c>
      <c r="K8" s="28">
        <v>711.64</v>
      </c>
      <c r="L8" s="28">
        <v>505.2435286470344</v>
      </c>
      <c r="M8" s="28">
        <v>135.15480459161358</v>
      </c>
      <c r="N8" s="28">
        <v>49.11250696084079</v>
      </c>
      <c r="O8" s="28">
        <v>70.948803886759833</v>
      </c>
      <c r="P8" s="28">
        <v>49.21487078110146</v>
      </c>
      <c r="Q8" s="28">
        <v>38.812973917713336</v>
      </c>
      <c r="R8" s="28">
        <v>37.578316495375027</v>
      </c>
      <c r="S8" s="28">
        <v>71.007084506785304</v>
      </c>
      <c r="T8" s="28">
        <v>176.80985174029121</v>
      </c>
    </row>
    <row r="9" spans="1:20" x14ac:dyDescent="0.2">
      <c r="A9" s="66" t="e">
        <f>CountryCode &amp; ".FC.D421.S13.MNAC." &amp; RefVintage</f>
        <v>#REF!</v>
      </c>
      <c r="B9" s="12" t="s">
        <v>14</v>
      </c>
      <c r="C9" s="53" t="s">
        <v>4</v>
      </c>
      <c r="D9" s="28">
        <v>0</v>
      </c>
      <c r="E9" s="28">
        <v>0</v>
      </c>
      <c r="F9" s="28">
        <v>0</v>
      </c>
      <c r="G9" s="28">
        <v>31.820030599817581</v>
      </c>
      <c r="H9" s="28">
        <v>333.36444171520986</v>
      </c>
      <c r="I9" s="28">
        <v>501.73631279357704</v>
      </c>
      <c r="J9" s="28">
        <v>720.23174208894511</v>
      </c>
      <c r="K9" s="28">
        <v>760.66740486811841</v>
      </c>
      <c r="L9" s="28">
        <v>962.43468806694318</v>
      </c>
      <c r="M9" s="28">
        <v>748.74804813797516</v>
      </c>
      <c r="N9" s="28">
        <v>558.06700936278082</v>
      </c>
      <c r="O9" s="28">
        <v>381.81748775009947</v>
      </c>
      <c r="P9" s="28">
        <v>379.92341420792764</v>
      </c>
      <c r="Q9" s="28">
        <v>393.80441404802195</v>
      </c>
      <c r="R9" s="28">
        <v>65.92651529883473</v>
      </c>
      <c r="S9" s="28">
        <v>16.483316624550117</v>
      </c>
      <c r="T9" s="28">
        <v>0</v>
      </c>
    </row>
    <row r="10" spans="1:20" x14ac:dyDescent="0.2">
      <c r="A10" s="66" t="e">
        <f>CountryCode &amp; ".FC.OOR.S13.MNAC." &amp; RefVintage</f>
        <v>#REF!</v>
      </c>
      <c r="B10" s="58" t="s">
        <v>15</v>
      </c>
      <c r="C10" s="32" t="s">
        <v>6</v>
      </c>
      <c r="D10" s="28">
        <v>0</v>
      </c>
      <c r="E10" s="28">
        <v>0</v>
      </c>
      <c r="F10" s="28">
        <v>60</v>
      </c>
      <c r="G10" s="28">
        <v>130</v>
      </c>
      <c r="H10" s="28">
        <v>476.17455610000002</v>
      </c>
      <c r="I10" s="28">
        <v>61.245003999999994</v>
      </c>
      <c r="J10" s="28">
        <v>538.52099999999996</v>
      </c>
      <c r="K10" s="28">
        <v>667.75300000000004</v>
      </c>
      <c r="L10" s="28">
        <v>653.49379110000007</v>
      </c>
      <c r="M10" s="28">
        <v>785.35964833966045</v>
      </c>
      <c r="N10" s="28">
        <v>685.04484053602346</v>
      </c>
      <c r="O10" s="28">
        <v>722.99949190191421</v>
      </c>
      <c r="P10" s="28">
        <v>679.27696977647759</v>
      </c>
      <c r="Q10" s="28">
        <v>784.96844661233411</v>
      </c>
      <c r="R10" s="28">
        <v>834.35336428184701</v>
      </c>
      <c r="S10" s="28">
        <v>811.51783666869369</v>
      </c>
      <c r="T10" s="28">
        <v>1004.0187265439956</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110.06728688</v>
      </c>
      <c r="F11" s="35">
        <f t="shared" si="6"/>
        <v>4650.7770464111809</v>
      </c>
      <c r="G11" s="35">
        <f t="shared" si="6"/>
        <v>37291.161460576644</v>
      </c>
      <c r="H11" s="35">
        <f t="shared" si="6"/>
        <v>9445.5191937915097</v>
      </c>
      <c r="I11" s="35">
        <f t="shared" si="6"/>
        <v>2691.5651170449223</v>
      </c>
      <c r="J11" s="35">
        <f t="shared" si="6"/>
        <v>2381.239108990264</v>
      </c>
      <c r="K11" s="35">
        <f t="shared" si="6"/>
        <v>2290.9148626226943</v>
      </c>
      <c r="L11" s="38">
        <f t="shared" si="6"/>
        <v>4016.161615858945</v>
      </c>
      <c r="M11" s="38">
        <f t="shared" ref="M11:N11" si="7">IF(AND(M12="0",M13="0",M14="0",M15="0",M16="0"),"0",IF(AND(M12="M",M13="M",M14="M",M15="M",M16="M"),"M",IF(AND(M12="L",M13="L",M14="L",M15="L",M16="L"),"L",IF(AND(ISTEXT(M12),ISTEXT(M13),ISTEXT(M14),ISTEXT(M15),ISTEXT(M16)),"L",SUM(M12:M16)))))</f>
        <v>1740.1157280026953</v>
      </c>
      <c r="N11" s="38">
        <f t="shared" si="7"/>
        <v>1631.4129248344175</v>
      </c>
      <c r="O11" s="38">
        <f t="shared" ref="O11:Q11" si="8">IF(AND(O12="0",O13="0",O14="0",O15="0",O16="0"),"0",IF(AND(O12="M",O13="M",O14="M",O15="M",O16="M"),"M",IF(AND(O12="L",O13="L",O14="L",O15="L",O16="L"),"L",IF(AND(ISTEXT(O12),ISTEXT(O13),ISTEXT(O14),ISTEXT(O15),ISTEXT(O16)),"L",SUM(O12:O16)))))</f>
        <v>1801.181382161612</v>
      </c>
      <c r="P11" s="38">
        <f t="shared" si="8"/>
        <v>1482.4013943056964</v>
      </c>
      <c r="Q11" s="38">
        <f t="shared" si="8"/>
        <v>1413.3169956146971</v>
      </c>
      <c r="R11" s="38">
        <f t="shared" ref="R11:S11" si="9">IF(AND(R12="0",R13="0",R14="0",R15="0",R16="0"),"0",IF(AND(R12="M",R13="M",R14="M",R15="M",R16="M"),"M",IF(AND(R12="L",R13="L",R14="L",R15="L",R16="L"),"L",IF(AND(ISTEXT(R12),ISTEXT(R13),ISTEXT(R14),ISTEXT(R15),ISTEXT(R16)),"L",SUM(R12:R16)))))</f>
        <v>1385.7405125829137</v>
      </c>
      <c r="S11" s="38">
        <f t="shared" si="9"/>
        <v>1349.9214492026215</v>
      </c>
      <c r="T11" s="38">
        <f t="shared" ref="T11" si="10">IF(AND(T12="0",T13="0",T14="0",T15="0",T16="0"),"0",IF(AND(T12="M",T13="M",T14="M",T15="M",T16="M"),"M",IF(AND(T12="L",T13="L",T14="L",T15="L",T16="L"),"L",IF(AND(ISTEXT(T12),ISTEXT(T13),ISTEXT(T14),ISTEXT(T15),ISTEXT(T16)),"L",SUM(T12:T16)))))</f>
        <v>1359.0842400786787</v>
      </c>
    </row>
    <row r="12" spans="1:20" x14ac:dyDescent="0.2">
      <c r="A12" s="66" t="e">
        <f>CountryCode &amp; ".FC.D41_P.S13.MNAC." &amp; RefVintage</f>
        <v>#REF!</v>
      </c>
      <c r="B12" s="12" t="s">
        <v>16</v>
      </c>
      <c r="C12" s="54" t="s">
        <v>51</v>
      </c>
      <c r="D12" s="28">
        <v>0</v>
      </c>
      <c r="E12" s="28">
        <v>110.06728688</v>
      </c>
      <c r="F12" s="28">
        <v>650.77704641118089</v>
      </c>
      <c r="G12" s="28">
        <v>1897.7231630337437</v>
      </c>
      <c r="H12" s="28">
        <v>2159.0987808203258</v>
      </c>
      <c r="I12" s="28">
        <v>2058.0838440449224</v>
      </c>
      <c r="J12" s="28">
        <v>1875.284108990264</v>
      </c>
      <c r="K12" s="28">
        <v>1538.2138626226943</v>
      </c>
      <c r="L12" s="28">
        <v>1218.8797592254089</v>
      </c>
      <c r="M12" s="28">
        <v>1058.2402145961244</v>
      </c>
      <c r="N12" s="28">
        <v>908.85733556181185</v>
      </c>
      <c r="O12" s="28">
        <v>794.08093466794639</v>
      </c>
      <c r="P12" s="28">
        <v>698.32557388890109</v>
      </c>
      <c r="Q12" s="28">
        <v>641.57122409153374</v>
      </c>
      <c r="R12" s="28">
        <v>589.83576064880651</v>
      </c>
      <c r="S12" s="28">
        <v>542.07547771080795</v>
      </c>
      <c r="T12" s="28">
        <v>466.52441672260477</v>
      </c>
    </row>
    <row r="13" spans="1:20" x14ac:dyDescent="0.2">
      <c r="A13" s="66" t="e">
        <f>CountryCode &amp; ".FC.D99CI.S13.MNAC." &amp; RefVintage</f>
        <v>#REF!</v>
      </c>
      <c r="B13" s="21" t="s">
        <v>17</v>
      </c>
      <c r="C13" s="53" t="s">
        <v>1</v>
      </c>
      <c r="D13" s="28">
        <v>0</v>
      </c>
      <c r="E13" s="28">
        <v>0</v>
      </c>
      <c r="F13" s="28">
        <v>4000</v>
      </c>
      <c r="G13" s="28">
        <v>35393.438297542903</v>
      </c>
      <c r="H13" s="28">
        <v>7113.9587724711837</v>
      </c>
      <c r="I13" s="28">
        <v>280</v>
      </c>
      <c r="J13" s="28">
        <v>0</v>
      </c>
      <c r="K13" s="28">
        <v>0</v>
      </c>
      <c r="L13" s="28">
        <v>2111</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172.46164049999999</v>
      </c>
      <c r="I16" s="28">
        <v>353.48127299999999</v>
      </c>
      <c r="J16" s="28">
        <v>505.95500000000004</v>
      </c>
      <c r="K16" s="28">
        <v>752.70100000000014</v>
      </c>
      <c r="L16" s="28">
        <v>686.28185663353645</v>
      </c>
      <c r="M16" s="28">
        <v>681.87551340657092</v>
      </c>
      <c r="N16" s="28">
        <v>722.55558927260552</v>
      </c>
      <c r="O16" s="28">
        <v>1007.1004474936656</v>
      </c>
      <c r="P16" s="28">
        <v>784.0758204167953</v>
      </c>
      <c r="Q16" s="28">
        <v>771.7457715231634</v>
      </c>
      <c r="R16" s="28">
        <v>795.90475193410714</v>
      </c>
      <c r="S16" s="28">
        <v>807.84597149181354</v>
      </c>
      <c r="T16" s="28">
        <v>892.55982335607382</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0</v>
      </c>
      <c r="F18" s="39">
        <f t="shared" si="11"/>
        <v>-3767.0307375111806</v>
      </c>
      <c r="G18" s="39">
        <f t="shared" si="11"/>
        <v>-35547.594653486827</v>
      </c>
      <c r="H18" s="39">
        <f t="shared" si="11"/>
        <v>-6380.0441098231486</v>
      </c>
      <c r="I18" s="39">
        <f t="shared" si="11"/>
        <v>344.08593340865445</v>
      </c>
      <c r="J18" s="39">
        <f t="shared" si="11"/>
        <v>387.84363611090339</v>
      </c>
      <c r="K18" s="39">
        <f t="shared" si="11"/>
        <v>4.3132562454243271</v>
      </c>
      <c r="L18" s="40">
        <f t="shared" si="11"/>
        <v>-1841.7066590449672</v>
      </c>
      <c r="M18" s="40">
        <f t="shared" ref="M18:N18" si="12">IF(AND(M6="0",M11="0"),"0",IF(AND(M6="M",M11="M"),"M",IF(AND(M6="L",M11="L"),"L",IF(AND(ISTEXT(M6),ISTEXT(M11)),"L",SUM(M6,-M11)))))</f>
        <v>-25.373226933446176</v>
      </c>
      <c r="N18" s="40">
        <f t="shared" si="12"/>
        <v>-333.98256797477234</v>
      </c>
      <c r="O18" s="40">
        <f t="shared" ref="O18:Q18" si="13">IF(AND(O6="0",O11="0"),"0",IF(AND(O6="M",O11="M"),"M",IF(AND(O6="L",O11="L"),"L",IF(AND(ISTEXT(O6),ISTEXT(O11)),"L",SUM(O6,-O11)))))</f>
        <v>-625.41559862283839</v>
      </c>
      <c r="P18" s="40">
        <f t="shared" si="13"/>
        <v>-373.9861395401897</v>
      </c>
      <c r="Q18" s="40">
        <f t="shared" si="13"/>
        <v>-195.73116103662778</v>
      </c>
      <c r="R18" s="40">
        <f t="shared" ref="R18:S18" si="14">IF(AND(R6="0",R11="0"),"0",IF(AND(R6="M",R11="M"),"M",IF(AND(R6="L",R11="L"),"L",IF(AND(ISTEXT(R6),ISTEXT(R11)),"L",SUM(R6,-R11)))))</f>
        <v>-447.88231650685691</v>
      </c>
      <c r="S18" s="40">
        <f t="shared" si="14"/>
        <v>-450.91321140259242</v>
      </c>
      <c r="T18" s="40">
        <f t="shared" ref="T18" si="15">IF(AND(T6="0",T11="0"),"0",IF(AND(T6="M",T11="M"),"M",IF(AND(T6="L",T11="L"),"L",IF(AND(ISTEXT(T6),ISTEXT(T11)),"L",SUM(T6,-T11)))))</f>
        <v>-178.25566179439193</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0</v>
      </c>
      <c r="F23" s="35">
        <f t="shared" si="17"/>
        <v>7000</v>
      </c>
      <c r="G23" s="35">
        <f t="shared" si="17"/>
        <v>6633.5735439249966</v>
      </c>
      <c r="H23" s="35">
        <f t="shared" si="17"/>
        <v>36418.517390138513</v>
      </c>
      <c r="I23" s="35">
        <f t="shared" si="17"/>
        <v>31620.517390138517</v>
      </c>
      <c r="J23" s="35">
        <f t="shared" si="17"/>
        <v>22288.367390138519</v>
      </c>
      <c r="K23" s="35">
        <f t="shared" si="17"/>
        <v>11743.517390138517</v>
      </c>
      <c r="L23" s="38">
        <f t="shared" si="17"/>
        <v>8244.8620296722984</v>
      </c>
      <c r="M23" s="38">
        <f t="shared" ref="M23:N23" si="18">IF(AND(M24="0",M25="0",M26="0",M27="0"),"0",IF(AND(M24="M",M25="M",M26="M",M27="M"),"M",IF(AND(M24="L",M25="L",M26="L",M27="L"),"L",IF(AND(ISTEXT(M24),ISTEXT(M25),ISTEXT(M26),ISTEXT(M27)),"L",SUM(M24:M27)))))</f>
        <v>6385.430988302729</v>
      </c>
      <c r="N23" s="38">
        <f t="shared" si="18"/>
        <v>2586.0253904785159</v>
      </c>
      <c r="O23" s="38">
        <f t="shared" ref="O23:Q23" si="19">IF(AND(O24="0",O25="0",O26="0",O27="0"),"0",IF(AND(O24="M",O25="M",O26="M",O27="M"),"M",IF(AND(O24="L",O25="L",O26="L",O27="L"),"L",IF(AND(ISTEXT(O24),ISTEXT(O25),ISTEXT(O26),ISTEXT(O27)),"L",SUM(O24:O27)))))</f>
        <v>2173.2031867058849</v>
      </c>
      <c r="P23" s="38">
        <f t="shared" si="19"/>
        <v>1079.2851442975448</v>
      </c>
      <c r="Q23" s="38">
        <f t="shared" si="19"/>
        <v>2074.8818616320186</v>
      </c>
      <c r="R23" s="38">
        <f t="shared" ref="R23:S23" si="20">IF(AND(R24="0",R25="0",R26="0",R27="0"),"0",IF(AND(R24="M",R25="M",R26="M",R27="M"),"M",IF(AND(R24="L",R25="L",R26="L",R27="L"),"L",IF(AND(ISTEXT(R24),ISTEXT(R25),ISTEXT(R26),ISTEXT(R27)),"L",SUM(R24:R27)))))</f>
        <v>2156.5172977958682</v>
      </c>
      <c r="S23" s="38">
        <f t="shared" si="20"/>
        <v>794.50972137260703</v>
      </c>
      <c r="T23" s="38">
        <f t="shared" ref="T23" si="21">IF(AND(T24="0",T25="0",T26="0",T27="0"),"0",IF(AND(T24="M",T25="M",T26="M",T27="M"),"M",IF(AND(T24="L",T25="L",T26="L",T27="L"),"L",IF(AND(ISTEXT(T24),ISTEXT(T25),ISTEXT(T26),ISTEXT(T27)),"L",SUM(T24:T27)))))</f>
        <v>156.39707698874872</v>
      </c>
    </row>
    <row r="24" spans="1:20" x14ac:dyDescent="0.2">
      <c r="A24" s="67" t="e">
        <f>CountryCode &amp; ".FC.F4_A.S13.MNAC." &amp; RefVintage</f>
        <v>#REF!</v>
      </c>
      <c r="B24" s="12" t="s">
        <v>12</v>
      </c>
      <c r="C24" s="53" t="s">
        <v>7</v>
      </c>
      <c r="D24" s="28">
        <v>0</v>
      </c>
      <c r="E24" s="28">
        <v>0</v>
      </c>
      <c r="F24" s="28">
        <v>0</v>
      </c>
      <c r="G24" s="28">
        <v>49</v>
      </c>
      <c r="H24" s="28">
        <v>0</v>
      </c>
      <c r="I24" s="28">
        <v>0</v>
      </c>
      <c r="J24" s="28">
        <v>0</v>
      </c>
      <c r="K24" s="28">
        <v>0</v>
      </c>
      <c r="L24" s="28">
        <v>0</v>
      </c>
      <c r="M24" s="28">
        <v>0</v>
      </c>
      <c r="N24" s="28">
        <v>0</v>
      </c>
      <c r="O24" s="28">
        <v>0</v>
      </c>
      <c r="P24" s="28">
        <v>0</v>
      </c>
      <c r="Q24" s="28">
        <v>653.00199999999995</v>
      </c>
      <c r="R24" s="28">
        <v>579.64099999999996</v>
      </c>
      <c r="S24" s="28">
        <v>338.34299999999996</v>
      </c>
      <c r="T24" s="28">
        <v>371.81200000000001</v>
      </c>
    </row>
    <row r="25" spans="1:20" x14ac:dyDescent="0.2">
      <c r="A25" s="67" t="e">
        <f>CountryCode &amp; ".FC.F3_A.S13.MNAC." &amp; RefVintage</f>
        <v>#REF!</v>
      </c>
      <c r="B25" s="15" t="s">
        <v>13</v>
      </c>
      <c r="C25" s="53" t="s">
        <v>66</v>
      </c>
      <c r="D25" s="28">
        <v>0</v>
      </c>
      <c r="E25" s="28">
        <v>0</v>
      </c>
      <c r="F25" s="28">
        <v>7000</v>
      </c>
      <c r="G25" s="28">
        <v>5336.5</v>
      </c>
      <c r="H25" s="28">
        <v>8336.5</v>
      </c>
      <c r="I25" s="28">
        <v>8336.5</v>
      </c>
      <c r="J25" s="28">
        <v>5499.5</v>
      </c>
      <c r="K25" s="28">
        <v>5499.5</v>
      </c>
      <c r="L25" s="28">
        <v>1600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0</v>
      </c>
      <c r="G26" s="28">
        <v>1248.0735439249966</v>
      </c>
      <c r="H26" s="28">
        <v>2618.017390138516</v>
      </c>
      <c r="I26" s="28">
        <v>4198.017390138516</v>
      </c>
      <c r="J26" s="28">
        <v>3178.017390138516</v>
      </c>
      <c r="K26" s="28">
        <v>3178.017390138516</v>
      </c>
      <c r="L26" s="28">
        <v>3644.7173901385158</v>
      </c>
      <c r="M26" s="28">
        <v>3644.7173901385158</v>
      </c>
      <c r="N26" s="28">
        <v>211.02539013851583</v>
      </c>
      <c r="O26" s="28">
        <v>211.02539013851583</v>
      </c>
      <c r="P26" s="28">
        <v>211.02539013851583</v>
      </c>
      <c r="Q26" s="28">
        <v>223.41939013851584</v>
      </c>
      <c r="R26" s="28">
        <v>5.2090704685158293</v>
      </c>
      <c r="S26" s="28">
        <v>-940.80840962148409</v>
      </c>
      <c r="T26" s="28">
        <v>-1484.3250797514841</v>
      </c>
    </row>
    <row r="27" spans="1:20" ht="13.5" customHeight="1" x14ac:dyDescent="0.2">
      <c r="A27" s="67" t="e">
        <f>CountryCode &amp; ".FC.FO_A.S13.MNAC." &amp; RefVintage</f>
        <v>#REF!</v>
      </c>
      <c r="B27" s="16" t="s">
        <v>15</v>
      </c>
      <c r="C27" s="54" t="s">
        <v>53</v>
      </c>
      <c r="D27" s="28">
        <v>0</v>
      </c>
      <c r="E27" s="28">
        <v>0</v>
      </c>
      <c r="F27" s="28">
        <v>0</v>
      </c>
      <c r="G27" s="28">
        <v>0</v>
      </c>
      <c r="H27" s="28">
        <v>25464</v>
      </c>
      <c r="I27" s="28">
        <v>19086</v>
      </c>
      <c r="J27" s="28">
        <v>13610.85</v>
      </c>
      <c r="K27" s="28">
        <v>3066</v>
      </c>
      <c r="L27" s="28">
        <v>3000.1446395337821</v>
      </c>
      <c r="M27" s="28">
        <v>2740.7135981642136</v>
      </c>
      <c r="N27" s="28">
        <v>2375.00000034</v>
      </c>
      <c r="O27" s="28">
        <v>1962.1777965673693</v>
      </c>
      <c r="P27" s="28">
        <v>868.25975415902906</v>
      </c>
      <c r="Q27" s="28">
        <v>1198.4604714935031</v>
      </c>
      <c r="R27" s="28">
        <v>1571.6672273273525</v>
      </c>
      <c r="S27" s="28">
        <v>1396.9751309940912</v>
      </c>
      <c r="T27" s="28">
        <v>1268.9101567402327</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0</v>
      </c>
      <c r="F28" s="35">
        <f t="shared" si="22"/>
        <v>10767.030737511181</v>
      </c>
      <c r="G28" s="35">
        <f t="shared" si="22"/>
        <v>46657.775390998017</v>
      </c>
      <c r="H28" s="35">
        <f t="shared" si="22"/>
        <v>55051.063415087388</v>
      </c>
      <c r="I28" s="35">
        <f t="shared" si="22"/>
        <v>53156.977481678732</v>
      </c>
      <c r="J28" s="35">
        <f t="shared" si="22"/>
        <v>69298.001845567822</v>
      </c>
      <c r="K28" s="35">
        <f t="shared" si="22"/>
        <v>58051.310589322406</v>
      </c>
      <c r="L28" s="38">
        <f t="shared" si="22"/>
        <v>57982.119040641475</v>
      </c>
      <c r="M28" s="38">
        <f t="shared" ref="M28:N28" si="23">IF(AND(M29="0",M30="0",M32="0"),"0",IF(AND(M29="M",M30="M",M32="M"),"M",IF(AND(M29="L",M30="L",M32="L"),"L",IF(AND(ISTEXT(M29),ISTEXT(M30),ISTEXT(M32)),"L",SUM(M29,M30,M32)))))</f>
        <v>57747.693131427841</v>
      </c>
      <c r="N28" s="38">
        <f t="shared" si="23"/>
        <v>56266.717126605588</v>
      </c>
      <c r="O28" s="38">
        <f t="shared" ref="O28:P28" si="24">IF(AND(O29="0",O30="0",O32="0"),"0",IF(AND(O29="M",O30="M",O32="M"),"M",IF(AND(O29="L",O30="L",O32="L"),"L",IF(AND(ISTEXT(O29),ISTEXT(O30),ISTEXT(O32)),"L",SUM(O29,O30,O32)))))</f>
        <v>59033.573723052374</v>
      </c>
      <c r="P28" s="38">
        <f t="shared" si="24"/>
        <v>61220.855314695917</v>
      </c>
      <c r="Q28" s="38">
        <f t="shared" ref="Q28:R28" si="25">IF(AND(Q29="0",Q30="0",Q32="0"),"0",IF(AND(Q29="M",Q30="M",Q32="M"),"M",IF(AND(Q29="L",Q30="L",Q32="L"),"L",IF(AND(ISTEXT(Q29),ISTEXT(Q30),ISTEXT(Q32)),"L",SUM(Q29,Q30,Q32)))))</f>
        <v>62022.375015965539</v>
      </c>
      <c r="R28" s="38">
        <f t="shared" si="25"/>
        <v>63509.918618377589</v>
      </c>
      <c r="S28" s="38">
        <f t="shared" ref="S28:T28" si="26">IF(AND(S29="0",S30="0",S32="0"),"0",IF(AND(S29="M",S30="M",S32="M"),"M",IF(AND(S29="L",S30="L",S32="L"),"L",IF(AND(ISTEXT(S29),ISTEXT(S30),ISTEXT(S32)),"L",SUM(S29,S30,S32)))))</f>
        <v>65444.972319035674</v>
      </c>
      <c r="T28" s="38">
        <f t="shared" si="26"/>
        <v>66505.320165366225</v>
      </c>
    </row>
    <row r="29" spans="1:20" x14ac:dyDescent="0.2">
      <c r="A29" s="66" t="e">
        <f>CountryCode &amp; ".FC.F4_L.S13.MNAC." &amp; RefVintage</f>
        <v>#REF!</v>
      </c>
      <c r="B29" s="21" t="s">
        <v>16</v>
      </c>
      <c r="C29" s="53" t="s">
        <v>7</v>
      </c>
      <c r="D29" s="28">
        <v>0</v>
      </c>
      <c r="E29" s="30">
        <v>0</v>
      </c>
      <c r="F29" s="28">
        <v>0</v>
      </c>
      <c r="G29" s="28">
        <v>31411</v>
      </c>
      <c r="H29" s="28">
        <v>238</v>
      </c>
      <c r="I29" s="28">
        <v>226</v>
      </c>
      <c r="J29" s="28">
        <v>213</v>
      </c>
      <c r="K29" s="28">
        <v>200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0</v>
      </c>
      <c r="F30" s="28">
        <v>10767.030737511181</v>
      </c>
      <c r="G30" s="28">
        <v>15246.775390998015</v>
      </c>
      <c r="H30" s="28">
        <v>33886.063415087388</v>
      </c>
      <c r="I30" s="28">
        <v>35133.977481678732</v>
      </c>
      <c r="J30" s="28">
        <v>56425.133845567827</v>
      </c>
      <c r="K30" s="28">
        <v>56614.310589322406</v>
      </c>
      <c r="L30" s="28">
        <v>57246.867248367373</v>
      </c>
      <c r="M30" s="28">
        <v>57049.227558630817</v>
      </c>
      <c r="N30" s="28">
        <v>55934.61712660559</v>
      </c>
      <c r="O30" s="28">
        <v>58835.264475228425</v>
      </c>
      <c r="P30" s="28">
        <v>60968.474614768616</v>
      </c>
      <c r="Q30" s="28">
        <v>61817.728775805241</v>
      </c>
      <c r="R30" s="28">
        <v>63312.103272642096</v>
      </c>
      <c r="S30" s="28">
        <v>65258.599484044687</v>
      </c>
      <c r="T30" s="28">
        <v>66468.512395839076</v>
      </c>
    </row>
    <row r="31" spans="1:20" x14ac:dyDescent="0.2">
      <c r="A31" s="66" t="e">
        <f>CountryCode &amp; ".FC.F3_I_L.S13.MNAC." &amp; RefVintage</f>
        <v>#REF!</v>
      </c>
      <c r="B31" s="16"/>
      <c r="C31" s="54" t="s">
        <v>54</v>
      </c>
      <c r="D31" s="31">
        <v>0</v>
      </c>
      <c r="E31" s="31">
        <v>0</v>
      </c>
      <c r="F31" s="31">
        <v>10767.030737511181</v>
      </c>
      <c r="G31" s="31">
        <v>15246.775390998015</v>
      </c>
      <c r="H31" s="31">
        <v>31368.063415087388</v>
      </c>
      <c r="I31" s="31">
        <v>32603.977481678732</v>
      </c>
      <c r="J31" s="31">
        <v>28287.133845567827</v>
      </c>
      <c r="K31" s="31">
        <v>28976.310589322406</v>
      </c>
      <c r="L31" s="31">
        <v>31608.867248367373</v>
      </c>
      <c r="M31" s="31">
        <v>34411.227558630817</v>
      </c>
      <c r="N31" s="31">
        <v>37296.61712660559</v>
      </c>
      <c r="O31" s="31">
        <v>44197.264475228425</v>
      </c>
      <c r="P31" s="31">
        <v>49330.474614768616</v>
      </c>
      <c r="Q31" s="31">
        <v>51179.728775805241</v>
      </c>
      <c r="R31" s="31">
        <v>54674.103272642096</v>
      </c>
      <c r="S31" s="31">
        <v>62138.599484044687</v>
      </c>
      <c r="T31" s="31">
        <v>65894.512395839076</v>
      </c>
    </row>
    <row r="32" spans="1:20" x14ac:dyDescent="0.2">
      <c r="A32" s="66" t="e">
        <f>CountryCode &amp; ".FC.FO_L.S13.MNAC." &amp; RefVintage</f>
        <v>#REF!</v>
      </c>
      <c r="B32" s="22" t="s">
        <v>18</v>
      </c>
      <c r="C32" s="54" t="s">
        <v>55</v>
      </c>
      <c r="D32" s="29">
        <v>0</v>
      </c>
      <c r="E32" s="30">
        <v>0</v>
      </c>
      <c r="F32" s="28">
        <v>0</v>
      </c>
      <c r="G32" s="28">
        <v>0</v>
      </c>
      <c r="H32" s="28">
        <v>20927</v>
      </c>
      <c r="I32" s="28">
        <v>17797</v>
      </c>
      <c r="J32" s="28">
        <v>12659.868</v>
      </c>
      <c r="K32" s="28">
        <v>1237</v>
      </c>
      <c r="L32" s="28">
        <v>735.25179227410035</v>
      </c>
      <c r="M32" s="28">
        <v>698.46557279702415</v>
      </c>
      <c r="N32" s="28">
        <v>332.10000000000014</v>
      </c>
      <c r="O32" s="28">
        <v>198.30924782395118</v>
      </c>
      <c r="P32" s="28">
        <v>252.38069992729928</v>
      </c>
      <c r="Q32" s="28">
        <v>204.64624016030069</v>
      </c>
      <c r="R32" s="28">
        <v>197.81534573549249</v>
      </c>
      <c r="S32" s="28">
        <v>186.37283499099061</v>
      </c>
      <c r="T32" s="28">
        <v>36.8077695271474</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352329</v>
      </c>
      <c r="F33" s="35">
        <f t="shared" si="27"/>
        <v>281176</v>
      </c>
      <c r="G33" s="35">
        <f t="shared" si="27"/>
        <v>156979.15</v>
      </c>
      <c r="H33" s="35">
        <f t="shared" si="27"/>
        <v>137404</v>
      </c>
      <c r="I33" s="35">
        <f t="shared" si="27"/>
        <v>114240</v>
      </c>
      <c r="J33" s="35">
        <f t="shared" si="27"/>
        <v>54709</v>
      </c>
      <c r="K33" s="35">
        <f t="shared" si="27"/>
        <v>23838</v>
      </c>
      <c r="L33" s="38">
        <f t="shared" si="27"/>
        <v>11299</v>
      </c>
      <c r="M33" s="38">
        <f t="shared" ref="M33:N33" si="28">IF(AND(M34="0",M35="0",M36="0",M37="0"),"0",IF(AND(M34="M",M35="M",M36="M",M37="M"),"M",IF(AND(M34="L",M35="L",M36="L",M37="L"),"L",IF(AND(ISTEXT(M34),ISTEXT(M35),ISTEXT(M36),ISTEXT(M37)),"L",SUM(M34:M37)))))</f>
        <v>3967</v>
      </c>
      <c r="N33" s="38">
        <f t="shared" si="28"/>
        <v>276</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352329</v>
      </c>
      <c r="F34" s="28">
        <v>281176</v>
      </c>
      <c r="G34" s="28">
        <v>128330</v>
      </c>
      <c r="H34" s="28">
        <v>108298</v>
      </c>
      <c r="I34" s="28">
        <v>88800</v>
      </c>
      <c r="J34" s="28">
        <v>31806</v>
      </c>
      <c r="K34" s="28">
        <v>10248</v>
      </c>
      <c r="L34" s="28">
        <v>3209</v>
      </c>
      <c r="M34" s="28">
        <v>1377</v>
      </c>
      <c r="N34" s="28">
        <v>276</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28649.149999999998</v>
      </c>
      <c r="H36" s="28">
        <v>29106</v>
      </c>
      <c r="I36" s="28">
        <v>25440</v>
      </c>
      <c r="J36" s="28">
        <v>22903</v>
      </c>
      <c r="K36" s="28">
        <v>13590</v>
      </c>
      <c r="L36" s="28">
        <v>8090</v>
      </c>
      <c r="M36" s="28">
        <v>2590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