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8800" windowHeight="10995" tabRatio="599" activeTab="1"/>
  </bookViews>
  <sheets>
    <sheet name="READ ME" sheetId="3" r:id="rId1"/>
    <sheet name="Country &amp; responsible" sheetId="5" r:id="rId2"/>
    <sheet name="Cereals" sheetId="8" r:id="rId3"/>
    <sheet name="Oilseeds and oleaginous fruits" sheetId="9" r:id="rId4"/>
    <sheet name="Protein crops" sheetId="10" r:id="rId5"/>
    <sheet name="Sugar beet" sheetId="11" r:id="rId6"/>
    <sheet name="Other industrial crops" sheetId="12" r:id="rId7"/>
    <sheet name="Forage plants" sheetId="13" r:id="rId8"/>
    <sheet name="Fresh vegetables" sheetId="14" r:id="rId9"/>
    <sheet name="Nursery&amp;Ornam. plants, flowers" sheetId="15" r:id="rId10"/>
    <sheet name="Plantations" sheetId="16" r:id="rId11"/>
    <sheet name="Potatoes" sheetId="17" r:id="rId12"/>
    <sheet name="Fruits" sheetId="18" r:id="rId13"/>
    <sheet name="Wine" sheetId="19" r:id="rId14"/>
    <sheet name="Other crop products" sheetId="20" r:id="rId15"/>
    <sheet name="Cattle" sheetId="21" r:id="rId16"/>
    <sheet name="Pigs" sheetId="22" r:id="rId17"/>
    <sheet name="Poultry" sheetId="23" r:id="rId18"/>
    <sheet name="Sheep and goats" sheetId="24" r:id="rId19"/>
    <sheet name="Equines, other animals" sheetId="52" r:id="rId20"/>
    <sheet name="Milk" sheetId="26" r:id="rId21"/>
    <sheet name="Eggs" sheetId="27" r:id="rId22"/>
    <sheet name="Other animal products" sheetId="28" r:id="rId23"/>
    <sheet name="Agricultural Services" sheetId="29" r:id="rId24"/>
    <sheet name="Non-agricultural activities" sheetId="30" r:id="rId25"/>
    <sheet name="IM_Seeds and planting stocks" sheetId="31" r:id="rId26"/>
    <sheet name="IM_Energy and lubcricants" sheetId="32" r:id="rId27"/>
    <sheet name="IM_Fertilisers" sheetId="33" r:id="rId28"/>
    <sheet name="IM_Plant protection products" sheetId="34" r:id="rId29"/>
    <sheet name="IM_Veterinary expenses" sheetId="35" r:id="rId30"/>
    <sheet name="IM_Feedingstuffs" sheetId="36" r:id="rId31"/>
    <sheet name="IM_Maintenance of materials" sheetId="37" r:id="rId32"/>
    <sheet name="IM_Maintenance of buildings" sheetId="38" r:id="rId33"/>
    <sheet name="IM_Agricultural services" sheetId="39" r:id="rId34"/>
    <sheet name="IM_FISIM" sheetId="53" r:id="rId35"/>
    <sheet name="IM_Other goods and services" sheetId="40" r:id="rId36"/>
    <sheet name="Compensation of Employees" sheetId="41" r:id="rId37"/>
    <sheet name="Other taxes on production" sheetId="42" r:id="rId38"/>
    <sheet name="Other subsidies on production" sheetId="43" r:id="rId39"/>
    <sheet name="Rents to be paid" sheetId="44" r:id="rId40"/>
    <sheet name="Interest payable" sheetId="45" r:id="rId41"/>
    <sheet name="Interest receivable" sheetId="46" r:id="rId42"/>
    <sheet name="GFCF_agricultural products" sheetId="47" r:id="rId43"/>
    <sheet name="GFCF_non-agricultural products" sheetId="48" r:id="rId44"/>
    <sheet name="Consumption of fixed capital" sheetId="49" r:id="rId45"/>
    <sheet name="Changes in inventories" sheetId="50" r:id="rId46"/>
    <sheet name="Capital transfers" sheetId="51" r:id="rId47"/>
  </sheets>
  <definedNames>
    <definedName name="_xlnm.Print_Area" localSheetId="46">'Capital transfers'!$A$1:$C$19</definedName>
    <definedName name="_xlnm.Print_Area" localSheetId="40">'Interest payable'!$A$1:$K$11</definedName>
    <definedName name="_xlnm.Print_Area" localSheetId="37">'Other taxes on production'!$A$1:$E$37</definedName>
  </definedNames>
  <calcPr calcId="162913"/>
</workbook>
</file>

<file path=xl/comments16.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 ref="C80" authorId="0">
      <text>
        <r>
          <rPr>
            <sz val="9"/>
            <rFont val="Tahoma"/>
            <family val="2"/>
          </rPr>
          <t>slaughterings minus imports of live animals for slaughter</t>
        </r>
      </text>
    </comment>
    <comment ref="C81" authorId="0">
      <text>
        <r>
          <rPr>
            <sz val="9"/>
            <rFont val="Tahoma"/>
            <family val="2"/>
          </rPr>
          <t>exports of live animals for slaughter, breeding and production minus imports of live animals for breeding and production</t>
        </r>
      </text>
    </comment>
    <comment ref="E81" authorId="0">
      <text>
        <r>
          <rPr>
            <sz val="9"/>
            <rFont val="Tahoma"/>
            <family val="2"/>
          </rPr>
          <t xml:space="preserve">values according to foreign trade statistics, adjusted for transport costs and possible export refunds </t>
        </r>
      </text>
    </comment>
  </commentList>
</comments>
</file>

<file path=xl/comments17.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List>
</comments>
</file>

<file path=xl/comments19.xml><?xml version="1.0" encoding="utf-8"?>
<comments xmlns="http://schemas.openxmlformats.org/spreadsheetml/2006/main">
  <authors>
    <author>MAYER Christina</author>
  </authors>
  <commentList>
    <comment ref="C35" authorId="0">
      <text>
        <r>
          <rPr>
            <sz val="9"/>
            <rFont val="Tahoma"/>
            <family val="2"/>
          </rPr>
          <t>slaughterings minus imports of live animals for slaughter</t>
        </r>
      </text>
    </comment>
    <comment ref="C36" authorId="0">
      <text>
        <r>
          <rPr>
            <sz val="9"/>
            <rFont val="Tahoma"/>
            <family val="2"/>
          </rPr>
          <t>exports of live animals for slaughter, breeding and production minus imports of live animals for breeding and production</t>
        </r>
      </text>
    </comment>
    <comment ref="E36" authorId="0">
      <text>
        <r>
          <rPr>
            <sz val="9"/>
            <rFont val="Tahoma"/>
            <family val="2"/>
          </rPr>
          <t xml:space="preserve">values according to foreign trade statistics, adjusted for transport costs and possible export refunds </t>
        </r>
      </text>
    </comment>
  </commentList>
</comments>
</file>

<file path=xl/comments26.xml><?xml version="1.0" encoding="utf-8"?>
<comments xmlns="http://schemas.openxmlformats.org/spreadsheetml/2006/main">
  <authors>
    <author>MAYER Christina</author>
  </authors>
  <commentList>
    <comment ref="B9" authorId="0">
      <text>
        <r>
          <rPr>
            <b/>
            <sz val="9"/>
            <rFont val="Tahoma"/>
            <family val="2"/>
          </rPr>
          <t>MAYER Christina:</t>
        </r>
        <r>
          <rPr>
            <sz val="9"/>
            <rFont val="Tahoma"/>
            <family val="2"/>
          </rPr>
          <t xml:space="preserve">
exclusive internal production</t>
        </r>
      </text>
    </comment>
  </commentList>
</comments>
</file>

<file path=xl/comments3.xml><?xml version="1.0" encoding="utf-8"?>
<comments xmlns="http://schemas.openxmlformats.org/spreadsheetml/2006/main">
  <authors>
    <author>MAYER Christina</author>
  </authors>
  <commentList>
    <comment ref="B31" authorId="0">
      <text>
        <r>
          <rPr>
            <sz val="9"/>
            <rFont val="Tahoma"/>
            <family val="2"/>
          </rPr>
          <t>refering to output at producer prices</t>
        </r>
      </text>
    </comment>
    <comment ref="B32" authorId="0">
      <text>
        <r>
          <rPr>
            <sz val="9"/>
            <rFont val="Tahoma"/>
            <family val="2"/>
          </rPr>
          <t>refering to output at producer prices</t>
        </r>
      </text>
    </comment>
  </commentList>
</comments>
</file>

<file path=xl/comments31.xml><?xml version="1.0" encoding="utf-8"?>
<comments xmlns="http://schemas.openxmlformats.org/spreadsheetml/2006/main">
  <authors>
    <author>MAYER Christina</author>
  </authors>
  <commentList>
    <comment ref="C18" authorId="0">
      <text>
        <r>
          <rPr>
            <sz val="9"/>
            <rFont val="Tahoma"/>
            <family val="2"/>
          </rPr>
          <t>as obtained from output calculations for crops</t>
        </r>
      </text>
    </comment>
    <comment ref="D18" authorId="0">
      <text>
        <r>
          <rPr>
            <sz val="9"/>
            <rFont val="Tahoma"/>
            <family val="2"/>
          </rPr>
          <t>as obtained from output calculations for crops</t>
        </r>
      </text>
    </comment>
    <comment ref="C20" authorId="0">
      <text>
        <r>
          <rPr>
            <sz val="9"/>
            <rFont val="Tahoma"/>
            <family val="2"/>
          </rPr>
          <t>as obtained from output calculations for crops</t>
        </r>
      </text>
    </comment>
    <comment ref="D20" authorId="0">
      <text>
        <r>
          <rPr>
            <sz val="9"/>
            <rFont val="Tahoma"/>
            <family val="2"/>
          </rPr>
          <t>as obtained from output calculations for crops</t>
        </r>
      </text>
    </comment>
  </commentList>
</comments>
</file>

<file path=xl/comments38.xml><?xml version="1.0" encoding="utf-8"?>
<comments xmlns="http://schemas.openxmlformats.org/spreadsheetml/2006/main">
  <authors>
    <author>MAYER Christina</author>
  </authors>
  <commentList>
    <comment ref="C30" authorId="0">
      <text>
        <r>
          <rPr>
            <sz val="9"/>
            <rFont val="Tahoma"/>
            <family val="2"/>
          </rPr>
          <t>according to EAA output calculations</t>
        </r>
      </text>
    </comment>
    <comment ref="D30" authorId="0">
      <text>
        <r>
          <rPr>
            <sz val="9"/>
            <rFont val="Tahoma"/>
            <family val="2"/>
          </rPr>
          <t>according to calculations based on the latest available Turnover Tax Statistics</t>
        </r>
      </text>
    </comment>
    <comment ref="C31" authorId="0">
      <text>
        <r>
          <rPr>
            <sz val="9"/>
            <rFont val="Tahoma"/>
            <family val="2"/>
          </rPr>
          <t>according to calculations based on EAA data</t>
        </r>
      </text>
    </comment>
    <comment ref="D31" authorId="0">
      <text>
        <r>
          <rPr>
            <sz val="9"/>
            <rFont val="Tahoma"/>
            <family val="2"/>
          </rPr>
          <t>according to calculations based on the latest available Turnover Tax Statistics</t>
        </r>
      </text>
    </comment>
    <comment ref="E31" authorId="0">
      <text>
        <r>
          <rPr>
            <sz val="9"/>
            <rFont val="Tahoma"/>
            <family val="2"/>
          </rPr>
          <t>notional amount of input tax which flat-rate farmers would have deducted if they had been covered by normal arrangements</t>
        </r>
      </text>
    </comment>
    <comment ref="C32" authorId="0">
      <text>
        <r>
          <rPr>
            <sz val="9"/>
            <rFont val="Tahoma"/>
            <family val="2"/>
          </rPr>
          <t>according to EAA output calculations</t>
        </r>
      </text>
    </comment>
    <comment ref="D32" authorId="0">
      <text>
        <r>
          <rPr>
            <sz val="9"/>
            <rFont val="Tahoma"/>
            <family val="2"/>
          </rPr>
          <t>according to calculations based on the latest available Turnover Tax Statistics</t>
        </r>
      </text>
    </comment>
    <comment ref="C33" authorId="0">
      <text>
        <r>
          <rPr>
            <sz val="9"/>
            <rFont val="Tahoma"/>
            <family val="2"/>
          </rPr>
          <t>assumption: 12% of turnover</t>
        </r>
      </text>
    </comment>
    <comment ref="D33" authorId="0">
      <text>
        <r>
          <rPr>
            <sz val="9"/>
            <rFont val="Tahoma"/>
            <family val="2"/>
          </rPr>
          <t>assumption: 12% of turnover</t>
        </r>
      </text>
    </comment>
  </commentList>
</comments>
</file>

<file path=xl/comments44.xml><?xml version="1.0" encoding="utf-8"?>
<comments xmlns="http://schemas.openxmlformats.org/spreadsheetml/2006/main">
  <authors>
    <author>MAYER Christina</author>
  </authors>
  <commentList>
    <comment ref="B14" authorId="0">
      <text>
        <r>
          <rPr>
            <sz val="9"/>
            <rFont val="Tahoma"/>
            <family val="2"/>
          </rPr>
          <t>Marketed production according to Short term statistics in industry and construction (results of the primary survey) + supplement for small and micro enterprises</t>
        </r>
      </text>
    </comment>
    <comment ref="B15" authorId="0">
      <text>
        <r>
          <rPr>
            <sz val="9"/>
            <rFont val="Tahoma"/>
            <family val="2"/>
          </rPr>
          <t>exports according to Foreign Trade Statistics adjusted for transport costs</t>
        </r>
      </text>
    </comment>
    <comment ref="B16" authorId="0">
      <text>
        <r>
          <rPr>
            <sz val="9"/>
            <rFont val="Tahoma"/>
            <family val="2"/>
          </rPr>
          <t xml:space="preserve">imports according to Foreign Trade Statistics </t>
        </r>
      </text>
    </comment>
    <comment ref="B31" authorId="0">
      <text>
        <r>
          <rPr>
            <sz val="9"/>
            <rFont val="Tahoma"/>
            <family val="2"/>
          </rPr>
          <t>Marketed production according to Short term statistics in industry and construction (results of the primary survey) + supplement for small and micro enterprises</t>
        </r>
      </text>
    </comment>
    <comment ref="B32" authorId="0">
      <text>
        <r>
          <rPr>
            <sz val="9"/>
            <rFont val="Tahoma"/>
            <family val="2"/>
          </rPr>
          <t>exports according to Foreign Trade Statistics adjusted for transport costs</t>
        </r>
      </text>
    </comment>
    <comment ref="B33" authorId="0">
      <text>
        <r>
          <rPr>
            <sz val="9"/>
            <rFont val="Tahoma"/>
            <family val="2"/>
          </rPr>
          <t xml:space="preserve">imports according to Foreign Trade Statistics </t>
        </r>
      </text>
    </comment>
  </commentList>
</comments>
</file>

<file path=xl/comments46.xml><?xml version="1.0" encoding="utf-8"?>
<comments xmlns="http://schemas.openxmlformats.org/spreadsheetml/2006/main">
  <authors>
    <author>MAYER Christina</author>
  </authors>
  <commentList>
    <comment ref="C19" authorId="0">
      <text>
        <r>
          <rPr>
            <sz val="9"/>
            <rFont val="Tahoma"/>
            <family val="2"/>
          </rPr>
          <t>extrapolation of FADN values</t>
        </r>
      </text>
    </comment>
    <comment ref="C20" authorId="0">
      <text>
        <r>
          <rPr>
            <sz val="9"/>
            <rFont val="Tahoma"/>
            <family val="2"/>
          </rPr>
          <t>extrapolation of FADN values</t>
        </r>
      </text>
    </comment>
  </commentList>
</comments>
</file>

<file path=xl/sharedStrings.xml><?xml version="1.0" encoding="utf-8"?>
<sst xmlns="http://schemas.openxmlformats.org/spreadsheetml/2006/main" count="2055" uniqueCount="559">
  <si>
    <t>Production</t>
  </si>
  <si>
    <t>Uses</t>
  </si>
  <si>
    <t>Usable output</t>
  </si>
  <si>
    <t>Quantity</t>
  </si>
  <si>
    <t>Price</t>
  </si>
  <si>
    <t>Value at producer prices</t>
  </si>
  <si>
    <t>Subsidies on products</t>
  </si>
  <si>
    <t>Value at basic prices</t>
  </si>
  <si>
    <t>-Losses</t>
  </si>
  <si>
    <t>Total</t>
  </si>
  <si>
    <t>Current prices</t>
  </si>
  <si>
    <t>Prices n-1</t>
  </si>
  <si>
    <t>Taxes on products</t>
  </si>
  <si>
    <t>Responsible</t>
  </si>
  <si>
    <t>Scope</t>
  </si>
  <si>
    <t>Instructions</t>
  </si>
  <si>
    <r>
      <rPr>
        <sz val="10"/>
        <rFont val="Arial"/>
        <family val="2"/>
      </rPr>
      <t>CONTACT for doubts on filling table:</t>
    </r>
    <r>
      <rPr>
        <u val="single"/>
        <sz val="10"/>
        <color rgb="FF0000FF"/>
        <rFont val="Arial"/>
        <family val="2"/>
      </rPr>
      <t xml:space="preserve"> ESTAT-EAP@ec.europa.eu</t>
    </r>
  </si>
  <si>
    <t>Country</t>
  </si>
  <si>
    <t>If the numerical examples have similarities with other common chapters, indicate them on the related sheet, do not paste the same values.</t>
  </si>
  <si>
    <t xml:space="preserve">In the sheet named 'Country &amp; responsible' provide the information
Provide the values for Production (losses and production), ensuring that usable output is correctly automatically calculated. Then complete with quantities and prices according to the numerical example developed.
The example given already contains some formulas but you can change them to suit your own circumstances.
</t>
  </si>
  <si>
    <t>Cereals</t>
  </si>
  <si>
    <t>Potatoes</t>
  </si>
  <si>
    <t>Other taxes on production</t>
  </si>
  <si>
    <t>Other subsidies on production</t>
  </si>
  <si>
    <t>Interest paid</t>
  </si>
  <si>
    <t>Interest received</t>
  </si>
  <si>
    <t>Changes in stocks</t>
  </si>
  <si>
    <t>Numerical example - Cereals</t>
  </si>
  <si>
    <t>Production in 1 000 tons</t>
  </si>
  <si>
    <t>(NC 01110)</t>
  </si>
  <si>
    <t>-Intra-unit consumption: Seeds</t>
  </si>
  <si>
    <t>Usable output minus own seed production</t>
  </si>
  <si>
    <t>Intra-unit consumption: Feedingstuffs</t>
  </si>
  <si>
    <t>Intra-unit consumption: Other</t>
  </si>
  <si>
    <t>Processing by producers (separable activities)</t>
  </si>
  <si>
    <t>Own final consumption</t>
  </si>
  <si>
    <t>12_1</t>
  </si>
  <si>
    <t>Sales to other agricultural units</t>
  </si>
  <si>
    <t>12_2</t>
  </si>
  <si>
    <t>Sales outside of the industry</t>
  </si>
  <si>
    <t>12_3</t>
  </si>
  <si>
    <t>Sales abroad</t>
  </si>
  <si>
    <t>Own-account produced fixed capital goods</t>
  </si>
  <si>
    <t>Numerical example - Oilseeds and oleaginous fruits (including seeds)</t>
  </si>
  <si>
    <t>(NC 02130)</t>
  </si>
  <si>
    <t>Numerical example - Protein crops (including seeds)</t>
  </si>
  <si>
    <t>(NC 02210)</t>
  </si>
  <si>
    <t>Numerical example - Sugar beet (including seeds)</t>
  </si>
  <si>
    <t>(NC 02400)</t>
  </si>
  <si>
    <t>Numerical example - Other industrial crops</t>
  </si>
  <si>
    <t>(NC 02920)</t>
  </si>
  <si>
    <t>Numerical example - Forage plants</t>
  </si>
  <si>
    <t>(NC 03932)</t>
  </si>
  <si>
    <t>Numerical example - Fresh vegetables</t>
  </si>
  <si>
    <t>(NC 04122)</t>
  </si>
  <si>
    <t>Numerical example - Nursery plants, ornamental plants and flowers (including Christmas trees)</t>
  </si>
  <si>
    <t>Production in 1 000 pieces</t>
  </si>
  <si>
    <t>Numerical example - Plantations</t>
  </si>
  <si>
    <t>Area in hectares</t>
  </si>
  <si>
    <t>(NC 0423100)</t>
  </si>
  <si>
    <t>Numerical example - Potatoes (including seeds)</t>
  </si>
  <si>
    <t>(NC 05000)</t>
  </si>
  <si>
    <t>Numerical example - Fruits</t>
  </si>
  <si>
    <t>(NC 0619210)</t>
  </si>
  <si>
    <t>Numerical example - Wine</t>
  </si>
  <si>
    <t>(NC 07000)</t>
  </si>
  <si>
    <t>Production in 1000 l</t>
  </si>
  <si>
    <t>Numerical example - Seeds</t>
  </si>
  <si>
    <t>(NC 0921070)</t>
  </si>
  <si>
    <t>Production in tons</t>
  </si>
  <si>
    <t>Production in 1 000 tons live weight</t>
  </si>
  <si>
    <t>(NC 11140)</t>
  </si>
  <si>
    <t>1 000 tons live weight</t>
  </si>
  <si>
    <t>Slaughterings</t>
  </si>
  <si>
    <t>Gross indigenous production</t>
  </si>
  <si>
    <t>-Imports in live animals</t>
  </si>
  <si>
    <t>+Exports in live animals</t>
  </si>
  <si>
    <t>Initial stocks</t>
  </si>
  <si>
    <t>Final stocks</t>
  </si>
  <si>
    <t>(NC 11130)</t>
  </si>
  <si>
    <t>Change in number of livestock</t>
  </si>
  <si>
    <t>Culling discount</t>
  </si>
  <si>
    <t>Numerical examples - Cattle</t>
  </si>
  <si>
    <t>(NC 11210)</t>
  </si>
  <si>
    <t>1 000 heads</t>
  </si>
  <si>
    <t>(NC 11412)</t>
  </si>
  <si>
    <t>Numerical example - Pigs</t>
  </si>
  <si>
    <t>Numerical example - Sheep and goats</t>
  </si>
  <si>
    <t>Numerical example - Poultry</t>
  </si>
  <si>
    <t>(NC 11510)</t>
  </si>
  <si>
    <t>Finishedly fattened animals (1 000 heads)</t>
  </si>
  <si>
    <t>Finishedly fattened animals (1 000 tons live weight)</t>
  </si>
  <si>
    <t>Carcass weight (kg)</t>
  </si>
  <si>
    <t>Gross indigenous production (1 000 tons live weight)</t>
  </si>
  <si>
    <t>Numerical example - Milk</t>
  </si>
  <si>
    <t>Numerical example - Equines, other animals</t>
  </si>
  <si>
    <t>(NC 11912)</t>
  </si>
  <si>
    <t>bucks</t>
  </si>
  <si>
    <t>dams</t>
  </si>
  <si>
    <t>fawns</t>
  </si>
  <si>
    <t>Number of game shot (1 000 heads)</t>
  </si>
  <si>
    <t>Production in 1 000 tons dead weight</t>
  </si>
  <si>
    <t>Dead weight (kg)</t>
  </si>
  <si>
    <t>(NC 12110)</t>
  </si>
  <si>
    <t>Intra-unit consumption: Seeds</t>
  </si>
  <si>
    <t>Usable output minus own feedingstuffs</t>
  </si>
  <si>
    <t>Coverage rate (%)</t>
  </si>
  <si>
    <t>Losses (%)</t>
  </si>
  <si>
    <t>Dressing percentage (%)</t>
  </si>
  <si>
    <t>Net export of animals for breeding and production (1 000 tons live weight)</t>
  </si>
  <si>
    <t>Numerical example - Eggs</t>
  </si>
  <si>
    <t>(NC 12210)</t>
  </si>
  <si>
    <t>Numerical example - Other animal products</t>
  </si>
  <si>
    <t>(NC 12931)</t>
  </si>
  <si>
    <t>Numerical example - Agricultural services output</t>
  </si>
  <si>
    <t>(NC 15100)</t>
  </si>
  <si>
    <t>Numerical example - Non-agricultural secondary activities (inseparable)</t>
  </si>
  <si>
    <t>(NC 17900)</t>
  </si>
  <si>
    <t>Revenues from direct marketing of untreated, unprocessed primary products</t>
  </si>
  <si>
    <t>Revenues from the direct marketing of treated or processed primary products</t>
  </si>
  <si>
    <t>Revenues from Buschenschank and small Heurige taverns</t>
  </si>
  <si>
    <t>Revenues from secondary agricultural activities</t>
  </si>
  <si>
    <t>Revenues from tourist-accomodation services</t>
  </si>
  <si>
    <t>Average revenue per hectare of reduced agricultural area</t>
  </si>
  <si>
    <t>in hectares</t>
  </si>
  <si>
    <t>Value</t>
  </si>
  <si>
    <t>Numerical example - Seeds and planting stock (intermediate consumption)</t>
  </si>
  <si>
    <t>Operating expenditure on seeds</t>
  </si>
  <si>
    <t>Operating expenditure on horticultural planting stock</t>
  </si>
  <si>
    <t>Operating expenditure on planting stock for viticulture</t>
  </si>
  <si>
    <t>Operating expenditure on planting stock for fruit-growing</t>
  </si>
  <si>
    <t>19010 Seeds and planting stock (intermediate consumption)</t>
  </si>
  <si>
    <t>19011 Seeds and planting stock supplied by other agricultural holdings</t>
  </si>
  <si>
    <t>19012 Seeds and planting stock purchased from outside the agricultural ‘industry’</t>
  </si>
  <si>
    <t>(NC 19010)</t>
  </si>
  <si>
    <t>:</t>
  </si>
  <si>
    <t>Numerical example - Energy, lubricants</t>
  </si>
  <si>
    <t>(NC 19020)</t>
  </si>
  <si>
    <t>19020 Energy, lubricants</t>
  </si>
  <si>
    <t>19021 Electricity</t>
  </si>
  <si>
    <t>19022 Gas</t>
  </si>
  <si>
    <t>Price index</t>
  </si>
  <si>
    <t>Volume Index</t>
  </si>
  <si>
    <t>19023 Other fuels and propellants</t>
  </si>
  <si>
    <t>19029 Other</t>
  </si>
  <si>
    <t xml:space="preserve">Petrol and two-stroke fuel                   </t>
  </si>
  <si>
    <t xml:space="preserve">Diesel oil                               </t>
  </si>
  <si>
    <t xml:space="preserve">Motor fuels for passenger cars                    </t>
  </si>
  <si>
    <t xml:space="preserve">Fuel oil                                     </t>
  </si>
  <si>
    <t>Biofuels</t>
  </si>
  <si>
    <t>Extrapolated value</t>
  </si>
  <si>
    <t>Expenditure on electricity</t>
  </si>
  <si>
    <t>Gas and combustibles</t>
  </si>
  <si>
    <t>Share of small-scale forests</t>
  </si>
  <si>
    <t>in %</t>
  </si>
  <si>
    <t>Adjusted value</t>
  </si>
  <si>
    <t>Numerical example - Fertilisers and soil improvers</t>
  </si>
  <si>
    <t>(NC 19030)</t>
  </si>
  <si>
    <t>19030 Fertilisers and soil improvers</t>
  </si>
  <si>
    <t>19031 Fertilisers supplied by other agricultural holdings</t>
  </si>
  <si>
    <t>19032 Fertilisers purchased from outside the agricultural industry</t>
  </si>
  <si>
    <t>Fertilisers</t>
  </si>
  <si>
    <t>Numerical example - Plant protection products, herbicides, insecticides and pesticides</t>
  </si>
  <si>
    <t>(NC 19040)</t>
  </si>
  <si>
    <t>19040 Plant protection products, herbicides, insecticides and pesticides</t>
  </si>
  <si>
    <t>Domestic turnover</t>
  </si>
  <si>
    <t>Flat-rate percentage for the profit margin</t>
  </si>
  <si>
    <t>Average operating expenditure per hectare of reduced agricultural area</t>
  </si>
  <si>
    <t>Average expenditure per hectare of reduced agricultural area</t>
  </si>
  <si>
    <t>Numerical example - Veterinary expenses</t>
  </si>
  <si>
    <t>(NC 19050)</t>
  </si>
  <si>
    <t>19050 Veterinary expenses</t>
  </si>
  <si>
    <t>Animal health (veterinarian, medicines, etc.)</t>
  </si>
  <si>
    <t>Numerical example - Feedingstuffs (intermediate consumption)</t>
  </si>
  <si>
    <t>(NC 19060)</t>
  </si>
  <si>
    <t>19060 Feedingstuffs (intermediate consumption)</t>
  </si>
  <si>
    <t>19061 Feedingstuffs supplied by other agricultural holdings</t>
  </si>
  <si>
    <t>19062 Feedingstuffs purchased from outside the agricultural industry</t>
  </si>
  <si>
    <t>19063 Feedingstuffs produced and consumed by the same holding</t>
  </si>
  <si>
    <t>Purchases from other agricultural holdings</t>
  </si>
  <si>
    <t>Concentrated feedingstuffs for roughage eaters</t>
  </si>
  <si>
    <t xml:space="preserve">Concentrated feedingstuffs for pigs               </t>
  </si>
  <si>
    <t xml:space="preserve">Concentrated feedingstuffs for other animals          </t>
  </si>
  <si>
    <t>Numerical example - Maintenance of materials</t>
  </si>
  <si>
    <t>(NC 19070)</t>
  </si>
  <si>
    <t>19070 Maintenance of materials</t>
  </si>
  <si>
    <t>Maintenance of machinery and equipment</t>
  </si>
  <si>
    <t>Maintenance of passenger cars (share assignable to business expenditure)</t>
  </si>
  <si>
    <t>Numerical example - Maintenance of buildings</t>
  </si>
  <si>
    <t>19080 Maintenance of buildings</t>
  </si>
  <si>
    <t>Maintenance of farm buildings (for business use)</t>
  </si>
  <si>
    <t>Numerical example - Agricultural services</t>
  </si>
  <si>
    <t>(NC 19090)</t>
  </si>
  <si>
    <t>19090 Agricultural Services</t>
  </si>
  <si>
    <t>19090 Agricultural services</t>
  </si>
  <si>
    <t>Transport and machinery services</t>
  </si>
  <si>
    <t>Agricultural expenses included in the FADN item ‘transport and machinery services’ which do not constitute agricultural services according to EAA definitions</t>
  </si>
  <si>
    <t>Adjustments</t>
  </si>
  <si>
    <t>Volume index</t>
  </si>
  <si>
    <t>Numerical example - Financial Intermediation Services Indirectly Measured (FISIM)</t>
  </si>
  <si>
    <t>(NC 19095)</t>
  </si>
  <si>
    <t>19095 FISIM</t>
  </si>
  <si>
    <t>Ratios between FISIM and interest flows for the national economcy as a whole</t>
  </si>
  <si>
    <t>For loans</t>
  </si>
  <si>
    <t>For deposits</t>
  </si>
  <si>
    <t>Numerical example - Other goods and services</t>
  </si>
  <si>
    <t>(NC 19900)</t>
  </si>
  <si>
    <t>1995111 Other expenditure on crop cultivation</t>
  </si>
  <si>
    <t>1990000 Other goods and services</t>
  </si>
  <si>
    <t>1991000 Low-value assets</t>
  </si>
  <si>
    <t>1992100 General administrative expenditure</t>
  </si>
  <si>
    <t>1992200 Telecommunications costs</t>
  </si>
  <si>
    <t>1992300 Membership fees, inspection control fees</t>
  </si>
  <si>
    <t>1993000 Service charges for insurances</t>
  </si>
  <si>
    <t>1994100 Consumables</t>
  </si>
  <si>
    <t>1994200 Uncollectible receivables</t>
  </si>
  <si>
    <t>1994300 Slaughter fees</t>
  </si>
  <si>
    <t>1999900 Others</t>
  </si>
  <si>
    <t>1995112 Expenditure on viticulture</t>
  </si>
  <si>
    <t>1995120 Supplement for horticulture</t>
  </si>
  <si>
    <t>1995130 Maintenance of land improvements</t>
  </si>
  <si>
    <t>1995210 Costs arising from exchanges of breeding and productive animals between farms</t>
  </si>
  <si>
    <t>1995230 Insemination</t>
  </si>
  <si>
    <t>1995240 Other expenditure for livestock farming</t>
  </si>
  <si>
    <t>1995311 Low-value assets for tourist accommodation services</t>
  </si>
  <si>
    <t>1995220 Leasing of milk quotas</t>
  </si>
  <si>
    <t>1995312 Current expenditure for tourist accommodation services</t>
  </si>
  <si>
    <t>1995313 Food for tourist accommodation services</t>
  </si>
  <si>
    <t>1995314 Preparation of meals for tourist accommodation services</t>
  </si>
  <si>
    <t>1995324 Expenditure for direct marketing</t>
  </si>
  <si>
    <t>1995325 Marketing and advertising costs</t>
  </si>
  <si>
    <t>1995331 Low-value assets for secondary agricultural activities</t>
  </si>
  <si>
    <t>1995332 Current expenditure for secondary agricultural activities</t>
  </si>
  <si>
    <t>1997100 Water</t>
  </si>
  <si>
    <t>1997200 Waste disposal</t>
  </si>
  <si>
    <t>1998000 Other services</t>
  </si>
  <si>
    <t>1999100 Rental payments for non-residential buildings, road charges</t>
  </si>
  <si>
    <t>(NC 23000)</t>
  </si>
  <si>
    <t>Components</t>
  </si>
  <si>
    <t>Numerical example - Compensation of Employees</t>
  </si>
  <si>
    <t>Total gross wages and salaries (D.11)</t>
  </si>
  <si>
    <t>Imputed social contributions (D.122)</t>
  </si>
  <si>
    <t>Compensation of employees</t>
  </si>
  <si>
    <t>Numerical example - Other taxes on production</t>
  </si>
  <si>
    <t>(NC 24000)</t>
  </si>
  <si>
    <t>Under-compensation of VAT (flat rate system)</t>
  </si>
  <si>
    <t>Land tax</t>
  </si>
  <si>
    <t>Land tax surcharges</t>
  </si>
  <si>
    <t>Charge from agricultural and forestry holdings</t>
  </si>
  <si>
    <t>Contribution of agricultural and forestry holdings to the equalisation fund for family allowances</t>
  </si>
  <si>
    <t>Membership fees payable to the Chambers of Agriculture</t>
  </si>
  <si>
    <t>Tax on production for sugar beet (proportion allocated to farmers)</t>
  </si>
  <si>
    <t xml:space="preserve">Employers contributions to the equalisation fund for family allowances </t>
  </si>
  <si>
    <t>Motor vehicles tax (business share)</t>
  </si>
  <si>
    <t>Engine-related insurance tax</t>
  </si>
  <si>
    <t>Actual social contributions (D.121)</t>
  </si>
  <si>
    <t>Employers' social contributions (D.12)</t>
  </si>
  <si>
    <t>Communal tax (Tax on sum of wages)</t>
  </si>
  <si>
    <t>Numerical example - Under-compensation of VAT</t>
  </si>
  <si>
    <t>(NC 24100)</t>
  </si>
  <si>
    <t xml:space="preserve">Input tax </t>
  </si>
  <si>
    <t>Own consumption</t>
  </si>
  <si>
    <t>Undercompensation of VAT</t>
  </si>
  <si>
    <t>Agriculture as a whole</t>
  </si>
  <si>
    <t>thereof farmers covered by normal VAT arrangements</t>
  </si>
  <si>
    <t>Turnover (deliveries and own consumption)</t>
  </si>
  <si>
    <t>Flat-rate compensation percentage</t>
  </si>
  <si>
    <t>Direct sales to final consumers</t>
  </si>
  <si>
    <t>thereof flat-rate farmers</t>
  </si>
  <si>
    <t>Percentage of the input VAT charge</t>
  </si>
  <si>
    <t>Numerical example - Other subsidies on production</t>
  </si>
  <si>
    <t>(NC 25000)</t>
  </si>
  <si>
    <t>Other environmental measures</t>
  </si>
  <si>
    <t>Energy from biomass</t>
  </si>
  <si>
    <t>Premiums for alpine farming</t>
  </si>
  <si>
    <t>Payments for areas with natural constraints</t>
  </si>
  <si>
    <t>Single farm payment</t>
  </si>
  <si>
    <t>Quality enhancement</t>
  </si>
  <si>
    <t>Compensation for damage due to natural hazards</t>
  </si>
  <si>
    <t>Compansatory payments for livestock diseases</t>
  </si>
  <si>
    <t>Others</t>
  </si>
  <si>
    <t>Numerical example - Rents and other real estate rental charges to be paid</t>
  </si>
  <si>
    <t>(NC 28000)</t>
  </si>
  <si>
    <t>Rental payments for agricultural land</t>
  </si>
  <si>
    <t>28000 Rents and other real estate rental charges to be paid</t>
  </si>
  <si>
    <t>Interest-rate subsidies</t>
  </si>
  <si>
    <t>(NC 29000)</t>
  </si>
  <si>
    <t>Discount for aquaculture</t>
  </si>
  <si>
    <t>FISIM on loans</t>
  </si>
  <si>
    <t>Actual interest paid</t>
  </si>
  <si>
    <t>Interest paid on loans</t>
  </si>
  <si>
    <t>(NC 30000)</t>
  </si>
  <si>
    <t>FISIM on deposits</t>
  </si>
  <si>
    <t>Actual interest received</t>
  </si>
  <si>
    <t>Interest received
(value adjusted for FISIM)</t>
  </si>
  <si>
    <t>Interests (revenues; as far as business assets are concerned)</t>
  </si>
  <si>
    <t>Numerical examples - GFCF in agricultural products</t>
  </si>
  <si>
    <t>(NC 32200)</t>
  </si>
  <si>
    <t>Cows</t>
  </si>
  <si>
    <t>Breeding sows</t>
  </si>
  <si>
    <t>Fixed asset livestock</t>
  </si>
  <si>
    <t>Difference</t>
  </si>
  <si>
    <t>Price of fixed asset animal</t>
  </si>
  <si>
    <t>Price of cull animal</t>
  </si>
  <si>
    <t>Change in livestock population*)</t>
  </si>
  <si>
    <t>Quantities in 1 000 tons live weight</t>
  </si>
  <si>
    <t>*) Final stocks - initial stocks</t>
  </si>
  <si>
    <t>Numerical examples - GFCF in non-agricultural products</t>
  </si>
  <si>
    <t>(NC 33100)</t>
  </si>
  <si>
    <t>GFCF in machines and other equipment</t>
  </si>
  <si>
    <t>GFCF in transport equipment</t>
  </si>
  <si>
    <t>GFCF in materials</t>
  </si>
  <si>
    <t>Share of forestry</t>
  </si>
  <si>
    <t>Agriculture</t>
  </si>
  <si>
    <t>Agriculture and forestry</t>
  </si>
  <si>
    <t>Calculations for agriculture and forestry together</t>
  </si>
  <si>
    <t>Supplement for trade margins and freight (%)</t>
  </si>
  <si>
    <t>Supplement for major repairs and trade margins for used machines (%)</t>
  </si>
  <si>
    <t>New registrations (numbers)</t>
  </si>
  <si>
    <t>Share for business use</t>
  </si>
  <si>
    <t>Registrations of used vehicles (numbers)</t>
  </si>
  <si>
    <t>Deregistrations (numbers)</t>
  </si>
  <si>
    <t>Share of sales in deregistrations (%)</t>
  </si>
  <si>
    <t>Sales of used cars (numbers)</t>
  </si>
  <si>
    <t>1. Materials</t>
  </si>
  <si>
    <t>1.1 Machines and other equipment</t>
  </si>
  <si>
    <t>1.1.1 Typical agricultural and forestry machines and equipment</t>
  </si>
  <si>
    <t>1.1.2 Other machines and equipment used in agriculture and forestry</t>
  </si>
  <si>
    <t>1.2 Transport equipment</t>
  </si>
  <si>
    <t>1.2.1 Tractors and traction engines</t>
  </si>
  <si>
    <t>1.2.2 Trailers</t>
  </si>
  <si>
    <t>1.2.3 Passenger cars</t>
  </si>
  <si>
    <t>1.2.4 Lorries</t>
  </si>
  <si>
    <t>(NC 33200)</t>
  </si>
  <si>
    <t>Average value per hectare of reduced agricultural area</t>
  </si>
  <si>
    <t>Extrapolated values</t>
  </si>
  <si>
    <t>Investments in non-residential farm buildings</t>
  </si>
  <si>
    <t>Investments in land improvements</t>
  </si>
  <si>
    <t>Investments in secondary agricultural activities</t>
  </si>
  <si>
    <t>Investments in tourist-accommodation services</t>
  </si>
  <si>
    <t>Cash expenses</t>
  </si>
  <si>
    <t>Expenses in kind</t>
  </si>
  <si>
    <t>Adjustment for disproportionate high investment rate of FADN holdings</t>
  </si>
  <si>
    <t>GFCF Agriculture</t>
  </si>
  <si>
    <t>(NC 21100)</t>
  </si>
  <si>
    <t>Numerical examples - Consumption of fixed capital (CFC)</t>
  </si>
  <si>
    <t>Price Index (2010=100)</t>
  </si>
  <si>
    <t>Geometric depreciation rate</t>
  </si>
  <si>
    <t>33200 GFCF in buildings (in current prices)</t>
  </si>
  <si>
    <t xml:space="preserve">GFCF
</t>
  </si>
  <si>
    <t>(NC36000)</t>
  </si>
  <si>
    <t>Changes in output stocks</t>
  </si>
  <si>
    <t>Livestock considered to be stocks</t>
  </si>
  <si>
    <t>Changes in input stocks</t>
  </si>
  <si>
    <t>Initial Stocks (current prices)</t>
  </si>
  <si>
    <t>Final Stocks (current prices)</t>
  </si>
  <si>
    <t>Numerical example - Capital transfers</t>
  </si>
  <si>
    <t>(NC 37000)</t>
  </si>
  <si>
    <t>Capital transfers</t>
  </si>
  <si>
    <t>Investment grants</t>
  </si>
  <si>
    <t>Improvement of transport accessibility in rural areas (national measures)</t>
  </si>
  <si>
    <t>Agricultural operations; Hydraulic engineering in agriculture</t>
  </si>
  <si>
    <t>Other capital transfers</t>
  </si>
  <si>
    <t>Restructuring and conversion of vineyards</t>
  </si>
  <si>
    <t>Modernisation of agricultural holdings; Investment supports - national measures; Setting up of young farmers</t>
  </si>
  <si>
    <t>FSS = Farm Structure Survey</t>
  </si>
  <si>
    <t>(NC 0422100)</t>
  </si>
  <si>
    <t>Since all agricultural services simultaneously represent intra-unit consumption of the agricultural industry, the output of agricultural services corresponds to the intermediate consumption item "Agricultural services" on the uses side of the production account.</t>
  </si>
  <si>
    <t xml:space="preserve">Turnover excluding own consumption and direct sales </t>
  </si>
  <si>
    <t>Interest paid (value adjusted for FISIM and interest-rate subsidies)</t>
  </si>
  <si>
    <t/>
  </si>
  <si>
    <t>Prices in NAC/1 000 kg</t>
  </si>
  <si>
    <t>Values in million NAC</t>
  </si>
  <si>
    <t>Price index (2019=100)</t>
  </si>
  <si>
    <t>Volume index (2019=100)</t>
  </si>
  <si>
    <t>Soya 2020</t>
  </si>
  <si>
    <t>Prices in NAC/1 000 pieces</t>
  </si>
  <si>
    <t>Prices in NAC/hectare</t>
  </si>
  <si>
    <t>Prices in NAC/1000 l</t>
  </si>
  <si>
    <t>in NAC/hectare</t>
  </si>
  <si>
    <t>in million NAC</t>
  </si>
  <si>
    <t>Interest flows - agriculture (in million NAC)</t>
  </si>
  <si>
    <t>FISIM (in million NAC)</t>
  </si>
  <si>
    <t>GFCF (million NAC)</t>
  </si>
  <si>
    <t>Domestic production (million NAC)</t>
  </si>
  <si>
    <t>Exports (million NAC)</t>
  </si>
  <si>
    <t>Imports (million NAC)</t>
  </si>
  <si>
    <t>Domestic sales (million NAC)</t>
  </si>
  <si>
    <t>Average selling price (NAC)</t>
  </si>
  <si>
    <t>Supplement for major repairs and trade margins for used machines (million NAC)</t>
  </si>
  <si>
    <t>New registrations for business use (million NAC)</t>
  </si>
  <si>
    <t>Registrations of used vehicles for business use (million NAC)</t>
  </si>
  <si>
    <t>Sales of used cars (million NAC)</t>
  </si>
  <si>
    <t>GFCF (in current prices, million NAC)</t>
  </si>
  <si>
    <t>GFCF (in constant 2010 prices, million NAC)</t>
  </si>
  <si>
    <t>CFC (in current prices, million NAC)</t>
  </si>
  <si>
    <t>CFC (in constant 2010 prices, million NAC)</t>
  </si>
  <si>
    <t>Grain Peas 2020</t>
  </si>
  <si>
    <t>Sugar beet 2020</t>
  </si>
  <si>
    <t>Hops 2020</t>
  </si>
  <si>
    <t>Capital transfers 2020</t>
  </si>
  <si>
    <t>Changes in stocks 2020</t>
  </si>
  <si>
    <t>CFC in equipment 2020</t>
  </si>
  <si>
    <t>GFCF in materials 2020</t>
  </si>
  <si>
    <t>GFCF in buildings 2020</t>
  </si>
  <si>
    <t>GFCF in animals 2020</t>
  </si>
  <si>
    <t>Interest received 2020</t>
  </si>
  <si>
    <t>Interest paid 2020</t>
  </si>
  <si>
    <t>Rents and other real estate rental charges to be paid 2020</t>
  </si>
  <si>
    <t>Other subsidies on production 2020</t>
  </si>
  <si>
    <t>Other taxes on production 2020</t>
  </si>
  <si>
    <t>Under-compensation of VAT 2020</t>
  </si>
  <si>
    <t>Compensation of Employees 2020</t>
  </si>
  <si>
    <t>Other goods and services 2020</t>
  </si>
  <si>
    <t>FISIM 2020</t>
  </si>
  <si>
    <t>Agricultural services 2020</t>
  </si>
  <si>
    <t>Maintenance of buildings 2020</t>
  </si>
  <si>
    <t>Maintenance of materials 2020</t>
  </si>
  <si>
    <t>Feedingstuffs (intermediate consumption) 2020</t>
  </si>
  <si>
    <t>Veterinary expenses 2020</t>
  </si>
  <si>
    <t>Plant protection products, herbicides, insecticides and pesticides 2020</t>
  </si>
  <si>
    <t>Fertilisers and soil improvers 2020</t>
  </si>
  <si>
    <t>Energy, lubricants 2020</t>
  </si>
  <si>
    <t>Seeds and planting stock (intermediate consumption) 2020</t>
  </si>
  <si>
    <t>Other inseparable secondary activities (goods and services) 2020</t>
  </si>
  <si>
    <t>Agricultural Services 2020</t>
  </si>
  <si>
    <t>Honey 2020</t>
  </si>
  <si>
    <t>Hen eggs 2020</t>
  </si>
  <si>
    <t>Cows' milk 2020</t>
  </si>
  <si>
    <t>Other animals (Hunting): Roe deer 2020</t>
  </si>
  <si>
    <t>Cows 2020</t>
  </si>
  <si>
    <t>Golden oatgrass 2020</t>
  </si>
  <si>
    <t>Wine 2020</t>
  </si>
  <si>
    <t>Potatoes 2020</t>
  </si>
  <si>
    <t>Establishment of vineyards 2020</t>
  </si>
  <si>
    <t>Tomatoes under glass and plastic 2020</t>
  </si>
  <si>
    <t>Multiple hay-crop meadows 2020</t>
  </si>
  <si>
    <t>Total reduced agricultural area according to FSS 2019</t>
  </si>
  <si>
    <t>(2019=100)</t>
  </si>
  <si>
    <t>Pot plants 2020</t>
  </si>
  <si>
    <t>Entries of chicks 26.11.19- 25.11.20 (1 000 heads)</t>
  </si>
  <si>
    <t>1995321 Low-value assets for wine taverns</t>
  </si>
  <si>
    <t>1995322 Current expenditure for wine taverns</t>
  </si>
  <si>
    <t>1995323 Food for wine taverns</t>
  </si>
  <si>
    <t xml:space="preserve">Agri-environmental programme </t>
  </si>
  <si>
    <t xml:space="preserve">Calculations for agriculture </t>
  </si>
  <si>
    <t>Investment supports under Rural Development measures</t>
  </si>
  <si>
    <t>Supports under Rural Development measures</t>
  </si>
  <si>
    <t>Rural Development measures</t>
  </si>
  <si>
    <t>Producer organisations; Organic farming associations; etc</t>
  </si>
  <si>
    <t>Changes in inventories</t>
  </si>
  <si>
    <t>Numerical examples - Changes in inventories</t>
  </si>
  <si>
    <t>Numerical example - Interest receivable</t>
  </si>
  <si>
    <t>30000 Interest receivable</t>
  </si>
  <si>
    <t>Numerical example - Interest payable</t>
  </si>
  <si>
    <t>29000 Interest payable</t>
  </si>
  <si>
    <t>1992400 Low-value expenditure for office machines</t>
  </si>
  <si>
    <r>
      <rPr>
        <b/>
        <sz val="16"/>
        <color theme="1"/>
        <rFont val="Arial"/>
        <family val="2"/>
      </rPr>
      <t>EAA Inventory 2020</t>
    </r>
    <r>
      <rPr>
        <sz val="9"/>
        <color theme="1"/>
        <rFont val="Arial"/>
        <family val="2"/>
      </rPr>
      <t xml:space="preserve">
</t>
    </r>
    <r>
      <rPr>
        <b/>
        <sz val="14"/>
        <color theme="1"/>
        <rFont val="Arial"/>
        <family val="2"/>
      </rPr>
      <t>Numerical example</t>
    </r>
  </si>
  <si>
    <t>This workbook is designed to be used as support to describe your different numerical examples requested in conjunction with the EAA Inventory 2020. It allows you to enter the relevant information referring to the  "NUMERICAL EXAMPLE" where you may detail in numbers how your values are calculated.</t>
  </si>
  <si>
    <r>
      <rPr>
        <b/>
        <u val="single"/>
        <strike/>
        <sz val="11"/>
        <color theme="1"/>
        <rFont val="Calibri"/>
        <family val="2"/>
        <scheme val="minor"/>
      </rPr>
      <t>Fattening pigs 2020</t>
    </r>
    <r>
      <rPr>
        <b/>
        <u val="single"/>
        <sz val="11"/>
        <color theme="1"/>
        <rFont val="Calibri"/>
        <family val="2"/>
        <scheme val="minor"/>
      </rPr>
      <t xml:space="preserve">   Pigs</t>
    </r>
  </si>
  <si>
    <t>Ornamental plants and flowers (including christmas trees)</t>
  </si>
  <si>
    <t>Seeds</t>
  </si>
  <si>
    <t>Peaches</t>
  </si>
  <si>
    <t>Strawberries 2020 = N/A</t>
  </si>
  <si>
    <t>Heifers 2020</t>
  </si>
  <si>
    <t>Broilers 2020</t>
  </si>
  <si>
    <t xml:space="preserve"> </t>
  </si>
  <si>
    <t>Tomatoes 2020</t>
  </si>
  <si>
    <t>Soft wheat and spelt 2020</t>
  </si>
  <si>
    <t>We describe Soft wheat and spelt 2020 instead of 2014.</t>
  </si>
  <si>
    <t>Protein crops 2020</t>
  </si>
  <si>
    <t>Cattle 2020</t>
  </si>
  <si>
    <t>Pigs 2020</t>
  </si>
  <si>
    <t>Poultry 2020</t>
  </si>
  <si>
    <r>
      <rPr>
        <b/>
        <u val="single"/>
        <strike/>
        <sz val="11"/>
        <color theme="1"/>
        <rFont val="Calibri"/>
        <family val="2"/>
        <scheme val="minor"/>
      </rPr>
      <t>Other sheep 2020</t>
    </r>
    <r>
      <rPr>
        <b/>
        <u val="single"/>
        <sz val="11"/>
        <color theme="1"/>
        <rFont val="Calibri"/>
        <family val="2"/>
        <scheme val="minor"/>
      </rPr>
      <t xml:space="preserve">   </t>
    </r>
  </si>
  <si>
    <t>Sheep and goats 2020</t>
  </si>
  <si>
    <t xml:space="preserve">  </t>
  </si>
  <si>
    <t>FISIM in 2020 was acquired as direct number from the SO SR.</t>
  </si>
  <si>
    <t>Oilseeds</t>
  </si>
  <si>
    <t>Protein crops</t>
  </si>
  <si>
    <t>Sugar beet</t>
  </si>
  <si>
    <t>Data of the SO SR (Mill. EUR)</t>
  </si>
  <si>
    <t>Profit ratio</t>
  </si>
  <si>
    <t>Data in EAA SR (Mill. EUR)</t>
  </si>
  <si>
    <t>(%)</t>
  </si>
  <si>
    <t xml:space="preserve">NON-AGRICULTURAL SECONDARY ACTIVITIES (Inseparable) </t>
  </si>
  <si>
    <t>-</t>
  </si>
  <si>
    <t xml:space="preserve">   </t>
  </si>
  <si>
    <t xml:space="preserve">Processing of Agricultural Products </t>
  </si>
  <si>
    <t xml:space="preserve">          - milk</t>
  </si>
  <si>
    <t xml:space="preserve">    - other animal products</t>
  </si>
  <si>
    <t xml:space="preserve">      -      other</t>
  </si>
  <si>
    <t>Other non-separable secondary activities (Goods and services)</t>
  </si>
  <si>
    <r>
      <t>-</t>
    </r>
    <r>
      <rPr>
        <b/>
        <sz val="7"/>
        <color theme="1"/>
        <rFont val="Times New Roman"/>
        <family val="1"/>
      </rPr>
      <t xml:space="preserve">          </t>
    </r>
    <r>
      <rPr>
        <b/>
        <sz val="10"/>
        <color theme="1"/>
        <rFont val="Arial"/>
        <family val="2"/>
      </rPr>
      <t xml:space="preserve">gravel and stone mining </t>
    </r>
  </si>
  <si>
    <r>
      <t>-</t>
    </r>
    <r>
      <rPr>
        <b/>
        <sz val="7"/>
        <color theme="1"/>
        <rFont val="Times New Roman"/>
        <family val="1"/>
      </rPr>
      <t xml:space="preserve">          </t>
    </r>
    <r>
      <rPr>
        <b/>
        <sz val="10"/>
        <color theme="1"/>
        <rFont val="Arial"/>
        <family val="2"/>
      </rPr>
      <t xml:space="preserve">tailoring and furniture making </t>
    </r>
  </si>
  <si>
    <r>
      <t>-</t>
    </r>
    <r>
      <rPr>
        <b/>
        <sz val="7"/>
        <color theme="1"/>
        <rFont val="Times New Roman"/>
        <family val="1"/>
      </rPr>
      <t xml:space="preserve">          </t>
    </r>
    <r>
      <rPr>
        <b/>
        <sz val="10"/>
        <color theme="1"/>
        <rFont val="Arial"/>
        <family val="2"/>
      </rPr>
      <t xml:space="preserve">products of chemical raw materials </t>
    </r>
  </si>
  <si>
    <r>
      <t>-</t>
    </r>
    <r>
      <rPr>
        <b/>
        <sz val="7"/>
        <color theme="1"/>
        <rFont val="Times New Roman"/>
        <family val="1"/>
      </rPr>
      <t xml:space="preserve">          </t>
    </r>
    <r>
      <rPr>
        <b/>
        <sz val="10"/>
        <color theme="1"/>
        <rFont val="Arial"/>
        <family val="2"/>
      </rPr>
      <t xml:space="preserve">construction work and maintenance </t>
    </r>
  </si>
  <si>
    <r>
      <t>-</t>
    </r>
    <r>
      <rPr>
        <b/>
        <sz val="7"/>
        <color theme="1"/>
        <rFont val="Times New Roman"/>
        <family val="1"/>
      </rPr>
      <t xml:space="preserve">          </t>
    </r>
    <r>
      <rPr>
        <b/>
        <sz val="10"/>
        <color theme="1"/>
        <rFont val="Arial"/>
        <family val="2"/>
      </rPr>
      <t xml:space="preserve">machine work and maintenance </t>
    </r>
  </si>
  <si>
    <r>
      <t>-</t>
    </r>
    <r>
      <rPr>
        <b/>
        <sz val="7"/>
        <color theme="1"/>
        <rFont val="Times New Roman"/>
        <family val="1"/>
      </rPr>
      <t xml:space="preserve">          </t>
    </r>
    <r>
      <rPr>
        <b/>
        <sz val="10"/>
        <color theme="1"/>
        <rFont val="Arial"/>
        <family val="2"/>
      </rPr>
      <t xml:space="preserve">accommodation and meals </t>
    </r>
  </si>
  <si>
    <r>
      <t>-</t>
    </r>
    <r>
      <rPr>
        <b/>
        <sz val="7"/>
        <color theme="1"/>
        <rFont val="Times New Roman"/>
        <family val="1"/>
      </rPr>
      <t xml:space="preserve">          </t>
    </r>
    <r>
      <rPr>
        <b/>
        <sz val="10"/>
        <color theme="1"/>
        <rFont val="Arial"/>
        <family val="2"/>
      </rPr>
      <t xml:space="preserve">transport and storage </t>
    </r>
  </si>
  <si>
    <r>
      <t>-</t>
    </r>
    <r>
      <rPr>
        <b/>
        <sz val="7"/>
        <color theme="1"/>
        <rFont val="Times New Roman"/>
        <family val="1"/>
      </rPr>
      <t xml:space="preserve">          </t>
    </r>
    <r>
      <rPr>
        <b/>
        <sz val="10"/>
        <color theme="1"/>
        <rFont val="Arial"/>
        <family val="2"/>
      </rPr>
      <t xml:space="preserve">telecommunication and financial services </t>
    </r>
  </si>
  <si>
    <r>
      <t>-</t>
    </r>
    <r>
      <rPr>
        <b/>
        <sz val="7"/>
        <color theme="1"/>
        <rFont val="Times New Roman"/>
        <family val="1"/>
      </rPr>
      <t xml:space="preserve">          </t>
    </r>
    <r>
      <rPr>
        <b/>
        <sz val="10"/>
        <color theme="1"/>
        <rFont val="Arial"/>
        <family val="2"/>
      </rPr>
      <t xml:space="preserve"> leisure activities</t>
    </r>
  </si>
  <si>
    <t>Gross fixed capital formation in 2014 (mil. EUR)</t>
  </si>
  <si>
    <t>Categories</t>
  </si>
  <si>
    <t>Increases</t>
  </si>
  <si>
    <t>Decreases</t>
  </si>
  <si>
    <t>Sum of increases and decreases</t>
  </si>
  <si>
    <t>GFCF in agricultural products</t>
  </si>
  <si>
    <t>GFCF in animals</t>
  </si>
  <si>
    <t>GFCF in non-agricultural products</t>
  </si>
  <si>
    <t>GFCF in farm buildings (non-residential)</t>
  </si>
  <si>
    <t>GFCF in other works except land improvements</t>
  </si>
  <si>
    <t>CFC in equipment</t>
  </si>
  <si>
    <t>Capital consumption in equipment in 2020 in reproduction prices  was acquired as direct number from the SO SR = 144,4 mil. EUR.</t>
  </si>
  <si>
    <t>GFCF in buildings</t>
  </si>
  <si>
    <t>Gross fixed capital formation materials in 2020 (mil. EUR)</t>
  </si>
  <si>
    <t>Gross fixed capital formation in buildings in 2020 (mil. EUR)</t>
  </si>
  <si>
    <t>Gross fixed capital formation in animals in 2020 (mil. EUR)</t>
  </si>
  <si>
    <t>Interest received in 2020 was acquired as direct number.</t>
  </si>
  <si>
    <t>Interest paid in 2020 was acquired as direct number.</t>
  </si>
  <si>
    <t>Calculation of non-agricultural secondary inseparable activities in 2020</t>
  </si>
  <si>
    <r>
      <t>-</t>
    </r>
    <r>
      <rPr>
        <b/>
        <sz val="7"/>
        <rFont val="Times New Roman"/>
        <family val="1"/>
      </rPr>
      <t xml:space="preserve">          </t>
    </r>
    <r>
      <rPr>
        <b/>
        <sz val="10"/>
        <rFont val="Arial"/>
        <family val="2"/>
      </rPr>
      <t>cereals</t>
    </r>
  </si>
  <si>
    <r>
      <t>-</t>
    </r>
    <r>
      <rPr>
        <b/>
        <sz val="7"/>
        <rFont val="Times New Roman"/>
        <family val="1"/>
      </rPr>
      <t xml:space="preserve">          </t>
    </r>
    <r>
      <rPr>
        <b/>
        <sz val="10"/>
        <rFont val="Arial"/>
        <family val="2"/>
      </rPr>
      <t>vegetables</t>
    </r>
  </si>
  <si>
    <r>
      <t>-</t>
    </r>
    <r>
      <rPr>
        <b/>
        <sz val="7"/>
        <rFont val="Times New Roman"/>
        <family val="1"/>
      </rPr>
      <t xml:space="preserve">          </t>
    </r>
    <r>
      <rPr>
        <b/>
        <sz val="10"/>
        <rFont val="Arial"/>
        <family val="2"/>
      </rPr>
      <t>fruits</t>
    </r>
  </si>
  <si>
    <r>
      <t>-</t>
    </r>
    <r>
      <rPr>
        <b/>
        <sz val="7"/>
        <rFont val="Times New Roman"/>
        <family val="1"/>
      </rPr>
      <t xml:space="preserve">          </t>
    </r>
    <r>
      <rPr>
        <b/>
        <sz val="10"/>
        <rFont val="Arial"/>
        <family val="2"/>
      </rPr>
      <t>wine</t>
    </r>
  </si>
  <si>
    <r>
      <t>-</t>
    </r>
    <r>
      <rPr>
        <b/>
        <sz val="7"/>
        <rFont val="Times New Roman"/>
        <family val="1"/>
      </rPr>
      <t xml:space="preserve">          </t>
    </r>
    <r>
      <rPr>
        <b/>
        <sz val="10"/>
        <rFont val="Arial"/>
        <family val="2"/>
      </rPr>
      <t>animals</t>
    </r>
  </si>
  <si>
    <r>
      <t>-</t>
    </r>
    <r>
      <rPr>
        <b/>
        <sz val="7"/>
        <rFont val="Times New Roman"/>
        <family val="1"/>
      </rPr>
      <t xml:space="preserve">          </t>
    </r>
    <r>
      <rPr>
        <b/>
        <sz val="10"/>
        <rFont val="Arial"/>
        <family val="2"/>
      </rPr>
      <t>animals products</t>
    </r>
  </si>
  <si>
    <t>overheads</t>
  </si>
  <si>
    <t>inseparable activities costs</t>
  </si>
  <si>
    <t>FISIM</t>
  </si>
  <si>
    <t>Other goods and services</t>
  </si>
  <si>
    <t>Other forage plants 2020</t>
  </si>
  <si>
    <t>Provided data represent only Other animals as there was no production of Equines in 2019 and 2020.</t>
  </si>
  <si>
    <t>We describe Protein crops instead of Grain peas due to availibility of data.</t>
  </si>
  <si>
    <t>We describe Other forage plants instead of Multiple hay crop meadows due to availability of detailed data.</t>
  </si>
  <si>
    <t>We describe Ornamental plants and flowers (including christmas trees) instead of Pot plants due to availability of detailed data.</t>
  </si>
  <si>
    <t>We describe Peaches instead of Strawbwrries due to availability of detailed data.</t>
  </si>
  <si>
    <t>We describe Seeds instead of Golden oatgrass due to availability of detailed data.</t>
  </si>
  <si>
    <t>We describe Cattle instead of Heifers due to availability of detailed data.</t>
  </si>
  <si>
    <t>We describe Pigs instead of Fattening pigs due to availability of detailed data.</t>
  </si>
  <si>
    <t>We describe Poultry instead of Broilers due to availability of detailed data.</t>
  </si>
  <si>
    <t>We describe Sheep and goats instead of Other sheep and goats due to availability of detailed data.</t>
  </si>
  <si>
    <t>Soft wheat and spelt 2014</t>
  </si>
  <si>
    <t>We describe Tomatoes instead of Tomatoes under glass and plastic due to availability of detailed data.</t>
  </si>
  <si>
    <t>Values of Non-agricultural secondary activities are acquired as direct numbers.</t>
  </si>
  <si>
    <t>Value of agricultural services is acquired as direct numbers for NUTS III.</t>
  </si>
  <si>
    <t>KE (NUTS III)</t>
  </si>
  <si>
    <t>PO (NUTS III)</t>
  </si>
  <si>
    <t>BB (NUTS III)</t>
  </si>
  <si>
    <t>ZA (NUTS III)</t>
  </si>
  <si>
    <t>NT (NUTS III)</t>
  </si>
  <si>
    <t>TN (NUTS III)</t>
  </si>
  <si>
    <t>TT (NUTS III)</t>
  </si>
  <si>
    <t>BA  (NUTS III)</t>
  </si>
  <si>
    <t>SR</t>
  </si>
  <si>
    <t>Agricultural services total in 2020 was acquired as sum of direct numbers from the SO SR for NUTS III values of agricultural services.</t>
  </si>
  <si>
    <t>Rents value in 2020 was acquired as direct number.</t>
  </si>
  <si>
    <t>Slovakia</t>
  </si>
  <si>
    <t>Statistical Office of the Slovak Republic
Lamačská cesta 3/C
P. O. BOX 17
840 05 Bratislava 45
in cooperation with
Ministry of Agriculture and Rural Development of the Slovak Republic
Dobrovičova 12
Bratislava 812 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</si>
</sst>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0"/>
    <numFmt numFmtId="168" formatCode="0.0%"/>
    <numFmt numFmtId="169" formatCode="0.0000"/>
    <numFmt numFmtId="170" formatCode="0.0000%"/>
    <numFmt numFmtId="171" formatCode="#,##0.000"/>
    <numFmt numFmtId="172" formatCode="0.0000000"/>
  </numFmts>
  <fonts count="57">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b/>
      <u val="single"/>
      <sz val="11"/>
      <color theme="1"/>
      <name val="Calibri"/>
      <family val="2"/>
      <scheme val="minor"/>
    </font>
    <font>
      <b/>
      <sz val="15"/>
      <color theme="3"/>
      <name val="Calibri"/>
      <family val="2"/>
      <scheme val="minor"/>
    </font>
    <font>
      <u val="single"/>
      <sz val="10"/>
      <color theme="10"/>
      <name val="Arial"/>
      <family val="2"/>
    </font>
    <font>
      <sz val="9"/>
      <color theme="1"/>
      <name val="Arial"/>
      <family val="2"/>
    </font>
    <font>
      <b/>
      <sz val="16"/>
      <color rgb="FF808080"/>
      <name val="Arial"/>
      <family val="2"/>
    </font>
    <font>
      <u val="single"/>
      <sz val="10"/>
      <color rgb="FF0000FF"/>
      <name val="Arial"/>
      <family val="2"/>
    </font>
    <font>
      <b/>
      <sz val="16"/>
      <color theme="1"/>
      <name val="Arial"/>
      <family val="2"/>
    </font>
    <font>
      <b/>
      <sz val="14"/>
      <color theme="1"/>
      <name val="Arial"/>
      <family val="2"/>
    </font>
    <font>
      <b/>
      <sz val="9"/>
      <name val="Tahoma"/>
      <family val="2"/>
    </font>
    <font>
      <sz val="9"/>
      <name val="Tahoma"/>
      <family val="2"/>
    </font>
    <font>
      <sz val="11"/>
      <color rgb="FF660033"/>
      <name val="Calibri"/>
      <family val="2"/>
      <scheme val="minor"/>
    </font>
    <font>
      <i/>
      <sz val="11"/>
      <color rgb="FFFF0000"/>
      <name val="Calibri"/>
      <family val="2"/>
      <scheme val="minor"/>
    </font>
    <font>
      <i/>
      <sz val="11"/>
      <color theme="1"/>
      <name val="Calibri"/>
      <family val="2"/>
      <scheme val="minor"/>
    </font>
    <font>
      <sz val="11"/>
      <color rgb="FFFF0000"/>
      <name val="Calibri"/>
      <family val="2"/>
      <scheme val="minor"/>
    </font>
    <font>
      <b/>
      <sz val="18"/>
      <color theme="3"/>
      <name val="Calibri Light"/>
      <family val="2"/>
      <scheme val="major"/>
    </font>
    <font>
      <sz val="11"/>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sz val="11"/>
      <color theme="1"/>
      <name val="Calibri"/>
      <family val="2"/>
    </font>
    <font>
      <b/>
      <sz val="13"/>
      <color theme="3"/>
      <name val="Calibri"/>
      <family val="2"/>
      <scheme val="minor"/>
    </font>
    <font>
      <b/>
      <sz val="11"/>
      <color theme="3"/>
      <name val="Calibri"/>
      <family val="2"/>
      <scheme val="minor"/>
    </font>
    <font>
      <sz val="11"/>
      <color rgb="FFFA7D00"/>
      <name val="Calibri"/>
      <family val="2"/>
      <scheme val="minor"/>
    </font>
    <font>
      <b/>
      <sz val="11"/>
      <color theme="0"/>
      <name val="Calibri"/>
      <family val="2"/>
      <scheme val="minor"/>
    </font>
    <font>
      <sz val="10"/>
      <name val="Calibri"/>
      <family val="2"/>
      <scheme val="minor"/>
    </font>
    <font>
      <sz val="9"/>
      <color theme="1"/>
      <name val="Calibri"/>
      <family val="2"/>
      <scheme val="minor"/>
    </font>
    <font>
      <i/>
      <sz val="11"/>
      <color rgb="FFC00000"/>
      <name val="Calibri"/>
      <family val="2"/>
      <scheme val="minor"/>
    </font>
    <font>
      <sz val="11"/>
      <name val="Calibri"/>
      <family val="2"/>
      <scheme val="minor"/>
    </font>
    <font>
      <b/>
      <u val="single"/>
      <sz val="11"/>
      <color rgb="FFFF0000"/>
      <name val="Calibri"/>
      <family val="2"/>
      <scheme val="minor"/>
    </font>
    <font>
      <b/>
      <u val="single"/>
      <strike/>
      <sz val="11"/>
      <color theme="1"/>
      <name val="Calibri"/>
      <family val="2"/>
      <scheme val="minor"/>
    </font>
    <font>
      <b/>
      <sz val="11"/>
      <color rgb="FFFF0000"/>
      <name val="Calibri"/>
      <family val="2"/>
      <scheme val="minor"/>
    </font>
    <font>
      <i/>
      <sz val="11"/>
      <name val="Calibri"/>
      <family val="2"/>
      <scheme val="minor"/>
    </font>
    <font>
      <b/>
      <u val="single"/>
      <strike/>
      <sz val="11"/>
      <name val="Calibri"/>
      <family val="2"/>
      <scheme val="minor"/>
    </font>
    <font>
      <sz val="10"/>
      <color theme="1"/>
      <name val="Arial"/>
      <family val="2"/>
    </font>
    <font>
      <b/>
      <sz val="10"/>
      <color theme="1"/>
      <name val="Arial"/>
      <family val="2"/>
    </font>
    <font>
      <b/>
      <sz val="10"/>
      <color theme="1"/>
      <name val="Times New Roman"/>
      <family val="1"/>
    </font>
    <font>
      <b/>
      <sz val="7"/>
      <color theme="1"/>
      <name val="Times New Roman"/>
      <family val="1"/>
    </font>
    <font>
      <sz val="11"/>
      <color rgb="FFC00000"/>
      <name val="Calibri"/>
      <family val="2"/>
      <scheme val="minor"/>
    </font>
    <font>
      <b/>
      <sz val="11"/>
      <name val="Calibri"/>
      <family val="2"/>
      <scheme val="minor"/>
    </font>
    <font>
      <b/>
      <sz val="10"/>
      <name val="Arial"/>
      <family val="2"/>
    </font>
    <font>
      <b/>
      <sz val="10"/>
      <name val="Times New Roman"/>
      <family val="1"/>
    </font>
    <font>
      <b/>
      <sz val="7"/>
      <name val="Times New Roman"/>
      <family val="1"/>
    </font>
    <font>
      <b/>
      <i/>
      <sz val="10"/>
      <name val="Arial"/>
      <family val="2"/>
    </font>
    <font>
      <sz val="11"/>
      <name val="Calibri"/>
      <family val="2"/>
    </font>
    <font>
      <b/>
      <sz val="11"/>
      <color theme="1" tint="0.5"/>
      <name val="Arial"/>
      <family val="2"/>
    </font>
    <font>
      <b/>
      <sz val="11"/>
      <color rgb="FF000000" tint="0.5"/>
      <name val="Arial"/>
      <family val="2"/>
    </font>
    <font>
      <b/>
      <sz val="8"/>
      <name val="Calibri"/>
      <family val="2"/>
    </font>
  </fonts>
  <fills count="19">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rgb="FF92D050"/>
        <bgColor indexed="64"/>
      </patternFill>
    </fill>
  </fills>
  <borders count="69">
    <border>
      <left/>
      <right/>
      <top/>
      <bottom/>
      <diagonal/>
    </border>
    <border>
      <left/>
      <right/>
      <top/>
      <bottom style="thick">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medium"/>
      <top/>
      <bottom style="medium"/>
    </border>
    <border>
      <left/>
      <right style="medium"/>
      <top style="thin"/>
      <bottom style="thin"/>
    </border>
    <border>
      <left/>
      <right style="medium"/>
      <top style="thin"/>
      <bottom style="medium"/>
    </border>
    <border>
      <left style="medium"/>
      <right style="medium"/>
      <top/>
      <bottom style="medium"/>
    </border>
    <border>
      <left style="medium"/>
      <right style="medium"/>
      <top/>
      <bottom style="thin"/>
    </border>
    <border>
      <left/>
      <right style="medium"/>
      <top/>
      <bottom style="thin"/>
    </border>
    <border>
      <left style="medium"/>
      <right style="medium"/>
      <top style="medium"/>
      <bottom style="thin"/>
    </border>
    <border>
      <left/>
      <right style="medium"/>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medium"/>
      <right style="medium"/>
      <top style="thin"/>
      <bottom/>
    </border>
    <border>
      <left/>
      <right style="thin"/>
      <top style="medium"/>
      <bottom style="thin"/>
    </border>
    <border>
      <left style="medium"/>
      <right style="thin"/>
      <top/>
      <bottom style="thin"/>
    </border>
    <border>
      <left style="thin"/>
      <right style="medium"/>
      <top/>
      <bottom style="thin"/>
    </border>
    <border>
      <left/>
      <right style="medium"/>
      <top style="medium"/>
      <bottom style="medium"/>
    </border>
    <border>
      <left style="thin"/>
      <right style="thin"/>
      <top/>
      <bottom style="thin"/>
    </border>
    <border>
      <left/>
      <right style="thin"/>
      <top style="thin"/>
      <bottom style="medium"/>
    </border>
    <border>
      <left style="thin"/>
      <right/>
      <top/>
      <bottom style="thin"/>
    </border>
    <border>
      <left style="thin"/>
      <right style="thin"/>
      <top style="thin"/>
      <bottom style="thin"/>
    </border>
    <border>
      <left style="thin"/>
      <right/>
      <top style="thin"/>
      <bottom style="medium"/>
    </border>
    <border>
      <left/>
      <right style="medium"/>
      <top/>
      <bottom style="medium"/>
    </border>
    <border>
      <left style="thin"/>
      <right/>
      <top style="medium"/>
      <bottom style="medium"/>
    </border>
    <border>
      <left style="thin"/>
      <right style="thin"/>
      <top style="medium"/>
      <bottom style="medium"/>
    </border>
    <border>
      <left/>
      <right style="thin"/>
      <top style="medium"/>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medium"/>
      <right style="thin"/>
      <top style="medium"/>
      <bottom style="thin"/>
    </border>
    <border>
      <left style="medium"/>
      <right style="medium"/>
      <top style="medium"/>
      <bottom/>
    </border>
    <border>
      <left style="medium"/>
      <right style="medium"/>
      <top/>
      <bottom/>
    </border>
    <border>
      <left/>
      <right style="thin"/>
      <top/>
      <bottom style="thin"/>
    </border>
    <border>
      <left/>
      <right style="thin"/>
      <top style="thin"/>
      <bottom style="thin"/>
    </border>
    <border>
      <left/>
      <right style="medium"/>
      <top style="medium"/>
      <bottom/>
    </border>
    <border>
      <left style="thin"/>
      <right/>
      <top style="medium"/>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right style="medium"/>
      <top style="thin"/>
      <bottom/>
    </border>
    <border>
      <left style="thin"/>
      <right/>
      <top/>
      <bottom style="medium"/>
    </border>
    <border>
      <left style="thin"/>
      <right/>
      <top style="thin"/>
      <bottom/>
    </border>
    <border>
      <left/>
      <right style="thin"/>
      <top style="thin"/>
      <bottom/>
    </border>
    <border>
      <left/>
      <right style="medium"/>
      <top/>
      <bottom/>
    </border>
    <border>
      <left/>
      <right style="thin"/>
      <top/>
      <bottom style="medium"/>
    </border>
    <border>
      <left style="medium"/>
      <right/>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1" applyNumberFormat="0" applyFill="0" applyAlignment="0" applyProtection="0"/>
    <xf numFmtId="0" fontId="7" fillId="0" borderId="0" applyNumberForma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19" fillId="0" borderId="0" applyNumberFormat="0" applyFill="0" applyBorder="0" applyAlignment="0" applyProtection="0"/>
    <xf numFmtId="0" fontId="2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3" fillId="8" borderId="3" applyNumberFormat="0" applyAlignment="0" applyProtection="0"/>
    <xf numFmtId="0" fontId="24" fillId="9" borderId="3" applyNumberFormat="0" applyAlignment="0" applyProtection="0"/>
    <xf numFmtId="0" fontId="3" fillId="0" borderId="4"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0" fillId="12" borderId="5" applyNumberFormat="0" applyFont="0" applyAlignment="0" applyProtection="0"/>
    <xf numFmtId="0" fontId="28" fillId="13" borderId="0" applyNumberFormat="0" applyBorder="0" applyAlignment="0" applyProtection="0"/>
    <xf numFmtId="0" fontId="20" fillId="0" borderId="0">
      <alignment/>
      <protection/>
    </xf>
    <xf numFmtId="0" fontId="0" fillId="0" borderId="0">
      <alignment/>
      <protection/>
    </xf>
    <xf numFmtId="0" fontId="29" fillId="0" borderId="0">
      <alignment/>
      <protection/>
    </xf>
    <xf numFmtId="0" fontId="6" fillId="0" borderId="1"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18" fillId="0" borderId="0" applyNumberFormat="0" applyFill="0" applyBorder="0" applyAlignment="0" applyProtection="0"/>
    <xf numFmtId="0" fontId="33" fillId="14" borderId="9" applyNumberFormat="0" applyAlignment="0" applyProtection="0"/>
    <xf numFmtId="0" fontId="20" fillId="0" borderId="0">
      <alignment/>
      <protection/>
    </xf>
    <xf numFmtId="0" fontId="2" fillId="0" borderId="0">
      <alignment/>
      <protection/>
    </xf>
    <xf numFmtId="0" fontId="20" fillId="0" borderId="0">
      <alignment/>
      <protection/>
    </xf>
    <xf numFmtId="0" fontId="2" fillId="0" borderId="0">
      <alignment/>
      <protection/>
    </xf>
  </cellStyleXfs>
  <cellXfs count="594">
    <xf numFmtId="0" fontId="0" fillId="0" borderId="0" xfId="0"/>
    <xf numFmtId="0" fontId="4" fillId="0" borderId="0" xfId="0" applyFont="1"/>
    <xf numFmtId="0" fontId="8" fillId="0" borderId="0" xfId="0" applyFont="1"/>
    <xf numFmtId="0" fontId="8" fillId="0" borderId="0" xfId="0" applyFont="1" applyAlignment="1">
      <alignment vertical="center"/>
    </xf>
    <xf numFmtId="0" fontId="0" fillId="0" borderId="0" xfId="22" applyFont="1">
      <alignment/>
      <protection/>
    </xf>
    <xf numFmtId="0" fontId="0" fillId="0" borderId="0" xfId="23">
      <alignment/>
      <protection/>
    </xf>
    <xf numFmtId="0" fontId="4" fillId="0" borderId="0" xfId="23" applyFont="1">
      <alignment/>
      <protection/>
    </xf>
    <xf numFmtId="0" fontId="5" fillId="0" borderId="0" xfId="23" applyFont="1">
      <alignment/>
      <protection/>
    </xf>
    <xf numFmtId="0" fontId="3" fillId="0" borderId="0" xfId="23" applyFont="1" applyAlignment="1">
      <alignment horizontal="right"/>
      <protection/>
    </xf>
    <xf numFmtId="0" fontId="15" fillId="0" borderId="0" xfId="23" applyFont="1" applyAlignment="1">
      <alignment horizontal="center"/>
      <protection/>
    </xf>
    <xf numFmtId="0" fontId="0" fillId="0" borderId="10" xfId="23" applyBorder="1" quotePrefix="1">
      <alignment/>
      <protection/>
    </xf>
    <xf numFmtId="0" fontId="3" fillId="0" borderId="10" xfId="23" applyFont="1" applyBorder="1">
      <alignment/>
      <protection/>
    </xf>
    <xf numFmtId="0" fontId="3" fillId="0" borderId="11" xfId="23" applyFont="1" applyBorder="1">
      <alignment/>
      <protection/>
    </xf>
    <xf numFmtId="0" fontId="0" fillId="0" borderId="0" xfId="23" quotePrefix="1">
      <alignment/>
      <protection/>
    </xf>
    <xf numFmtId="3" fontId="0" fillId="0" borderId="0" xfId="23" applyNumberFormat="1">
      <alignment/>
      <protection/>
    </xf>
    <xf numFmtId="0" fontId="3" fillId="0" borderId="0" xfId="23" applyFont="1">
      <alignment/>
      <protection/>
    </xf>
    <xf numFmtId="3" fontId="3" fillId="0" borderId="0" xfId="23" applyNumberFormat="1" applyFont="1">
      <alignment/>
      <protection/>
    </xf>
    <xf numFmtId="0" fontId="0" fillId="0" borderId="10" xfId="23" applyBorder="1">
      <alignment/>
      <protection/>
    </xf>
    <xf numFmtId="1" fontId="0" fillId="0" borderId="12" xfId="23" applyNumberFormat="1" applyBorder="1">
      <alignment/>
      <protection/>
    </xf>
    <xf numFmtId="165" fontId="0" fillId="0" borderId="13" xfId="23" applyNumberFormat="1" applyBorder="1">
      <alignment/>
      <protection/>
    </xf>
    <xf numFmtId="165" fontId="0" fillId="0" borderId="12" xfId="23" applyNumberFormat="1" applyBorder="1">
      <alignment/>
      <protection/>
    </xf>
    <xf numFmtId="0" fontId="3" fillId="0" borderId="14" xfId="23" applyFont="1" applyBorder="1">
      <alignment/>
      <protection/>
    </xf>
    <xf numFmtId="0" fontId="0" fillId="0" borderId="15" xfId="23" applyBorder="1">
      <alignment/>
      <protection/>
    </xf>
    <xf numFmtId="165" fontId="3" fillId="0" borderId="16" xfId="23" applyNumberFormat="1" applyFont="1" applyBorder="1">
      <alignment/>
      <protection/>
    </xf>
    <xf numFmtId="165" fontId="3" fillId="0" borderId="15" xfId="23" applyNumberFormat="1" applyFont="1" applyBorder="1">
      <alignment/>
      <protection/>
    </xf>
    <xf numFmtId="0" fontId="16" fillId="0" borderId="0" xfId="23" applyFont="1">
      <alignment/>
      <protection/>
    </xf>
    <xf numFmtId="164" fontId="0" fillId="0" borderId="17" xfId="23" applyNumberFormat="1" applyBorder="1">
      <alignment/>
      <protection/>
    </xf>
    <xf numFmtId="0" fontId="0" fillId="0" borderId="0" xfId="23" applyFont="1">
      <alignment/>
      <protection/>
    </xf>
    <xf numFmtId="0" fontId="0" fillId="0" borderId="0" xfId="22" applyFont="1">
      <alignment/>
      <protection/>
    </xf>
    <xf numFmtId="1" fontId="0" fillId="0" borderId="18" xfId="23" applyNumberFormat="1" applyBorder="1">
      <alignment/>
      <protection/>
    </xf>
    <xf numFmtId="1" fontId="3" fillId="0" borderId="18" xfId="23" applyNumberFormat="1" applyFont="1" applyBorder="1">
      <alignment/>
      <protection/>
    </xf>
    <xf numFmtId="1" fontId="0" fillId="0" borderId="13" xfId="23" applyNumberFormat="1" applyBorder="1">
      <alignment/>
      <protection/>
    </xf>
    <xf numFmtId="1" fontId="3" fillId="0" borderId="16" xfId="23" applyNumberFormat="1" applyFont="1" applyBorder="1">
      <alignment/>
      <protection/>
    </xf>
    <xf numFmtId="1" fontId="0" fillId="0" borderId="0" xfId="23" applyNumberFormat="1">
      <alignment/>
      <protection/>
    </xf>
    <xf numFmtId="0" fontId="0" fillId="0" borderId="10" xfId="23" applyFont="1" applyBorder="1">
      <alignment/>
      <protection/>
    </xf>
    <xf numFmtId="0" fontId="0" fillId="0" borderId="10" xfId="23" applyFont="1" applyBorder="1" quotePrefix="1">
      <alignment/>
      <protection/>
    </xf>
    <xf numFmtId="1" fontId="3" fillId="0" borderId="19" xfId="23" applyNumberFormat="1" applyFont="1" applyBorder="1">
      <alignment/>
      <protection/>
    </xf>
    <xf numFmtId="0" fontId="0" fillId="0" borderId="11" xfId="23" applyBorder="1">
      <alignment/>
      <protection/>
    </xf>
    <xf numFmtId="1" fontId="0" fillId="0" borderId="19" xfId="23" applyNumberFormat="1" applyBorder="1">
      <alignment/>
      <protection/>
    </xf>
    <xf numFmtId="164" fontId="0" fillId="0" borderId="13" xfId="23" applyNumberFormat="1" applyBorder="1">
      <alignment/>
      <protection/>
    </xf>
    <xf numFmtId="0" fontId="0" fillId="0" borderId="10" xfId="23" applyFont="1" applyBorder="1" applyAlignment="1">
      <alignment horizontal="left" indent="2"/>
      <protection/>
    </xf>
    <xf numFmtId="0" fontId="17" fillId="0" borderId="10" xfId="23" applyFont="1" applyBorder="1" applyAlignment="1">
      <alignment horizontal="left" indent="2"/>
      <protection/>
    </xf>
    <xf numFmtId="1" fontId="17" fillId="0" borderId="13" xfId="23" applyNumberFormat="1" applyFont="1" applyBorder="1">
      <alignment/>
      <protection/>
    </xf>
    <xf numFmtId="1" fontId="17" fillId="0" borderId="12" xfId="23" applyNumberFormat="1" applyFont="1" applyBorder="1">
      <alignment/>
      <protection/>
    </xf>
    <xf numFmtId="165" fontId="17" fillId="0" borderId="13" xfId="23" applyNumberFormat="1" applyFont="1" applyBorder="1">
      <alignment/>
      <protection/>
    </xf>
    <xf numFmtId="165" fontId="17" fillId="0" borderId="12" xfId="23" applyNumberFormat="1" applyFont="1" applyBorder="1">
      <alignment/>
      <protection/>
    </xf>
    <xf numFmtId="164" fontId="0" fillId="0" borderId="18" xfId="23" applyNumberFormat="1" applyBorder="1">
      <alignment/>
      <protection/>
    </xf>
    <xf numFmtId="164" fontId="3" fillId="0" borderId="19" xfId="23" applyNumberFormat="1" applyFont="1" applyBorder="1">
      <alignment/>
      <protection/>
    </xf>
    <xf numFmtId="164" fontId="0" fillId="0" borderId="19" xfId="23" applyNumberFormat="1" applyBorder="1">
      <alignment/>
      <protection/>
    </xf>
    <xf numFmtId="166" fontId="0" fillId="0" borderId="0" xfId="23" applyNumberFormat="1">
      <alignment/>
      <protection/>
    </xf>
    <xf numFmtId="166" fontId="0" fillId="0" borderId="18" xfId="23" applyNumberFormat="1" applyBorder="1">
      <alignment/>
      <protection/>
    </xf>
    <xf numFmtId="164" fontId="3" fillId="0" borderId="16" xfId="23" applyNumberFormat="1" applyFont="1" applyBorder="1">
      <alignment/>
      <protection/>
    </xf>
    <xf numFmtId="0" fontId="3" fillId="0" borderId="20" xfId="23" applyFont="1" applyBorder="1">
      <alignment/>
      <protection/>
    </xf>
    <xf numFmtId="0" fontId="0" fillId="0" borderId="21" xfId="23" applyFont="1" applyBorder="1">
      <alignment/>
      <protection/>
    </xf>
    <xf numFmtId="164" fontId="0" fillId="0" borderId="22" xfId="23" applyNumberFormat="1" applyBorder="1">
      <alignment/>
      <protection/>
    </xf>
    <xf numFmtId="0" fontId="0" fillId="0" borderId="10" xfId="23" applyFont="1" applyBorder="1" applyAlignment="1" quotePrefix="1">
      <alignment horizontal="left" indent="2"/>
      <protection/>
    </xf>
    <xf numFmtId="0" fontId="0" fillId="0" borderId="10" xfId="23" applyBorder="1" applyAlignment="1">
      <alignment horizontal="left" indent="2"/>
      <protection/>
    </xf>
    <xf numFmtId="0" fontId="0" fillId="0" borderId="11" xfId="23" applyBorder="1" applyAlignment="1">
      <alignment horizontal="left" indent="2"/>
      <protection/>
    </xf>
    <xf numFmtId="0" fontId="0" fillId="0" borderId="0" xfId="23" applyAlignment="1">
      <alignment horizontal="left" indent="2"/>
      <protection/>
    </xf>
    <xf numFmtId="164" fontId="0" fillId="0" borderId="0" xfId="23" applyNumberFormat="1">
      <alignment/>
      <protection/>
    </xf>
    <xf numFmtId="0" fontId="0" fillId="0" borderId="23" xfId="23" applyFont="1" applyBorder="1">
      <alignment/>
      <protection/>
    </xf>
    <xf numFmtId="166" fontId="0" fillId="0" borderId="24" xfId="23" applyNumberFormat="1" applyBorder="1">
      <alignment/>
      <protection/>
    </xf>
    <xf numFmtId="0" fontId="5" fillId="0" borderId="0" xfId="23" applyFont="1" applyAlignment="1">
      <alignment vertical="top" wrapText="1"/>
      <protection/>
    </xf>
    <xf numFmtId="0" fontId="0" fillId="0" borderId="0" xfId="22" applyFont="1" applyAlignment="1">
      <alignment vertical="top"/>
      <protection/>
    </xf>
    <xf numFmtId="0" fontId="3" fillId="0" borderId="25" xfId="23" applyFont="1" applyBorder="1" applyAlignment="1">
      <alignment horizontal="center" vertical="top" wrapText="1"/>
      <protection/>
    </xf>
    <xf numFmtId="0" fontId="3" fillId="0" borderId="26" xfId="23" applyFont="1" applyBorder="1" applyAlignment="1">
      <alignment horizontal="center" vertical="top" wrapText="1"/>
      <protection/>
    </xf>
    <xf numFmtId="0" fontId="34" fillId="0" borderId="13" xfId="26" applyFont="1" applyBorder="1" applyAlignment="1">
      <alignment vertical="top" wrapText="1"/>
      <protection/>
    </xf>
    <xf numFmtId="164" fontId="0" fillId="0" borderId="12" xfId="23" applyNumberFormat="1" applyBorder="1" applyAlignment="1">
      <alignment vertical="top"/>
      <protection/>
    </xf>
    <xf numFmtId="0" fontId="34" fillId="0" borderId="13" xfId="26" applyFont="1" applyBorder="1">
      <alignment/>
      <protection/>
    </xf>
    <xf numFmtId="0" fontId="3" fillId="0" borderId="27" xfId="23" applyFont="1" applyBorder="1">
      <alignment/>
      <protection/>
    </xf>
    <xf numFmtId="0" fontId="0" fillId="0" borderId="28" xfId="22" applyFont="1" applyBorder="1" applyAlignment="1">
      <alignment vertical="top"/>
      <protection/>
    </xf>
    <xf numFmtId="0" fontId="0" fillId="0" borderId="28" xfId="23" applyBorder="1" applyAlignment="1">
      <alignment vertical="top"/>
      <protection/>
    </xf>
    <xf numFmtId="164" fontId="3" fillId="0" borderId="29" xfId="23" applyNumberFormat="1" applyFont="1" applyBorder="1" applyAlignment="1">
      <alignment vertical="top"/>
      <protection/>
    </xf>
    <xf numFmtId="0" fontId="3" fillId="0" borderId="13" xfId="23" applyFont="1" applyBorder="1" applyAlignment="1">
      <alignment horizontal="center" vertical="top" wrapText="1"/>
      <protection/>
    </xf>
    <xf numFmtId="0" fontId="0" fillId="0" borderId="10" xfId="23" applyFont="1" applyBorder="1" applyAlignment="1">
      <alignment vertical="top" wrapText="1"/>
      <protection/>
    </xf>
    <xf numFmtId="165" fontId="0" fillId="0" borderId="13" xfId="23" applyNumberFormat="1" applyBorder="1">
      <alignment/>
      <protection/>
    </xf>
    <xf numFmtId="0" fontId="0" fillId="0" borderId="11" xfId="23" applyFont="1" applyBorder="1" applyAlignment="1">
      <alignment vertical="top" wrapText="1"/>
      <protection/>
    </xf>
    <xf numFmtId="165" fontId="0" fillId="0" borderId="30" xfId="23" applyNumberFormat="1" applyBorder="1">
      <alignment/>
      <protection/>
    </xf>
    <xf numFmtId="164" fontId="0" fillId="0" borderId="13" xfId="23" applyNumberFormat="1" applyBorder="1">
      <alignment/>
      <protection/>
    </xf>
    <xf numFmtId="0" fontId="34" fillId="0" borderId="10" xfId="26" applyFont="1" applyBorder="1" applyAlignment="1">
      <alignment horizontal="left" vertical="top" wrapText="1" indent="4"/>
      <protection/>
    </xf>
    <xf numFmtId="0" fontId="34" fillId="0" borderId="11" xfId="26" applyFont="1" applyBorder="1" applyAlignment="1">
      <alignment horizontal="left" vertical="top" wrapText="1" indent="4"/>
      <protection/>
    </xf>
    <xf numFmtId="0" fontId="0" fillId="0" borderId="31" xfId="23" applyFont="1" applyBorder="1" applyAlignment="1">
      <alignment vertical="top" wrapText="1"/>
      <protection/>
    </xf>
    <xf numFmtId="164" fontId="0" fillId="0" borderId="29" xfId="23" applyNumberFormat="1" applyBorder="1" applyAlignment="1">
      <alignment vertical="top"/>
      <protection/>
    </xf>
    <xf numFmtId="0" fontId="34" fillId="0" borderId="11" xfId="26" applyFont="1" applyBorder="1" applyAlignment="1">
      <alignment horizontal="left" vertical="top" wrapText="1" indent="4"/>
      <protection/>
    </xf>
    <xf numFmtId="164" fontId="0" fillId="0" borderId="12" xfId="23" applyNumberFormat="1" applyBorder="1" applyAlignment="1">
      <alignment vertical="top"/>
      <protection/>
    </xf>
    <xf numFmtId="0" fontId="34" fillId="0" borderId="10" xfId="26" applyFont="1" applyBorder="1" applyAlignment="1">
      <alignment horizontal="left" vertical="top" wrapText="1" indent="4"/>
      <protection/>
    </xf>
    <xf numFmtId="0" fontId="0" fillId="0" borderId="31" xfId="23" applyFont="1" applyBorder="1" applyAlignment="1">
      <alignment horizontal="left" vertical="top" wrapText="1" indent="4"/>
      <protection/>
    </xf>
    <xf numFmtId="0" fontId="0" fillId="0" borderId="11" xfId="23" applyFont="1" applyBorder="1" applyAlignment="1">
      <alignment horizontal="left" vertical="top" wrapText="1" indent="4"/>
      <protection/>
    </xf>
    <xf numFmtId="0" fontId="3" fillId="0" borderId="0" xfId="23" applyFont="1" applyAlignment="1">
      <alignment horizontal="center" vertical="top"/>
      <protection/>
    </xf>
    <xf numFmtId="0" fontId="0" fillId="0" borderId="0" xfId="23" applyAlignment="1">
      <alignment horizontal="center" vertical="top" wrapText="1"/>
      <protection/>
    </xf>
    <xf numFmtId="164" fontId="0" fillId="0" borderId="19" xfId="23" applyNumberFormat="1" applyBorder="1" applyAlignment="1">
      <alignment horizontal="right" vertical="top" wrapText="1"/>
      <protection/>
    </xf>
    <xf numFmtId="164" fontId="0" fillId="0" borderId="28" xfId="23" applyNumberFormat="1" applyBorder="1" applyAlignment="1">
      <alignment vertical="top"/>
      <protection/>
    </xf>
    <xf numFmtId="0" fontId="3" fillId="0" borderId="32" xfId="23" applyFont="1" applyBorder="1" applyAlignment="1">
      <alignment horizontal="center" vertical="top" wrapText="1"/>
      <protection/>
    </xf>
    <xf numFmtId="0" fontId="0" fillId="0" borderId="23" xfId="23" applyFont="1" applyBorder="1" applyAlignment="1">
      <alignment vertical="top" wrapText="1"/>
      <protection/>
    </xf>
    <xf numFmtId="1" fontId="0" fillId="0" borderId="24" xfId="23" applyNumberFormat="1" applyBorder="1">
      <alignment/>
      <protection/>
    </xf>
    <xf numFmtId="0" fontId="0" fillId="0" borderId="20" xfId="23" applyBorder="1" applyAlignment="1">
      <alignment horizontal="left" indent="2"/>
      <protection/>
    </xf>
    <xf numFmtId="0" fontId="0" fillId="0" borderId="10" xfId="23" applyFont="1" applyBorder="1" applyAlignment="1">
      <alignment vertical="top" wrapText="1"/>
      <protection/>
    </xf>
    <xf numFmtId="164" fontId="0" fillId="0" borderId="12" xfId="23" applyNumberFormat="1" applyBorder="1">
      <alignment/>
      <protection/>
    </xf>
    <xf numFmtId="0" fontId="36" fillId="0" borderId="0" xfId="23" applyFont="1">
      <alignment/>
      <protection/>
    </xf>
    <xf numFmtId="167" fontId="36" fillId="0" borderId="0" xfId="23" applyNumberFormat="1" applyFont="1">
      <alignment/>
      <protection/>
    </xf>
    <xf numFmtId="0" fontId="3" fillId="0" borderId="10" xfId="23" applyFont="1" applyBorder="1" applyAlignment="1">
      <alignment vertical="top" wrapText="1"/>
      <protection/>
    </xf>
    <xf numFmtId="0" fontId="0" fillId="15" borderId="31" xfId="23" applyFont="1" applyFill="1" applyBorder="1" applyAlignment="1">
      <alignment vertical="top" wrapText="1"/>
      <protection/>
    </xf>
    <xf numFmtId="0" fontId="0" fillId="0" borderId="21" xfId="23" applyBorder="1">
      <alignment/>
      <protection/>
    </xf>
    <xf numFmtId="1" fontId="0" fillId="0" borderId="33" xfId="23" applyNumberFormat="1" applyBorder="1">
      <alignment/>
      <protection/>
    </xf>
    <xf numFmtId="1" fontId="0" fillId="0" borderId="34" xfId="23" applyNumberFormat="1" applyBorder="1">
      <alignment/>
      <protection/>
    </xf>
    <xf numFmtId="165" fontId="0" fillId="0" borderId="33" xfId="23" applyNumberFormat="1" applyBorder="1">
      <alignment/>
      <protection/>
    </xf>
    <xf numFmtId="165" fontId="0" fillId="0" borderId="34" xfId="23" applyNumberFormat="1" applyBorder="1">
      <alignment/>
      <protection/>
    </xf>
    <xf numFmtId="0" fontId="3" fillId="0" borderId="27" xfId="23" applyFont="1" applyBorder="1" applyAlignment="1">
      <alignment horizontal="center" vertical="top" wrapText="1"/>
      <protection/>
    </xf>
    <xf numFmtId="0" fontId="3" fillId="0" borderId="29" xfId="23" applyFont="1" applyBorder="1" applyAlignment="1">
      <alignment horizontal="center" vertical="top" wrapText="1"/>
      <protection/>
    </xf>
    <xf numFmtId="0" fontId="3" fillId="0" borderId="17" xfId="23" applyFont="1" applyBorder="1" applyAlignment="1">
      <alignment horizontal="center" vertical="top" wrapText="1"/>
      <protection/>
    </xf>
    <xf numFmtId="1" fontId="0" fillId="0" borderId="22" xfId="23" applyNumberFormat="1" applyBorder="1">
      <alignment/>
      <protection/>
    </xf>
    <xf numFmtId="0" fontId="0" fillId="0" borderId="14" xfId="23" applyBorder="1">
      <alignment/>
      <protection/>
    </xf>
    <xf numFmtId="0" fontId="3" fillId="0" borderId="35" xfId="23" applyFont="1" applyBorder="1" applyAlignment="1">
      <alignment horizontal="center"/>
      <protection/>
    </xf>
    <xf numFmtId="0" fontId="3" fillId="0" borderId="15" xfId="23" applyFont="1" applyBorder="1">
      <alignment/>
      <protection/>
    </xf>
    <xf numFmtId="164" fontId="0" fillId="0" borderId="26" xfId="23" applyNumberFormat="1" applyBorder="1">
      <alignment/>
      <protection/>
    </xf>
    <xf numFmtId="0" fontId="3" fillId="0" borderId="27" xfId="23" applyFont="1" applyBorder="1" applyAlignment="1">
      <alignment horizontal="right" vertical="top" wrapText="1"/>
      <protection/>
    </xf>
    <xf numFmtId="0" fontId="3" fillId="0" borderId="17" xfId="23" applyFont="1" applyBorder="1" applyAlignment="1">
      <alignment horizontal="right" vertical="top" wrapText="1"/>
      <protection/>
    </xf>
    <xf numFmtId="0" fontId="34" fillId="0" borderId="33" xfId="26" applyFont="1" applyBorder="1" applyAlignment="1">
      <alignment vertical="top" wrapText="1"/>
      <protection/>
    </xf>
    <xf numFmtId="164" fontId="0" fillId="0" borderId="34" xfId="23" applyNumberFormat="1" applyBorder="1" applyAlignment="1">
      <alignment vertical="top"/>
      <protection/>
    </xf>
    <xf numFmtId="0" fontId="0" fillId="0" borderId="28" xfId="23" applyBorder="1" applyAlignment="1">
      <alignment horizontal="center" vertical="top" wrapText="1"/>
      <protection/>
    </xf>
    <xf numFmtId="0" fontId="0" fillId="0" borderId="29" xfId="23" applyBorder="1" applyAlignment="1">
      <alignment horizontal="center" vertical="top" wrapText="1"/>
      <protection/>
    </xf>
    <xf numFmtId="0" fontId="0" fillId="0" borderId="21" xfId="23" applyBorder="1" applyAlignment="1">
      <alignment vertical="top" wrapText="1"/>
      <protection/>
    </xf>
    <xf numFmtId="0" fontId="0" fillId="0" borderId="36" xfId="23" applyBorder="1" applyAlignment="1">
      <alignment horizontal="right" vertical="top" wrapText="1"/>
      <protection/>
    </xf>
    <xf numFmtId="0" fontId="0" fillId="0" borderId="37" xfId="23" applyBorder="1" applyAlignment="1">
      <alignment horizontal="center" vertical="top" wrapText="1"/>
      <protection/>
    </xf>
    <xf numFmtId="0" fontId="0" fillId="0" borderId="21" xfId="23" applyFont="1" applyBorder="1" applyAlignment="1">
      <alignment vertical="top" wrapText="1"/>
      <protection/>
    </xf>
    <xf numFmtId="0" fontId="3" fillId="0" borderId="12" xfId="23" applyFont="1" applyBorder="1" applyAlignment="1">
      <alignment horizontal="center" vertical="top" wrapText="1"/>
      <protection/>
    </xf>
    <xf numFmtId="0" fontId="0" fillId="0" borderId="27" xfId="23" applyBorder="1" applyAlignment="1">
      <alignment horizontal="center" vertical="top" wrapText="1"/>
      <protection/>
    </xf>
    <xf numFmtId="0" fontId="0" fillId="0" borderId="29" xfId="23" applyFont="1" applyBorder="1" applyAlignment="1">
      <alignment horizontal="center" vertical="top" wrapText="1"/>
      <protection/>
    </xf>
    <xf numFmtId="0" fontId="3" fillId="0" borderId="21" xfId="23" applyFont="1" applyBorder="1" applyAlignment="1">
      <alignment vertical="top" wrapText="1"/>
      <protection/>
    </xf>
    <xf numFmtId="0" fontId="0" fillId="0" borderId="20" xfId="23" applyFont="1" applyBorder="1" applyAlignment="1">
      <alignment vertical="top" wrapText="1"/>
      <protection/>
    </xf>
    <xf numFmtId="164" fontId="0" fillId="0" borderId="17" xfId="23" applyNumberFormat="1" applyBorder="1" applyAlignment="1">
      <alignment vertical="top"/>
      <protection/>
    </xf>
    <xf numFmtId="1" fontId="0" fillId="0" borderId="17" xfId="23" applyNumberFormat="1" applyBorder="1" applyAlignment="1">
      <alignment vertical="top"/>
      <protection/>
    </xf>
    <xf numFmtId="164" fontId="0" fillId="0" borderId="17" xfId="23" applyNumberFormat="1" applyBorder="1" applyAlignment="1">
      <alignment horizontal="right" vertical="top" wrapText="1"/>
      <protection/>
    </xf>
    <xf numFmtId="165" fontId="0" fillId="0" borderId="38" xfId="23" applyNumberFormat="1" applyBorder="1">
      <alignment/>
      <protection/>
    </xf>
    <xf numFmtId="164" fontId="0" fillId="0" borderId="33" xfId="23" applyNumberFormat="1" applyBorder="1">
      <alignment/>
      <protection/>
    </xf>
    <xf numFmtId="164" fontId="0" fillId="0" borderId="34" xfId="23" applyNumberFormat="1" applyBorder="1">
      <alignment/>
      <protection/>
    </xf>
    <xf numFmtId="0" fontId="0" fillId="0" borderId="20" xfId="23" applyBorder="1" applyAlignment="1">
      <alignment vertical="top" wrapText="1"/>
      <protection/>
    </xf>
    <xf numFmtId="0" fontId="35" fillId="0" borderId="39" xfId="23" applyFont="1" applyBorder="1" applyAlignment="1">
      <alignment horizontal="center" vertical="top" wrapText="1"/>
      <protection/>
    </xf>
    <xf numFmtId="164" fontId="0" fillId="0" borderId="36" xfId="23" applyNumberFormat="1" applyBorder="1" applyAlignment="1">
      <alignment vertical="top"/>
      <protection/>
    </xf>
    <xf numFmtId="164" fontId="0" fillId="0" borderId="22" xfId="23" applyNumberFormat="1" applyBorder="1" applyAlignment="1">
      <alignment horizontal="right" vertical="top" wrapText="1"/>
      <protection/>
    </xf>
    <xf numFmtId="0" fontId="0" fillId="0" borderId="40" xfId="23" applyBorder="1" applyAlignment="1">
      <alignment horizontal="center" vertical="top" wrapText="1"/>
      <protection/>
    </xf>
    <xf numFmtId="0" fontId="0" fillId="0" borderId="19" xfId="23" applyBorder="1" applyAlignment="1">
      <alignment horizontal="center" vertical="top" wrapText="1"/>
      <protection/>
    </xf>
    <xf numFmtId="164" fontId="3" fillId="15" borderId="18" xfId="23" applyNumberFormat="1" applyFont="1" applyFill="1" applyBorder="1">
      <alignment/>
      <protection/>
    </xf>
    <xf numFmtId="164" fontId="0" fillId="15" borderId="18" xfId="23" applyNumberFormat="1" applyFill="1" applyBorder="1">
      <alignment/>
      <protection/>
    </xf>
    <xf numFmtId="164" fontId="0" fillId="15" borderId="41" xfId="23" applyNumberFormat="1" applyFill="1" applyBorder="1">
      <alignment/>
      <protection/>
    </xf>
    <xf numFmtId="0" fontId="3" fillId="0" borderId="14" xfId="23" applyFont="1" applyBorder="1" applyAlignment="1">
      <alignment vertical="top" wrapText="1"/>
      <protection/>
    </xf>
    <xf numFmtId="165" fontId="3" fillId="0" borderId="42" xfId="23" applyNumberFormat="1" applyFont="1" applyBorder="1">
      <alignment/>
      <protection/>
    </xf>
    <xf numFmtId="164" fontId="3" fillId="0" borderId="15" xfId="23" applyNumberFormat="1" applyFont="1" applyBorder="1">
      <alignment/>
      <protection/>
    </xf>
    <xf numFmtId="0" fontId="3" fillId="0" borderId="23" xfId="23" applyFont="1" applyBorder="1" applyAlignment="1">
      <alignment horizontal="center" vertical="center"/>
      <protection/>
    </xf>
    <xf numFmtId="0" fontId="3" fillId="0" borderId="10" xfId="23" applyFont="1" applyBorder="1" applyAlignment="1">
      <alignment horizontal="center" vertical="top" wrapText="1"/>
      <protection/>
    </xf>
    <xf numFmtId="0" fontId="0" fillId="0" borderId="11" xfId="23" applyBorder="1" applyAlignment="1">
      <alignment horizontal="center" vertical="top" wrapText="1"/>
      <protection/>
    </xf>
    <xf numFmtId="0" fontId="0" fillId="0" borderId="10" xfId="23" applyFont="1" applyBorder="1" applyAlignment="1">
      <alignment horizontal="left" vertical="top" wrapText="1" indent="1"/>
      <protection/>
    </xf>
    <xf numFmtId="0" fontId="0" fillId="0" borderId="31" xfId="23" applyFont="1" applyBorder="1" applyAlignment="1">
      <alignment horizontal="left" vertical="top" wrapText="1" indent="1"/>
      <protection/>
    </xf>
    <xf numFmtId="0" fontId="0" fillId="0" borderId="10" xfId="23" applyFont="1" applyBorder="1" applyAlignment="1">
      <alignment horizontal="left" vertical="top" wrapText="1"/>
      <protection/>
    </xf>
    <xf numFmtId="0" fontId="0" fillId="0" borderId="0" xfId="23" applyAlignment="1">
      <alignment vertical="top"/>
      <protection/>
    </xf>
    <xf numFmtId="0" fontId="36" fillId="0" borderId="0" xfId="23" applyFont="1" applyAlignment="1">
      <alignment horizontal="right"/>
      <protection/>
    </xf>
    <xf numFmtId="165" fontId="0" fillId="0" borderId="21" xfId="23" applyNumberFormat="1" applyBorder="1" applyAlignment="1">
      <alignment vertical="top"/>
      <protection/>
    </xf>
    <xf numFmtId="165" fontId="3" fillId="0" borderId="14" xfId="23" applyNumberFormat="1" applyFont="1" applyBorder="1" applyAlignment="1">
      <alignment vertical="top"/>
      <protection/>
    </xf>
    <xf numFmtId="0" fontId="3" fillId="0" borderId="43" xfId="23" applyFont="1" applyBorder="1" applyAlignment="1">
      <alignment horizontal="center" vertical="top" wrapText="1"/>
      <protection/>
    </xf>
    <xf numFmtId="0" fontId="3" fillId="0" borderId="15" xfId="23" applyFont="1" applyBorder="1" applyAlignment="1">
      <alignment horizontal="center" vertical="top" wrapText="1"/>
      <protection/>
    </xf>
    <xf numFmtId="0" fontId="0" fillId="0" borderId="10" xfId="23" applyFont="1" applyBorder="1">
      <alignment/>
      <protection/>
    </xf>
    <xf numFmtId="3" fontId="0" fillId="0" borderId="26" xfId="23" applyNumberFormat="1" applyBorder="1">
      <alignment/>
      <protection/>
    </xf>
    <xf numFmtId="3" fontId="0" fillId="0" borderId="12" xfId="23" applyNumberFormat="1" applyBorder="1">
      <alignment/>
      <protection/>
    </xf>
    <xf numFmtId="0" fontId="0" fillId="0" borderId="27" xfId="23" applyBorder="1">
      <alignment/>
      <protection/>
    </xf>
    <xf numFmtId="0" fontId="0" fillId="0" borderId="28" xfId="23" applyBorder="1">
      <alignment/>
      <protection/>
    </xf>
    <xf numFmtId="0" fontId="3" fillId="0" borderId="44" xfId="23" applyFont="1" applyBorder="1" applyAlignment="1">
      <alignment horizontal="center" vertical="top" wrapText="1"/>
      <protection/>
    </xf>
    <xf numFmtId="0" fontId="0" fillId="0" borderId="31" xfId="23" applyFont="1" applyBorder="1">
      <alignment/>
      <protection/>
    </xf>
    <xf numFmtId="3" fontId="0" fillId="0" borderId="45" xfId="23" applyNumberFormat="1" applyBorder="1">
      <alignment/>
      <protection/>
    </xf>
    <xf numFmtId="3" fontId="0" fillId="0" borderId="46" xfId="23" applyNumberFormat="1" applyBorder="1">
      <alignment/>
      <protection/>
    </xf>
    <xf numFmtId="3" fontId="0" fillId="0" borderId="47" xfId="23" applyNumberFormat="1" applyBorder="1">
      <alignment/>
      <protection/>
    </xf>
    <xf numFmtId="0" fontId="0" fillId="0" borderId="48" xfId="23" applyBorder="1">
      <alignment/>
      <protection/>
    </xf>
    <xf numFmtId="0" fontId="0" fillId="0" borderId="49" xfId="23" applyBorder="1">
      <alignment/>
      <protection/>
    </xf>
    <xf numFmtId="164" fontId="3" fillId="0" borderId="17" xfId="23" applyNumberFormat="1" applyFont="1" applyBorder="1">
      <alignment/>
      <protection/>
    </xf>
    <xf numFmtId="168" fontId="0" fillId="0" borderId="50" xfId="24" applyNumberFormat="1" applyBorder="1"/>
    <xf numFmtId="168" fontId="0" fillId="0" borderId="25" xfId="24" applyNumberFormat="1" applyBorder="1"/>
    <xf numFmtId="168" fontId="0" fillId="0" borderId="26" xfId="24" applyNumberFormat="1" applyBorder="1"/>
    <xf numFmtId="0" fontId="0" fillId="0" borderId="11" xfId="23" applyFont="1" applyBorder="1">
      <alignment/>
      <protection/>
    </xf>
    <xf numFmtId="168" fontId="0" fillId="0" borderId="29" xfId="23" applyNumberFormat="1" applyBorder="1">
      <alignment/>
      <protection/>
    </xf>
    <xf numFmtId="0" fontId="18" fillId="0" borderId="0" xfId="23" applyFont="1">
      <alignment/>
      <protection/>
    </xf>
    <xf numFmtId="168" fontId="0" fillId="0" borderId="34" xfId="24" applyNumberFormat="1" applyBorder="1" applyAlignment="1">
      <alignment vertical="top"/>
    </xf>
    <xf numFmtId="0" fontId="3" fillId="0" borderId="20" xfId="23" applyFont="1" applyBorder="1" applyAlignment="1">
      <alignment horizontal="center"/>
      <protection/>
    </xf>
    <xf numFmtId="0" fontId="0" fillId="0" borderId="20" xfId="23" applyFont="1" applyBorder="1">
      <alignment/>
      <protection/>
    </xf>
    <xf numFmtId="0" fontId="0" fillId="0" borderId="14" xfId="23" applyFont="1" applyBorder="1">
      <alignment/>
      <protection/>
    </xf>
    <xf numFmtId="1" fontId="0" fillId="0" borderId="14" xfId="23" applyNumberFormat="1" applyBorder="1">
      <alignment/>
      <protection/>
    </xf>
    <xf numFmtId="0" fontId="3" fillId="0" borderId="23" xfId="23" applyFont="1" applyBorder="1" applyAlignment="1">
      <alignment horizontal="center" wrapText="1"/>
      <protection/>
    </xf>
    <xf numFmtId="0" fontId="3" fillId="0" borderId="50" xfId="23" applyFont="1" applyBorder="1" applyAlignment="1">
      <alignment horizontal="center" vertical="top" wrapText="1"/>
      <protection/>
    </xf>
    <xf numFmtId="1" fontId="0" fillId="0" borderId="50" xfId="23" applyNumberFormat="1" applyBorder="1">
      <alignment/>
      <protection/>
    </xf>
    <xf numFmtId="1" fontId="0" fillId="0" borderId="25" xfId="23" applyNumberFormat="1" applyBorder="1">
      <alignment/>
      <protection/>
    </xf>
    <xf numFmtId="1" fontId="0" fillId="0" borderId="26" xfId="23" applyNumberFormat="1" applyBorder="1">
      <alignment/>
      <protection/>
    </xf>
    <xf numFmtId="0" fontId="0" fillId="0" borderId="17" xfId="23" applyBorder="1">
      <alignment/>
      <protection/>
    </xf>
    <xf numFmtId="1" fontId="0" fillId="0" borderId="27" xfId="23" applyNumberFormat="1" applyBorder="1">
      <alignment/>
      <protection/>
    </xf>
    <xf numFmtId="1" fontId="0" fillId="0" borderId="28" xfId="23" applyNumberFormat="1" applyBorder="1">
      <alignment/>
      <protection/>
    </xf>
    <xf numFmtId="1" fontId="0" fillId="0" borderId="29" xfId="23" applyNumberFormat="1" applyBorder="1">
      <alignment/>
      <protection/>
    </xf>
    <xf numFmtId="164" fontId="0" fillId="0" borderId="11" xfId="23" applyNumberFormat="1" applyBorder="1">
      <alignment/>
      <protection/>
    </xf>
    <xf numFmtId="164" fontId="0" fillId="0" borderId="23" xfId="23" applyNumberFormat="1" applyBorder="1">
      <alignment/>
      <protection/>
    </xf>
    <xf numFmtId="164" fontId="0" fillId="0" borderId="14" xfId="23" applyNumberFormat="1" applyBorder="1">
      <alignment/>
      <protection/>
    </xf>
    <xf numFmtId="0" fontId="3" fillId="16" borderId="23" xfId="23" applyFont="1" applyFill="1" applyBorder="1" applyAlignment="1">
      <alignment horizontal="center" vertical="top" wrapText="1"/>
      <protection/>
    </xf>
    <xf numFmtId="0" fontId="3" fillId="16" borderId="20" xfId="23" applyFont="1" applyFill="1" applyBorder="1" applyAlignment="1">
      <alignment horizontal="center"/>
      <protection/>
    </xf>
    <xf numFmtId="164" fontId="3" fillId="0" borderId="14" xfId="23" applyNumberFormat="1" applyFont="1" applyBorder="1">
      <alignment/>
      <protection/>
    </xf>
    <xf numFmtId="0" fontId="35" fillId="0" borderId="0" xfId="23" applyFont="1">
      <alignment/>
      <protection/>
    </xf>
    <xf numFmtId="164" fontId="0" fillId="0" borderId="51" xfId="23" applyNumberFormat="1" applyBorder="1">
      <alignment/>
      <protection/>
    </xf>
    <xf numFmtId="0" fontId="3" fillId="16" borderId="23" xfId="23" applyFont="1" applyFill="1" applyBorder="1" applyAlignment="1">
      <alignment horizontal="center" wrapText="1"/>
      <protection/>
    </xf>
    <xf numFmtId="0" fontId="0" fillId="0" borderId="52" xfId="23" applyFont="1" applyBorder="1">
      <alignment/>
      <protection/>
    </xf>
    <xf numFmtId="0" fontId="0" fillId="0" borderId="51" xfId="23" applyFont="1" applyBorder="1">
      <alignment/>
      <protection/>
    </xf>
    <xf numFmtId="0" fontId="0" fillId="0" borderId="37" xfId="23" applyFont="1" applyBorder="1" applyAlignment="1">
      <alignment horizontal="center" vertical="top" wrapText="1"/>
      <protection/>
    </xf>
    <xf numFmtId="0" fontId="0" fillId="0" borderId="28" xfId="23" applyFont="1" applyBorder="1" applyAlignment="1">
      <alignment horizontal="center" vertical="top" wrapText="1"/>
      <protection/>
    </xf>
    <xf numFmtId="0" fontId="0" fillId="0" borderId="27" xfId="23" applyFont="1" applyBorder="1" applyAlignment="1">
      <alignment horizontal="center" vertical="top" wrapText="1"/>
      <protection/>
    </xf>
    <xf numFmtId="170" fontId="0" fillId="0" borderId="0" xfId="23" applyNumberFormat="1">
      <alignment/>
      <protection/>
    </xf>
    <xf numFmtId="9" fontId="0" fillId="0" borderId="0" xfId="23" applyNumberFormat="1">
      <alignment/>
      <protection/>
    </xf>
    <xf numFmtId="169" fontId="36" fillId="0" borderId="0" xfId="23" applyNumberFormat="1" applyFont="1">
      <alignment/>
      <protection/>
    </xf>
    <xf numFmtId="171" fontId="36" fillId="0" borderId="0" xfId="23" applyNumberFormat="1" applyFont="1">
      <alignment/>
      <protection/>
    </xf>
    <xf numFmtId="2" fontId="0" fillId="0" borderId="34" xfId="23" applyNumberFormat="1" applyBorder="1" applyAlignment="1">
      <alignment horizontal="right" vertical="top" wrapText="1"/>
      <protection/>
    </xf>
    <xf numFmtId="0" fontId="0" fillId="0" borderId="24" xfId="22" applyFont="1" applyBorder="1">
      <alignment/>
      <protection/>
    </xf>
    <xf numFmtId="164" fontId="0" fillId="0" borderId="19" xfId="22" applyNumberFormat="1" applyFont="1" applyBorder="1">
      <alignment/>
      <protection/>
    </xf>
    <xf numFmtId="164" fontId="0" fillId="0" borderId="18" xfId="23" applyNumberFormat="1" applyBorder="1" applyAlignment="1">
      <alignment horizontal="right" vertical="top" wrapText="1"/>
      <protection/>
    </xf>
    <xf numFmtId="1" fontId="0" fillId="0" borderId="18" xfId="23" applyNumberFormat="1" applyBorder="1" applyAlignment="1">
      <alignment horizontal="right" vertical="top" wrapText="1"/>
      <protection/>
    </xf>
    <xf numFmtId="0" fontId="0" fillId="0" borderId="39" xfId="23" applyBorder="1" applyAlignment="1">
      <alignment horizontal="right" vertical="top" wrapText="1"/>
      <protection/>
    </xf>
    <xf numFmtId="168" fontId="0" fillId="0" borderId="12" xfId="24" applyNumberFormat="1" applyBorder="1" applyAlignment="1">
      <alignment vertical="top"/>
    </xf>
    <xf numFmtId="0" fontId="0" fillId="0" borderId="10" xfId="23" applyFont="1" applyBorder="1" applyAlignment="1">
      <alignment horizontal="left" vertical="top" wrapText="1" indent="4"/>
      <protection/>
    </xf>
    <xf numFmtId="0" fontId="0" fillId="0" borderId="10" xfId="23" applyFont="1" applyBorder="1" applyAlignment="1">
      <alignment horizontal="left" vertical="top" wrapText="1" indent="6"/>
      <protection/>
    </xf>
    <xf numFmtId="2" fontId="0" fillId="0" borderId="12" xfId="23" applyNumberFormat="1" applyBorder="1" applyAlignment="1">
      <alignment horizontal="right" vertical="top" wrapText="1"/>
      <protection/>
    </xf>
    <xf numFmtId="0" fontId="0" fillId="0" borderId="33" xfId="23" applyBorder="1" applyAlignment="1">
      <alignment horizontal="right" vertical="top" wrapText="1"/>
      <protection/>
    </xf>
    <xf numFmtId="168" fontId="0" fillId="0" borderId="36" xfId="24" applyNumberFormat="1" applyBorder="1" applyAlignment="1">
      <alignment vertical="top"/>
    </xf>
    <xf numFmtId="0" fontId="0" fillId="0" borderId="13" xfId="23" applyBorder="1" applyAlignment="1">
      <alignment horizontal="right" vertical="top" wrapText="1"/>
      <protection/>
    </xf>
    <xf numFmtId="164" fontId="0" fillId="0" borderId="39" xfId="23" applyNumberFormat="1" applyBorder="1" applyAlignment="1">
      <alignment vertical="top"/>
      <protection/>
    </xf>
    <xf numFmtId="168" fontId="0" fillId="0" borderId="39" xfId="24" applyNumberFormat="1" applyBorder="1" applyAlignment="1">
      <alignment vertical="top"/>
    </xf>
    <xf numFmtId="2" fontId="0" fillId="0" borderId="29" xfId="23" applyNumberFormat="1" applyBorder="1" applyAlignment="1">
      <alignment horizontal="right" vertical="top" wrapText="1"/>
      <protection/>
    </xf>
    <xf numFmtId="168" fontId="0" fillId="0" borderId="53" xfId="24" applyNumberFormat="1" applyBorder="1" applyAlignment="1">
      <alignment vertical="top"/>
    </xf>
    <xf numFmtId="168" fontId="0" fillId="0" borderId="54" xfId="24" applyNumberFormat="1" applyBorder="1" applyAlignment="1">
      <alignment vertical="top"/>
    </xf>
    <xf numFmtId="164" fontId="0" fillId="0" borderId="54" xfId="23" applyNumberFormat="1" applyBorder="1" applyAlignment="1">
      <alignment vertical="top"/>
      <protection/>
    </xf>
    <xf numFmtId="164" fontId="0" fillId="0" borderId="37" xfId="23" applyNumberFormat="1" applyBorder="1" applyAlignment="1">
      <alignment vertical="top"/>
      <protection/>
    </xf>
    <xf numFmtId="168" fontId="0" fillId="0" borderId="33" xfId="24" applyNumberFormat="1" applyBorder="1" applyAlignment="1">
      <alignment vertical="top"/>
    </xf>
    <xf numFmtId="168" fontId="0" fillId="0" borderId="13" xfId="24" applyNumberFormat="1" applyBorder="1" applyAlignment="1">
      <alignment vertical="top"/>
    </xf>
    <xf numFmtId="168" fontId="0" fillId="0" borderId="27" xfId="24" applyNumberFormat="1" applyBorder="1" applyAlignment="1">
      <alignment vertical="top"/>
    </xf>
    <xf numFmtId="0" fontId="0" fillId="0" borderId="55" xfId="22" applyFont="1" applyBorder="1">
      <alignment/>
      <protection/>
    </xf>
    <xf numFmtId="0" fontId="0" fillId="0" borderId="11" xfId="0" applyBorder="1" applyAlignment="1">
      <alignment horizontal="left" indent="3"/>
    </xf>
    <xf numFmtId="0" fontId="0" fillId="0" borderId="23" xfId="23" applyFont="1" applyBorder="1" applyAlignment="1">
      <alignment horizontal="left"/>
      <protection/>
    </xf>
    <xf numFmtId="0" fontId="0" fillId="0" borderId="10" xfId="0" applyBorder="1" applyAlignment="1">
      <alignment horizontal="left" indent="3"/>
    </xf>
    <xf numFmtId="0" fontId="0" fillId="0" borderId="31" xfId="0" applyBorder="1" applyAlignment="1">
      <alignment horizontal="left" indent="3"/>
    </xf>
    <xf numFmtId="0" fontId="0" fillId="0" borderId="21" xfId="23" applyFont="1" applyBorder="1" applyAlignment="1">
      <alignment horizontal="left"/>
      <protection/>
    </xf>
    <xf numFmtId="164" fontId="0" fillId="0" borderId="22" xfId="22" applyNumberFormat="1" applyFont="1" applyBorder="1">
      <alignment/>
      <protection/>
    </xf>
    <xf numFmtId="164" fontId="0" fillId="0" borderId="35" xfId="22" applyNumberFormat="1" applyFont="1" applyBorder="1">
      <alignment/>
      <protection/>
    </xf>
    <xf numFmtId="164" fontId="0" fillId="0" borderId="24" xfId="22" applyNumberFormat="1" applyFont="1" applyBorder="1">
      <alignment/>
      <protection/>
    </xf>
    <xf numFmtId="164" fontId="0" fillId="0" borderId="10" xfId="22" applyNumberFormat="1" applyFont="1" applyBorder="1">
      <alignment/>
      <protection/>
    </xf>
    <xf numFmtId="164" fontId="0" fillId="0" borderId="14" xfId="22" applyNumberFormat="1" applyFont="1" applyBorder="1">
      <alignment/>
      <protection/>
    </xf>
    <xf numFmtId="0" fontId="0" fillId="0" borderId="10" xfId="23" applyFont="1" applyBorder="1" applyAlignment="1">
      <alignment horizontal="left"/>
      <protection/>
    </xf>
    <xf numFmtId="0" fontId="0" fillId="0" borderId="11" xfId="23" applyFont="1" applyBorder="1" applyAlignment="1">
      <alignment horizontal="left"/>
      <protection/>
    </xf>
    <xf numFmtId="164" fontId="0" fillId="0" borderId="51" xfId="22" applyNumberFormat="1" applyFont="1" applyBorder="1">
      <alignment/>
      <protection/>
    </xf>
    <xf numFmtId="0" fontId="0" fillId="0" borderId="0" xfId="23" applyAlignment="1">
      <alignment horizontal="right"/>
      <protection/>
    </xf>
    <xf numFmtId="0" fontId="0" fillId="0" borderId="0" xfId="23" applyFont="1" applyAlignment="1" quotePrefix="1">
      <alignment vertical="top"/>
      <protection/>
    </xf>
    <xf numFmtId="0" fontId="3" fillId="0" borderId="11" xfId="23" applyFont="1" applyBorder="1">
      <alignment/>
      <protection/>
    </xf>
    <xf numFmtId="0" fontId="0" fillId="0" borderId="10" xfId="23" applyBorder="1" quotePrefix="1">
      <alignment/>
      <protection/>
    </xf>
    <xf numFmtId="0" fontId="37" fillId="0" borderId="10" xfId="26" applyFont="1" applyBorder="1" applyAlignment="1">
      <alignment horizontal="left" vertical="top" wrapText="1" indent="4"/>
      <protection/>
    </xf>
    <xf numFmtId="0" fontId="37" fillId="0" borderId="10" xfId="26" applyFont="1" applyBorder="1" applyAlignment="1">
      <alignment horizontal="left" wrapText="1" indent="4"/>
      <protection/>
    </xf>
    <xf numFmtId="0" fontId="37" fillId="0" borderId="11" xfId="26" applyFont="1" applyBorder="1" applyAlignment="1">
      <alignment horizontal="left" wrapText="1" indent="4"/>
      <protection/>
    </xf>
    <xf numFmtId="0" fontId="37" fillId="0" borderId="11" xfId="26" applyFont="1" applyBorder="1" applyAlignment="1">
      <alignment horizontal="left" vertical="top" wrapText="1" indent="4"/>
      <protection/>
    </xf>
    <xf numFmtId="0" fontId="0" fillId="0" borderId="52" xfId="23" applyBorder="1">
      <alignment/>
      <protection/>
    </xf>
    <xf numFmtId="0" fontId="0" fillId="0" borderId="11" xfId="23" applyBorder="1">
      <alignment/>
      <protection/>
    </xf>
    <xf numFmtId="1" fontId="0" fillId="0" borderId="18" xfId="24" applyNumberFormat="1" applyFont="1" applyFill="1" applyBorder="1"/>
    <xf numFmtId="164" fontId="0" fillId="0" borderId="18" xfId="24" applyNumberFormat="1" applyFont="1" applyFill="1" applyBorder="1"/>
    <xf numFmtId="164" fontId="3" fillId="0" borderId="41" xfId="23" applyNumberFormat="1" applyFont="1" applyBorder="1">
      <alignment/>
      <protection/>
    </xf>
    <xf numFmtId="1" fontId="37" fillId="0" borderId="36" xfId="42" applyNumberFormat="1" applyFont="1" applyBorder="1" applyAlignment="1">
      <alignment vertical="top"/>
      <protection/>
    </xf>
    <xf numFmtId="0" fontId="0" fillId="0" borderId="28" xfId="23" applyBorder="1" applyAlignment="1">
      <alignment horizontal="right" vertical="top" wrapText="1"/>
      <protection/>
    </xf>
    <xf numFmtId="2" fontId="0" fillId="0" borderId="18" xfId="24" applyNumberFormat="1" applyFont="1" applyFill="1" applyBorder="1"/>
    <xf numFmtId="3" fontId="0" fillId="0" borderId="50" xfId="23" applyNumberFormat="1" applyBorder="1">
      <alignment/>
      <protection/>
    </xf>
    <xf numFmtId="3" fontId="0" fillId="0" borderId="25" xfId="23" applyNumberFormat="1" applyBorder="1">
      <alignment/>
      <protection/>
    </xf>
    <xf numFmtId="3" fontId="0" fillId="0" borderId="13" xfId="23" applyNumberFormat="1" applyBorder="1">
      <alignment/>
      <protection/>
    </xf>
    <xf numFmtId="3" fontId="0" fillId="0" borderId="39" xfId="23" applyNumberFormat="1" applyBorder="1">
      <alignment/>
      <protection/>
    </xf>
    <xf numFmtId="164" fontId="0" fillId="0" borderId="24" xfId="23" applyNumberFormat="1" applyBorder="1" applyAlignment="1">
      <alignment horizontal="right" vertical="top" wrapText="1"/>
      <protection/>
    </xf>
    <xf numFmtId="164" fontId="0" fillId="0" borderId="13" xfId="23" applyNumberFormat="1" applyBorder="1" applyAlignment="1">
      <alignment horizontal="right" vertical="top" wrapText="1"/>
      <protection/>
    </xf>
    <xf numFmtId="164" fontId="0" fillId="0" borderId="27" xfId="23" applyNumberFormat="1" applyBorder="1" applyAlignment="1">
      <alignment horizontal="right" vertical="top" wrapText="1"/>
      <protection/>
    </xf>
    <xf numFmtId="0" fontId="0" fillId="0" borderId="21" xfId="23" applyFont="1" applyBorder="1" applyAlignment="1">
      <alignment horizontal="left" vertical="top" wrapText="1" indent="1"/>
      <protection/>
    </xf>
    <xf numFmtId="0" fontId="0" fillId="0" borderId="52" xfId="23" applyFont="1" applyBorder="1" applyAlignment="1">
      <alignment horizontal="left" vertical="top" wrapText="1" indent="1"/>
      <protection/>
    </xf>
    <xf numFmtId="0" fontId="3" fillId="0" borderId="56" xfId="23" applyFont="1" applyBorder="1" applyAlignment="1">
      <alignment horizontal="center" vertical="top" wrapText="1"/>
      <protection/>
    </xf>
    <xf numFmtId="0" fontId="38" fillId="0" borderId="0" xfId="23" applyFont="1">
      <alignment/>
      <protection/>
    </xf>
    <xf numFmtId="165" fontId="0" fillId="0" borderId="0" xfId="23" applyNumberFormat="1">
      <alignment/>
      <protection/>
    </xf>
    <xf numFmtId="165" fontId="0" fillId="0" borderId="0" xfId="23" applyNumberFormat="1" quotePrefix="1">
      <alignment/>
      <protection/>
    </xf>
    <xf numFmtId="167" fontId="0" fillId="0" borderId="0" xfId="23" applyNumberFormat="1">
      <alignment/>
      <protection/>
    </xf>
    <xf numFmtId="172" fontId="0" fillId="0" borderId="0" xfId="23" applyNumberFormat="1">
      <alignment/>
      <protection/>
    </xf>
    <xf numFmtId="0" fontId="40" fillId="0" borderId="0" xfId="23" applyFont="1">
      <alignment/>
      <protection/>
    </xf>
    <xf numFmtId="2" fontId="0" fillId="0" borderId="0" xfId="23" applyNumberFormat="1">
      <alignment/>
      <protection/>
    </xf>
    <xf numFmtId="0" fontId="37" fillId="0" borderId="0" xfId="23" applyFont="1">
      <alignment/>
      <protection/>
    </xf>
    <xf numFmtId="167" fontId="41" fillId="0" borderId="0" xfId="23" applyNumberFormat="1" applyFont="1">
      <alignment/>
      <protection/>
    </xf>
    <xf numFmtId="0" fontId="39" fillId="0" borderId="0" xfId="23" applyFont="1">
      <alignment/>
      <protection/>
    </xf>
    <xf numFmtId="0" fontId="42" fillId="0" borderId="0" xfId="23" applyFont="1">
      <alignment/>
      <protection/>
    </xf>
    <xf numFmtId="0" fontId="42" fillId="0" borderId="0" xfId="23" applyFont="1">
      <alignment/>
      <protection/>
    </xf>
    <xf numFmtId="0" fontId="38" fillId="0" borderId="0" xfId="23" applyFont="1">
      <alignment/>
      <protection/>
    </xf>
    <xf numFmtId="0" fontId="3" fillId="0" borderId="0" xfId="0" applyFont="1" applyAlignment="1">
      <alignment horizontal="left"/>
    </xf>
    <xf numFmtId="0" fontId="44" fillId="0" borderId="55" xfId="0" applyFont="1" applyBorder="1" applyAlignment="1">
      <alignment horizontal="center" vertical="top" wrapText="1"/>
    </xf>
    <xf numFmtId="0" fontId="44" fillId="0" borderId="41" xfId="0" applyFont="1" applyBorder="1" applyAlignment="1">
      <alignment horizontal="center" vertical="top" wrapText="1"/>
    </xf>
    <xf numFmtId="0" fontId="44" fillId="0" borderId="20" xfId="0" applyFont="1" applyBorder="1" applyAlignment="1">
      <alignment vertical="top" wrapText="1"/>
    </xf>
    <xf numFmtId="0" fontId="44" fillId="0" borderId="52" xfId="0" applyFont="1" applyBorder="1" applyAlignment="1">
      <alignment vertical="top" wrapText="1"/>
    </xf>
    <xf numFmtId="0" fontId="45" fillId="0" borderId="52" xfId="0" applyFont="1" applyBorder="1" applyAlignment="1">
      <alignment horizontal="left" vertical="top" wrapText="1" indent="5"/>
    </xf>
    <xf numFmtId="0" fontId="45" fillId="0" borderId="20" xfId="0" applyFont="1" applyBorder="1" applyAlignment="1">
      <alignment horizontal="left" vertical="top" wrapText="1" indent="5"/>
    </xf>
    <xf numFmtId="0" fontId="3" fillId="0" borderId="0" xfId="0" applyFont="1"/>
    <xf numFmtId="0" fontId="0" fillId="0" borderId="14" xfId="0" applyBorder="1"/>
    <xf numFmtId="0" fontId="3" fillId="0" borderId="14" xfId="0" applyFont="1" applyBorder="1"/>
    <xf numFmtId="169" fontId="47" fillId="0" borderId="14" xfId="0" applyNumberFormat="1" applyFont="1" applyBorder="1"/>
    <xf numFmtId="0" fontId="37" fillId="0" borderId="14" xfId="0" applyFont="1" applyBorder="1"/>
    <xf numFmtId="0" fontId="47" fillId="0" borderId="0" xfId="23" applyFont="1">
      <alignment/>
      <protection/>
    </xf>
    <xf numFmtId="2" fontId="0" fillId="17" borderId="57" xfId="23" applyNumberFormat="1" applyFill="1" applyBorder="1">
      <alignment/>
      <protection/>
    </xf>
    <xf numFmtId="2" fontId="0" fillId="17" borderId="58" xfId="23" applyNumberFormat="1" applyFont="1" applyFill="1" applyBorder="1">
      <alignment/>
      <protection/>
    </xf>
    <xf numFmtId="2" fontId="0" fillId="17" borderId="59" xfId="23" applyNumberFormat="1" applyFill="1" applyBorder="1">
      <alignment/>
      <protection/>
    </xf>
    <xf numFmtId="2" fontId="0" fillId="17" borderId="60" xfId="23" applyNumberFormat="1" applyFill="1" applyBorder="1">
      <alignment/>
      <protection/>
    </xf>
    <xf numFmtId="2" fontId="0" fillId="17" borderId="49" xfId="23" applyNumberFormat="1" applyFill="1" applyBorder="1">
      <alignment/>
      <protection/>
    </xf>
    <xf numFmtId="2" fontId="0" fillId="17" borderId="61" xfId="23" applyNumberFormat="1" applyFill="1" applyBorder="1">
      <alignment/>
      <protection/>
    </xf>
    <xf numFmtId="2" fontId="0" fillId="17" borderId="16" xfId="23" applyNumberFormat="1" applyFill="1" applyBorder="1">
      <alignment/>
      <protection/>
    </xf>
    <xf numFmtId="2" fontId="0" fillId="17" borderId="15" xfId="23" applyNumberFormat="1" applyFill="1" applyBorder="1">
      <alignment/>
      <protection/>
    </xf>
    <xf numFmtId="2" fontId="0" fillId="17" borderId="19" xfId="22" applyNumberFormat="1" applyFont="1" applyFill="1" applyBorder="1">
      <alignment/>
      <protection/>
    </xf>
    <xf numFmtId="2" fontId="3" fillId="0" borderId="24" xfId="23" applyNumberFormat="1" applyFont="1" applyBorder="1" applyAlignment="1">
      <alignment horizontal="center" vertical="top" wrapText="1"/>
      <protection/>
    </xf>
    <xf numFmtId="2" fontId="0" fillId="17" borderId="19" xfId="23" applyNumberFormat="1" applyFill="1" applyBorder="1" applyAlignment="1">
      <alignment horizontal="right" vertical="top" wrapText="1"/>
      <protection/>
    </xf>
    <xf numFmtId="2" fontId="0" fillId="0" borderId="18" xfId="23" applyNumberFormat="1" applyBorder="1" applyAlignment="1">
      <alignment horizontal="right" vertical="top" wrapText="1"/>
      <protection/>
    </xf>
    <xf numFmtId="2" fontId="0" fillId="0" borderId="62" xfId="23" applyNumberFormat="1" applyBorder="1" applyAlignment="1">
      <alignment horizontal="right" vertical="top" wrapText="1"/>
      <protection/>
    </xf>
    <xf numFmtId="2" fontId="0" fillId="0" borderId="19" xfId="23" applyNumberFormat="1" applyBorder="1" applyAlignment="1">
      <alignment horizontal="right" vertical="top" wrapText="1"/>
      <protection/>
    </xf>
    <xf numFmtId="2" fontId="0" fillId="0" borderId="24" xfId="23" applyNumberFormat="1" applyBorder="1" applyAlignment="1">
      <alignment horizontal="right" vertical="top" wrapText="1"/>
      <protection/>
    </xf>
    <xf numFmtId="0" fontId="49" fillId="0" borderId="52" xfId="0" applyFont="1" applyBorder="1" applyAlignment="1">
      <alignment vertical="top" wrapText="1"/>
    </xf>
    <xf numFmtId="0" fontId="50" fillId="0" borderId="52" xfId="0" applyFont="1" applyBorder="1" applyAlignment="1">
      <alignment horizontal="left" vertical="top" wrapText="1" indent="5"/>
    </xf>
    <xf numFmtId="0" fontId="49" fillId="0" borderId="52" xfId="0" applyFont="1" applyBorder="1" applyAlignment="1">
      <alignment horizontal="left" vertical="top" wrapText="1" indent="3"/>
    </xf>
    <xf numFmtId="0" fontId="49" fillId="0" borderId="52" xfId="0" applyFont="1" applyBorder="1" applyAlignment="1">
      <alignment horizontal="left" vertical="top" wrapText="1" indent="5"/>
    </xf>
    <xf numFmtId="0" fontId="49" fillId="0" borderId="52" xfId="0" applyFont="1" applyBorder="1" applyAlignment="1">
      <alignment horizontal="left" vertical="top" wrapText="1" indent="1"/>
    </xf>
    <xf numFmtId="0" fontId="44" fillId="0" borderId="52" xfId="0" applyFont="1" applyBorder="1" applyAlignment="1">
      <alignment horizontal="left" vertical="top" wrapText="1" indent="1"/>
    </xf>
    <xf numFmtId="165" fontId="0" fillId="17" borderId="63" xfId="23" applyNumberFormat="1" applyFill="1" applyBorder="1">
      <alignment/>
      <protection/>
    </xf>
    <xf numFmtId="0" fontId="0" fillId="0" borderId="0" xfId="23" applyAlignment="1">
      <alignment horizontal="center"/>
      <protection/>
    </xf>
    <xf numFmtId="0" fontId="37" fillId="0" borderId="14" xfId="23" applyFont="1" applyBorder="1">
      <alignment/>
      <protection/>
    </xf>
    <xf numFmtId="0" fontId="48" fillId="0" borderId="35" xfId="23" applyFont="1" applyBorder="1" applyAlignment="1">
      <alignment horizontal="center"/>
      <protection/>
    </xf>
    <xf numFmtId="0" fontId="48" fillId="0" borderId="0" xfId="23" applyFont="1" applyAlignment="1">
      <alignment horizontal="right"/>
      <protection/>
    </xf>
    <xf numFmtId="0" fontId="37" fillId="0" borderId="0" xfId="23" applyFont="1" applyAlignment="1">
      <alignment horizontal="center"/>
      <protection/>
    </xf>
    <xf numFmtId="0" fontId="37" fillId="0" borderId="21" xfId="23" applyFont="1" applyBorder="1">
      <alignment/>
      <protection/>
    </xf>
    <xf numFmtId="0" fontId="37" fillId="0" borderId="10" xfId="23" applyFont="1" applyBorder="1" quotePrefix="1">
      <alignment/>
      <protection/>
    </xf>
    <xf numFmtId="0" fontId="48" fillId="0" borderId="10" xfId="23" applyFont="1" applyBorder="1">
      <alignment/>
      <protection/>
    </xf>
    <xf numFmtId="0" fontId="48" fillId="0" borderId="11" xfId="23" applyFont="1" applyBorder="1">
      <alignment/>
      <protection/>
    </xf>
    <xf numFmtId="2" fontId="37" fillId="0" borderId="0" xfId="23" applyNumberFormat="1" applyFont="1">
      <alignment/>
      <protection/>
    </xf>
    <xf numFmtId="0" fontId="37" fillId="0" borderId="0" xfId="23" applyFont="1" quotePrefix="1">
      <alignment/>
      <protection/>
    </xf>
    <xf numFmtId="3" fontId="37" fillId="0" borderId="0" xfId="23" applyNumberFormat="1" applyFont="1">
      <alignment/>
      <protection/>
    </xf>
    <xf numFmtId="0" fontId="48" fillId="0" borderId="0" xfId="23" applyFont="1">
      <alignment/>
      <protection/>
    </xf>
    <xf numFmtId="3" fontId="48" fillId="0" borderId="0" xfId="23" applyNumberFormat="1" applyFont="1">
      <alignment/>
      <protection/>
    </xf>
    <xf numFmtId="0" fontId="48" fillId="0" borderId="27" xfId="23" applyFont="1" applyBorder="1" applyAlignment="1">
      <alignment horizontal="center" vertical="top" wrapText="1"/>
      <protection/>
    </xf>
    <xf numFmtId="0" fontId="48" fillId="0" borderId="29" xfId="23" applyFont="1" applyBorder="1" applyAlignment="1">
      <alignment horizontal="center" vertical="top" wrapText="1"/>
      <protection/>
    </xf>
    <xf numFmtId="0" fontId="48" fillId="0" borderId="17" xfId="23" applyFont="1" applyBorder="1" applyAlignment="1">
      <alignment horizontal="center" vertical="top" wrapText="1"/>
      <protection/>
    </xf>
    <xf numFmtId="0" fontId="37" fillId="0" borderId="10" xfId="23" applyFont="1" applyBorder="1">
      <alignment/>
      <protection/>
    </xf>
    <xf numFmtId="0" fontId="48" fillId="0" borderId="14" xfId="23" applyFont="1" applyBorder="1">
      <alignment/>
      <protection/>
    </xf>
    <xf numFmtId="0" fontId="41" fillId="0" borderId="0" xfId="23" applyFont="1">
      <alignment/>
      <protection/>
    </xf>
    <xf numFmtId="0" fontId="48" fillId="0" borderId="15" xfId="23" applyFont="1" applyBorder="1">
      <alignment/>
      <protection/>
    </xf>
    <xf numFmtId="0" fontId="37" fillId="0" borderId="52" xfId="23" applyFont="1" applyBorder="1">
      <alignment/>
      <protection/>
    </xf>
    <xf numFmtId="0" fontId="37" fillId="0" borderId="11" xfId="23" applyFont="1" applyBorder="1">
      <alignment/>
      <protection/>
    </xf>
    <xf numFmtId="1" fontId="37" fillId="17" borderId="22" xfId="23" applyNumberFormat="1" applyFont="1" applyFill="1" applyBorder="1">
      <alignment/>
      <protection/>
    </xf>
    <xf numFmtId="1" fontId="37" fillId="17" borderId="18" xfId="23" applyNumberFormat="1" applyFont="1" applyFill="1" applyBorder="1">
      <alignment/>
      <protection/>
    </xf>
    <xf numFmtId="1" fontId="48" fillId="17" borderId="19" xfId="23" applyNumberFormat="1" applyFont="1" applyFill="1" applyBorder="1">
      <alignment/>
      <protection/>
    </xf>
    <xf numFmtId="1" fontId="37" fillId="17" borderId="33" xfId="23" applyNumberFormat="1" applyFont="1" applyFill="1" applyBorder="1">
      <alignment/>
      <protection/>
    </xf>
    <xf numFmtId="1" fontId="37" fillId="17" borderId="34" xfId="23" applyNumberFormat="1" applyFont="1" applyFill="1" applyBorder="1">
      <alignment/>
      <protection/>
    </xf>
    <xf numFmtId="165" fontId="37" fillId="17" borderId="33" xfId="23" applyNumberFormat="1" applyFont="1" applyFill="1" applyBorder="1">
      <alignment/>
      <protection/>
    </xf>
    <xf numFmtId="165" fontId="37" fillId="17" borderId="34" xfId="23" applyNumberFormat="1" applyFont="1" applyFill="1" applyBorder="1">
      <alignment/>
      <protection/>
    </xf>
    <xf numFmtId="1" fontId="37" fillId="17" borderId="13" xfId="23" applyNumberFormat="1" applyFont="1" applyFill="1" applyBorder="1">
      <alignment/>
      <protection/>
    </xf>
    <xf numFmtId="1" fontId="37" fillId="17" borderId="12" xfId="23" applyNumberFormat="1" applyFont="1" applyFill="1" applyBorder="1">
      <alignment/>
      <protection/>
    </xf>
    <xf numFmtId="165" fontId="37" fillId="17" borderId="12" xfId="23" applyNumberFormat="1" applyFont="1" applyFill="1" applyBorder="1">
      <alignment/>
      <protection/>
    </xf>
    <xf numFmtId="165" fontId="37" fillId="17" borderId="13" xfId="23" applyNumberFormat="1" applyFont="1" applyFill="1" applyBorder="1">
      <alignment/>
      <protection/>
    </xf>
    <xf numFmtId="1" fontId="48" fillId="17" borderId="16" xfId="23" applyNumberFormat="1" applyFont="1" applyFill="1" applyBorder="1">
      <alignment/>
      <protection/>
    </xf>
    <xf numFmtId="0" fontId="37" fillId="17" borderId="15" xfId="23" applyFont="1" applyFill="1" applyBorder="1">
      <alignment/>
      <protection/>
    </xf>
    <xf numFmtId="165" fontId="48" fillId="17" borderId="16" xfId="23" applyNumberFormat="1" applyFont="1" applyFill="1" applyBorder="1">
      <alignment/>
      <protection/>
    </xf>
    <xf numFmtId="165" fontId="48" fillId="17" borderId="15" xfId="23" applyNumberFormat="1" applyFont="1" applyFill="1" applyBorder="1">
      <alignment/>
      <protection/>
    </xf>
    <xf numFmtId="164" fontId="37" fillId="17" borderId="61" xfId="23" applyNumberFormat="1" applyFont="1" applyFill="1" applyBorder="1">
      <alignment/>
      <protection/>
    </xf>
    <xf numFmtId="166" fontId="37" fillId="17" borderId="29" xfId="23" applyNumberFormat="1" applyFont="1" applyFill="1" applyBorder="1">
      <alignment/>
      <protection/>
    </xf>
    <xf numFmtId="1" fontId="0" fillId="17" borderId="33" xfId="23" applyNumberFormat="1" applyFill="1" applyBorder="1">
      <alignment/>
      <protection/>
    </xf>
    <xf numFmtId="1" fontId="0" fillId="17" borderId="34" xfId="23" applyNumberFormat="1" applyFill="1" applyBorder="1">
      <alignment/>
      <protection/>
    </xf>
    <xf numFmtId="165" fontId="0" fillId="17" borderId="33" xfId="23" applyNumberFormat="1" applyFill="1" applyBorder="1">
      <alignment/>
      <protection/>
    </xf>
    <xf numFmtId="165" fontId="0" fillId="17" borderId="34" xfId="23" applyNumberFormat="1" applyFill="1" applyBorder="1">
      <alignment/>
      <protection/>
    </xf>
    <xf numFmtId="1" fontId="0" fillId="17" borderId="13" xfId="23" applyNumberFormat="1" applyFill="1" applyBorder="1">
      <alignment/>
      <protection/>
    </xf>
    <xf numFmtId="1" fontId="0" fillId="17" borderId="12" xfId="23" applyNumberFormat="1" applyFill="1" applyBorder="1">
      <alignment/>
      <protection/>
    </xf>
    <xf numFmtId="165" fontId="0" fillId="17" borderId="12" xfId="23" applyNumberFormat="1" applyFill="1" applyBorder="1">
      <alignment/>
      <protection/>
    </xf>
    <xf numFmtId="165" fontId="0" fillId="17" borderId="13" xfId="23" applyNumberFormat="1" applyFill="1" applyBorder="1">
      <alignment/>
      <protection/>
    </xf>
    <xf numFmtId="0" fontId="0" fillId="17" borderId="15" xfId="23" applyFill="1" applyBorder="1">
      <alignment/>
      <protection/>
    </xf>
    <xf numFmtId="165" fontId="3" fillId="17" borderId="16" xfId="23" applyNumberFormat="1" applyFont="1" applyFill="1" applyBorder="1">
      <alignment/>
      <protection/>
    </xf>
    <xf numFmtId="165" fontId="3" fillId="17" borderId="15" xfId="23" applyNumberFormat="1" applyFont="1" applyFill="1" applyBorder="1">
      <alignment/>
      <protection/>
    </xf>
    <xf numFmtId="164" fontId="37" fillId="17" borderId="29" xfId="23" applyNumberFormat="1" applyFont="1" applyFill="1" applyBorder="1">
      <alignment/>
      <protection/>
    </xf>
    <xf numFmtId="1" fontId="0" fillId="17" borderId="22" xfId="23" applyNumberFormat="1" applyFill="1" applyBorder="1">
      <alignment/>
      <protection/>
    </xf>
    <xf numFmtId="1" fontId="3" fillId="17" borderId="19" xfId="23" applyNumberFormat="1" applyFont="1" applyFill="1" applyBorder="1">
      <alignment/>
      <protection/>
    </xf>
    <xf numFmtId="166" fontId="37" fillId="17" borderId="13" xfId="23" applyNumberFormat="1" applyFont="1" applyFill="1" applyBorder="1">
      <alignment/>
      <protection/>
    </xf>
    <xf numFmtId="164" fontId="0" fillId="17" borderId="26" xfId="23" applyNumberFormat="1" applyFill="1" applyBorder="1">
      <alignment/>
      <protection/>
    </xf>
    <xf numFmtId="164" fontId="0" fillId="17" borderId="17" xfId="23" applyNumberFormat="1" applyFill="1" applyBorder="1">
      <alignment/>
      <protection/>
    </xf>
    <xf numFmtId="1" fontId="0" fillId="17" borderId="18" xfId="23" applyNumberFormat="1" applyFill="1" applyBorder="1">
      <alignment/>
      <protection/>
    </xf>
    <xf numFmtId="164" fontId="37" fillId="17" borderId="26" xfId="23" applyNumberFormat="1" applyFont="1" applyFill="1" applyBorder="1">
      <alignment/>
      <protection/>
    </xf>
    <xf numFmtId="164" fontId="37" fillId="17" borderId="17" xfId="23" applyNumberFormat="1" applyFont="1" applyFill="1" applyBorder="1">
      <alignment/>
      <protection/>
    </xf>
    <xf numFmtId="166" fontId="37" fillId="17" borderId="22" xfId="23" applyNumberFormat="1" applyFont="1" applyFill="1" applyBorder="1">
      <alignment/>
      <protection/>
    </xf>
    <xf numFmtId="166" fontId="48" fillId="17" borderId="18" xfId="23" applyNumberFormat="1" applyFont="1" applyFill="1" applyBorder="1">
      <alignment/>
      <protection/>
    </xf>
    <xf numFmtId="166" fontId="48" fillId="17" borderId="19" xfId="23" applyNumberFormat="1" applyFont="1" applyFill="1" applyBorder="1">
      <alignment/>
      <protection/>
    </xf>
    <xf numFmtId="166" fontId="37" fillId="17" borderId="33" xfId="23" applyNumberFormat="1" applyFont="1" applyFill="1" applyBorder="1">
      <alignment/>
      <protection/>
    </xf>
    <xf numFmtId="4" fontId="37" fillId="17" borderId="13" xfId="23" applyNumberFormat="1" applyFont="1" applyFill="1" applyBorder="1">
      <alignment/>
      <protection/>
    </xf>
    <xf numFmtId="0" fontId="37" fillId="17" borderId="0" xfId="23" applyFont="1" applyFill="1">
      <alignment/>
      <protection/>
    </xf>
    <xf numFmtId="4" fontId="37" fillId="17" borderId="12" xfId="23" applyNumberFormat="1" applyFont="1" applyFill="1" applyBorder="1">
      <alignment/>
      <protection/>
    </xf>
    <xf numFmtId="166" fontId="48" fillId="17" borderId="16" xfId="23" applyNumberFormat="1" applyFont="1" applyFill="1" applyBorder="1">
      <alignment/>
      <protection/>
    </xf>
    <xf numFmtId="4" fontId="48" fillId="17" borderId="16" xfId="23" applyNumberFormat="1" applyFont="1" applyFill="1" applyBorder="1">
      <alignment/>
      <protection/>
    </xf>
    <xf numFmtId="1" fontId="3" fillId="17" borderId="18" xfId="23" applyNumberFormat="1" applyFont="1" applyFill="1" applyBorder="1">
      <alignment/>
      <protection/>
    </xf>
    <xf numFmtId="164" fontId="37" fillId="17" borderId="13" xfId="23" applyNumberFormat="1" applyFont="1" applyFill="1" applyBorder="1">
      <alignment/>
      <protection/>
    </xf>
    <xf numFmtId="1" fontId="48" fillId="17" borderId="18" xfId="23" applyNumberFormat="1" applyFont="1" applyFill="1" applyBorder="1">
      <alignment/>
      <protection/>
    </xf>
    <xf numFmtId="164" fontId="0" fillId="17" borderId="22" xfId="23" applyNumberFormat="1" applyFill="1" applyBorder="1">
      <alignment/>
      <protection/>
    </xf>
    <xf numFmtId="164" fontId="0" fillId="17" borderId="18" xfId="23" applyNumberFormat="1" applyFill="1" applyBorder="1">
      <alignment/>
      <protection/>
    </xf>
    <xf numFmtId="0" fontId="39" fillId="0" borderId="0" xfId="23" applyFont="1">
      <alignment/>
      <protection/>
    </xf>
    <xf numFmtId="164" fontId="0" fillId="17" borderId="13" xfId="23" applyNumberFormat="1" applyFill="1" applyBorder="1">
      <alignment/>
      <protection/>
    </xf>
    <xf numFmtId="164" fontId="3" fillId="17" borderId="16" xfId="23" applyNumberFormat="1" applyFont="1" applyFill="1" applyBorder="1">
      <alignment/>
      <protection/>
    </xf>
    <xf numFmtId="164" fontId="3" fillId="17" borderId="19" xfId="23" applyNumberFormat="1" applyFont="1" applyFill="1" applyBorder="1">
      <alignment/>
      <protection/>
    </xf>
    <xf numFmtId="164" fontId="48" fillId="17" borderId="16" xfId="23" applyNumberFormat="1" applyFont="1" applyFill="1" applyBorder="1">
      <alignment/>
      <protection/>
    </xf>
    <xf numFmtId="0" fontId="5" fillId="0" borderId="0" xfId="23" applyFont="1">
      <alignment/>
      <protection/>
    </xf>
    <xf numFmtId="171" fontId="37" fillId="17" borderId="13" xfId="23" applyNumberFormat="1" applyFont="1" applyFill="1" applyBorder="1">
      <alignment/>
      <protection/>
    </xf>
    <xf numFmtId="171" fontId="48" fillId="17" borderId="16" xfId="23" applyNumberFormat="1" applyFont="1" applyFill="1" applyBorder="1">
      <alignment/>
      <protection/>
    </xf>
    <xf numFmtId="1" fontId="37" fillId="17" borderId="39" xfId="42" applyNumberFormat="1" applyFont="1" applyFill="1" applyBorder="1" applyAlignment="1">
      <alignment vertical="top"/>
      <protection/>
    </xf>
    <xf numFmtId="1" fontId="37" fillId="17" borderId="28" xfId="42" applyNumberFormat="1" applyFont="1" applyFill="1" applyBorder="1" applyAlignment="1">
      <alignment vertical="top"/>
      <protection/>
    </xf>
    <xf numFmtId="165" fontId="0" fillId="17" borderId="13" xfId="23" applyNumberFormat="1" applyFont="1" applyFill="1" applyBorder="1" applyAlignment="1">
      <alignment horizontal="right"/>
      <protection/>
    </xf>
    <xf numFmtId="165" fontId="0" fillId="17" borderId="12" xfId="23" applyNumberFormat="1" applyFont="1" applyFill="1" applyBorder="1" applyAlignment="1">
      <alignment horizontal="right"/>
      <protection/>
    </xf>
    <xf numFmtId="165" fontId="0" fillId="17" borderId="27" xfId="23" applyNumberFormat="1" applyFill="1" applyBorder="1">
      <alignment/>
      <protection/>
    </xf>
    <xf numFmtId="165" fontId="0" fillId="17" borderId="29" xfId="23" applyNumberFormat="1" applyFill="1" applyBorder="1">
      <alignment/>
      <protection/>
    </xf>
    <xf numFmtId="2" fontId="37" fillId="17" borderId="53" xfId="23" applyNumberFormat="1" applyFont="1" applyFill="1" applyBorder="1" applyAlignment="1">
      <alignment horizontal="right" vertical="top" wrapText="1"/>
      <protection/>
    </xf>
    <xf numFmtId="2" fontId="37" fillId="17" borderId="34" xfId="23" applyNumberFormat="1" applyFont="1" applyFill="1" applyBorder="1" applyAlignment="1">
      <alignment horizontal="right" vertical="top" wrapText="1"/>
      <protection/>
    </xf>
    <xf numFmtId="2" fontId="37" fillId="17" borderId="39" xfId="23" applyNumberFormat="1" applyFont="1" applyFill="1" applyBorder="1" applyAlignment="1">
      <alignment horizontal="right" vertical="top" wrapText="1"/>
      <protection/>
    </xf>
    <xf numFmtId="2" fontId="37" fillId="17" borderId="12" xfId="23" applyNumberFormat="1" applyFont="1" applyFill="1" applyBorder="1" applyAlignment="1">
      <alignment vertical="top"/>
      <protection/>
    </xf>
    <xf numFmtId="164" fontId="37" fillId="17" borderId="54" xfId="23" applyNumberFormat="1" applyFont="1" applyFill="1" applyBorder="1" applyAlignment="1">
      <alignment vertical="top"/>
      <protection/>
    </xf>
    <xf numFmtId="164" fontId="37" fillId="17" borderId="12" xfId="23" applyNumberFormat="1" applyFont="1" applyFill="1" applyBorder="1" applyAlignment="1">
      <alignment vertical="top"/>
      <protection/>
    </xf>
    <xf numFmtId="164" fontId="37" fillId="17" borderId="37" xfId="23" applyNumberFormat="1" applyFont="1" applyFill="1" applyBorder="1" applyAlignment="1">
      <alignment vertical="top"/>
      <protection/>
    </xf>
    <xf numFmtId="164" fontId="37" fillId="17" borderId="29" xfId="23" applyNumberFormat="1" applyFont="1" applyFill="1" applyBorder="1" applyAlignment="1">
      <alignment vertical="top"/>
      <protection/>
    </xf>
    <xf numFmtId="165" fontId="0" fillId="17" borderId="38" xfId="23" applyNumberFormat="1" applyFill="1" applyBorder="1">
      <alignment/>
      <protection/>
    </xf>
    <xf numFmtId="164" fontId="0" fillId="17" borderId="33" xfId="23" applyNumberFormat="1" applyFill="1" applyBorder="1">
      <alignment/>
      <protection/>
    </xf>
    <xf numFmtId="164" fontId="0" fillId="17" borderId="34" xfId="23" applyNumberFormat="1" applyFill="1" applyBorder="1">
      <alignment/>
      <protection/>
    </xf>
    <xf numFmtId="164" fontId="0" fillId="17" borderId="12" xfId="23" applyNumberFormat="1" applyFont="1" applyFill="1" applyBorder="1" applyAlignment="1">
      <alignment horizontal="right"/>
      <protection/>
    </xf>
    <xf numFmtId="165" fontId="0" fillId="17" borderId="30" xfId="23" applyNumberFormat="1" applyFont="1" applyFill="1" applyBorder="1" applyAlignment="1">
      <alignment horizontal="right"/>
      <protection/>
    </xf>
    <xf numFmtId="165" fontId="0" fillId="17" borderId="40" xfId="23" applyNumberFormat="1" applyFill="1" applyBorder="1">
      <alignment/>
      <protection/>
    </xf>
    <xf numFmtId="165" fontId="37" fillId="17" borderId="38" xfId="23" applyNumberFormat="1" applyFont="1" applyFill="1" applyBorder="1">
      <alignment/>
      <protection/>
    </xf>
    <xf numFmtId="164" fontId="37" fillId="17" borderId="33" xfId="23" applyNumberFormat="1" applyFont="1" applyFill="1" applyBorder="1">
      <alignment/>
      <protection/>
    </xf>
    <xf numFmtId="164" fontId="37" fillId="17" borderId="34" xfId="23" applyNumberFormat="1" applyFont="1" applyFill="1" applyBorder="1">
      <alignment/>
      <protection/>
    </xf>
    <xf numFmtId="165" fontId="37" fillId="17" borderId="13" xfId="23" applyNumberFormat="1" applyFont="1" applyFill="1" applyBorder="1">
      <alignment/>
      <protection/>
    </xf>
    <xf numFmtId="165" fontId="37" fillId="17" borderId="30" xfId="23" applyNumberFormat="1" applyFont="1" applyFill="1" applyBorder="1">
      <alignment/>
      <protection/>
    </xf>
    <xf numFmtId="164" fontId="37" fillId="17" borderId="12" xfId="23" applyNumberFormat="1" applyFont="1" applyFill="1" applyBorder="1" applyAlignment="1">
      <alignment horizontal="right"/>
      <protection/>
    </xf>
    <xf numFmtId="164" fontId="37" fillId="17" borderId="12" xfId="23" applyNumberFormat="1" applyFont="1" applyFill="1" applyBorder="1">
      <alignment/>
      <protection/>
    </xf>
    <xf numFmtId="165" fontId="37" fillId="17" borderId="13" xfId="23" applyNumberFormat="1" applyFont="1" applyFill="1" applyBorder="1" applyAlignment="1">
      <alignment horizontal="right"/>
      <protection/>
    </xf>
    <xf numFmtId="165" fontId="37" fillId="17" borderId="30" xfId="23" applyNumberFormat="1" applyFont="1" applyFill="1" applyBorder="1" applyAlignment="1">
      <alignment horizontal="right"/>
      <protection/>
    </xf>
    <xf numFmtId="165" fontId="37" fillId="17" borderId="27" xfId="23" applyNumberFormat="1" applyFont="1" applyFill="1" applyBorder="1">
      <alignment/>
      <protection/>
    </xf>
    <xf numFmtId="165" fontId="37" fillId="17" borderId="40" xfId="23" applyNumberFormat="1" applyFont="1" applyFill="1" applyBorder="1">
      <alignment/>
      <protection/>
    </xf>
    <xf numFmtId="164" fontId="37" fillId="17" borderId="29" xfId="23" applyNumberFormat="1" applyFont="1" applyFill="1" applyBorder="1">
      <alignment/>
      <protection/>
    </xf>
    <xf numFmtId="2" fontId="37" fillId="17" borderId="39" xfId="42" applyNumberFormat="1" applyFont="1" applyFill="1" applyBorder="1" applyAlignment="1">
      <alignment vertical="top"/>
      <protection/>
    </xf>
    <xf numFmtId="2" fontId="37" fillId="17" borderId="46" xfId="42" applyNumberFormat="1" applyFont="1" applyFill="1" applyBorder="1" applyAlignment="1">
      <alignment vertical="top"/>
      <protection/>
    </xf>
    <xf numFmtId="164" fontId="0" fillId="17" borderId="13" xfId="23" applyNumberFormat="1" applyFont="1" applyFill="1" applyBorder="1" applyAlignment="1">
      <alignment horizontal="right"/>
      <protection/>
    </xf>
    <xf numFmtId="165" fontId="0" fillId="17" borderId="48" xfId="23" applyNumberFormat="1" applyFill="1" applyBorder="1">
      <alignment/>
      <protection/>
    </xf>
    <xf numFmtId="164" fontId="0" fillId="17" borderId="48" xfId="23" applyNumberFormat="1" applyFill="1" applyBorder="1">
      <alignment/>
      <protection/>
    </xf>
    <xf numFmtId="0" fontId="37" fillId="17" borderId="53" xfId="23" applyFont="1" applyFill="1" applyBorder="1" applyAlignment="1">
      <alignment horizontal="center" vertical="top" wrapText="1"/>
      <protection/>
    </xf>
    <xf numFmtId="0" fontId="37" fillId="17" borderId="36" xfId="23" applyFont="1" applyFill="1" applyBorder="1" applyAlignment="1">
      <alignment horizontal="center" vertical="top" wrapText="1"/>
      <protection/>
    </xf>
    <xf numFmtId="2" fontId="37" fillId="17" borderId="34" xfId="23" applyNumberFormat="1" applyFont="1" applyFill="1" applyBorder="1" applyAlignment="1">
      <alignment vertical="top"/>
      <protection/>
    </xf>
    <xf numFmtId="164" fontId="37" fillId="17" borderId="34" xfId="23" applyNumberFormat="1" applyFont="1" applyFill="1" applyBorder="1" applyAlignment="1">
      <alignment vertical="top"/>
      <protection/>
    </xf>
    <xf numFmtId="164" fontId="37" fillId="17" borderId="54" xfId="23" applyNumberFormat="1" applyFont="1" applyFill="1" applyBorder="1" applyAlignment="1">
      <alignment horizontal="right" vertical="top" wrapText="1"/>
      <protection/>
    </xf>
    <xf numFmtId="164" fontId="37" fillId="17" borderId="12" xfId="23" applyNumberFormat="1" applyFont="1" applyFill="1" applyBorder="1" applyAlignment="1">
      <alignment vertical="top"/>
      <protection/>
    </xf>
    <xf numFmtId="164" fontId="37" fillId="17" borderId="12" xfId="23" applyNumberFormat="1" applyFont="1" applyFill="1" applyBorder="1" applyAlignment="1">
      <alignment horizontal="right" vertical="top" wrapText="1"/>
      <protection/>
    </xf>
    <xf numFmtId="2" fontId="37" fillId="17" borderId="54" xfId="23" applyNumberFormat="1" applyFont="1" applyFill="1" applyBorder="1" applyAlignment="1">
      <alignment horizontal="right" vertical="top" wrapText="1"/>
      <protection/>
    </xf>
    <xf numFmtId="0" fontId="37" fillId="17" borderId="39" xfId="23" applyFont="1" applyFill="1" applyBorder="1" applyAlignment="1">
      <alignment horizontal="right" vertical="top" wrapText="1"/>
      <protection/>
    </xf>
    <xf numFmtId="2" fontId="37" fillId="17" borderId="12" xfId="23" applyNumberFormat="1" applyFont="1" applyFill="1" applyBorder="1" applyAlignment="1">
      <alignment vertical="top"/>
      <protection/>
    </xf>
    <xf numFmtId="2" fontId="37" fillId="17" borderId="37" xfId="23" applyNumberFormat="1" applyFont="1" applyFill="1" applyBorder="1" applyAlignment="1">
      <alignment horizontal="right" vertical="top" wrapText="1"/>
      <protection/>
    </xf>
    <xf numFmtId="2" fontId="37" fillId="17" borderId="29" xfId="23" applyNumberFormat="1" applyFont="1" applyFill="1" applyBorder="1" applyAlignment="1">
      <alignment vertical="top"/>
      <protection/>
    </xf>
    <xf numFmtId="164" fontId="37" fillId="17" borderId="29" xfId="23" applyNumberFormat="1" applyFont="1" applyFill="1" applyBorder="1" applyAlignment="1">
      <alignment vertical="top"/>
      <protection/>
    </xf>
    <xf numFmtId="164" fontId="37" fillId="17" borderId="29" xfId="23" applyNumberFormat="1" applyFont="1" applyFill="1" applyBorder="1" applyAlignment="1">
      <alignment horizontal="right" vertical="top" wrapText="1"/>
      <protection/>
    </xf>
    <xf numFmtId="165" fontId="37" fillId="17" borderId="45" xfId="23" applyNumberFormat="1" applyFont="1" applyFill="1" applyBorder="1" applyAlignment="1">
      <alignment horizontal="right"/>
      <protection/>
    </xf>
    <xf numFmtId="165" fontId="37" fillId="17" borderId="64" xfId="23" applyNumberFormat="1" applyFont="1" applyFill="1" applyBorder="1" applyAlignment="1">
      <alignment horizontal="right"/>
      <protection/>
    </xf>
    <xf numFmtId="164" fontId="37" fillId="17" borderId="47" xfId="23" applyNumberFormat="1" applyFont="1" applyFill="1" applyBorder="1" applyAlignment="1">
      <alignment horizontal="right"/>
      <protection/>
    </xf>
    <xf numFmtId="0" fontId="37" fillId="17" borderId="53" xfId="23" applyFont="1" applyFill="1" applyBorder="1" applyAlignment="1">
      <alignment horizontal="right" vertical="top" wrapText="1"/>
      <protection/>
    </xf>
    <xf numFmtId="0" fontId="37" fillId="17" borderId="36" xfId="23" applyFont="1" applyFill="1" applyBorder="1" applyAlignment="1">
      <alignment horizontal="right" vertical="top" wrapText="1"/>
      <protection/>
    </xf>
    <xf numFmtId="2" fontId="37" fillId="17" borderId="65" xfId="23" applyNumberFormat="1" applyFont="1" applyFill="1" applyBorder="1" applyAlignment="1">
      <alignment horizontal="right" vertical="top" wrapText="1"/>
      <protection/>
    </xf>
    <xf numFmtId="2" fontId="37" fillId="17" borderId="47" xfId="23" applyNumberFormat="1" applyFont="1" applyFill="1" applyBorder="1" applyAlignment="1">
      <alignment vertical="top"/>
      <protection/>
    </xf>
    <xf numFmtId="164" fontId="37" fillId="17" borderId="47" xfId="23" applyNumberFormat="1" applyFont="1" applyFill="1" applyBorder="1" applyAlignment="1">
      <alignment vertical="top"/>
      <protection/>
    </xf>
    <xf numFmtId="164" fontId="37" fillId="17" borderId="47" xfId="23" applyNumberFormat="1" applyFont="1" applyFill="1" applyBorder="1" applyAlignment="1">
      <alignment horizontal="right" vertical="top" wrapText="1"/>
      <protection/>
    </xf>
    <xf numFmtId="165" fontId="37" fillId="17" borderId="48" xfId="23" applyNumberFormat="1" applyFont="1" applyFill="1" applyBorder="1">
      <alignment/>
      <protection/>
    </xf>
    <xf numFmtId="165" fontId="37" fillId="17" borderId="63" xfId="23" applyNumberFormat="1" applyFont="1" applyFill="1" applyBorder="1">
      <alignment/>
      <protection/>
    </xf>
    <xf numFmtId="164" fontId="37" fillId="17" borderId="48" xfId="23" applyNumberFormat="1" applyFont="1" applyFill="1" applyBorder="1">
      <alignment/>
      <protection/>
    </xf>
    <xf numFmtId="164" fontId="48" fillId="17" borderId="48" xfId="23" applyNumberFormat="1" applyFont="1" applyFill="1" applyBorder="1">
      <alignment/>
      <protection/>
    </xf>
    <xf numFmtId="164" fontId="48" fillId="17" borderId="17" xfId="23" applyNumberFormat="1" applyFont="1" applyFill="1" applyBorder="1">
      <alignment/>
      <protection/>
    </xf>
    <xf numFmtId="165" fontId="48" fillId="17" borderId="21" xfId="23" applyNumberFormat="1" applyFont="1" applyFill="1" applyBorder="1">
      <alignment/>
      <protection/>
    </xf>
    <xf numFmtId="165" fontId="48" fillId="17" borderId="10" xfId="23" applyNumberFormat="1" applyFont="1" applyFill="1" applyBorder="1">
      <alignment/>
      <protection/>
    </xf>
    <xf numFmtId="165" fontId="37" fillId="17" borderId="10" xfId="23" applyNumberFormat="1" applyFont="1" applyFill="1" applyBorder="1">
      <alignment/>
      <protection/>
    </xf>
    <xf numFmtId="165" fontId="37" fillId="17" borderId="31" xfId="23" applyNumberFormat="1" applyFont="1" applyFill="1" applyBorder="1">
      <alignment/>
      <protection/>
    </xf>
    <xf numFmtId="165" fontId="48" fillId="17" borderId="14" xfId="23" applyNumberFormat="1" applyFont="1" applyFill="1" applyBorder="1">
      <alignment/>
      <protection/>
    </xf>
    <xf numFmtId="165" fontId="37" fillId="17" borderId="21" xfId="23" applyNumberFormat="1" applyFont="1" applyFill="1" applyBorder="1" applyAlignment="1">
      <alignment vertical="top"/>
      <protection/>
    </xf>
    <xf numFmtId="165" fontId="48" fillId="17" borderId="14" xfId="23" applyNumberFormat="1" applyFont="1" applyFill="1" applyBorder="1" applyAlignment="1">
      <alignment vertical="top"/>
      <protection/>
    </xf>
    <xf numFmtId="164" fontId="37" fillId="17" borderId="34" xfId="23" applyNumberFormat="1" applyFont="1" applyFill="1" applyBorder="1" applyAlignment="1">
      <alignment horizontal="right" vertical="top" wrapText="1"/>
      <protection/>
    </xf>
    <xf numFmtId="2" fontId="37" fillId="17" borderId="14" xfId="0" applyNumberFormat="1" applyFont="1" applyFill="1" applyBorder="1"/>
    <xf numFmtId="2" fontId="48" fillId="17" borderId="14" xfId="0" applyNumberFormat="1" applyFont="1" applyFill="1" applyBorder="1"/>
    <xf numFmtId="169" fontId="37" fillId="0" borderId="14" xfId="0" applyNumberFormat="1" applyFont="1" applyBorder="1"/>
    <xf numFmtId="164" fontId="37" fillId="17" borderId="23" xfId="22" applyNumberFormat="1" applyFont="1" applyFill="1" applyBorder="1">
      <alignment/>
      <protection/>
    </xf>
    <xf numFmtId="164" fontId="37" fillId="17" borderId="10" xfId="22" applyNumberFormat="1" applyFont="1" applyFill="1" applyBorder="1">
      <alignment/>
      <protection/>
    </xf>
    <xf numFmtId="164" fontId="37" fillId="17" borderId="11" xfId="22" applyNumberFormat="1" applyFont="1" applyFill="1" applyBorder="1">
      <alignment/>
      <protection/>
    </xf>
    <xf numFmtId="164" fontId="48" fillId="17" borderId="14" xfId="22" applyNumberFormat="1" applyFont="1" applyFill="1" applyBorder="1">
      <alignment/>
      <protection/>
    </xf>
    <xf numFmtId="165" fontId="37" fillId="17" borderId="23" xfId="23" applyNumberFormat="1" applyFont="1" applyFill="1" applyBorder="1" applyAlignment="1">
      <alignment vertical="top"/>
      <protection/>
    </xf>
    <xf numFmtId="2" fontId="37" fillId="17" borderId="54" xfId="23" applyNumberFormat="1" applyFont="1" applyFill="1" applyBorder="1" applyAlignment="1">
      <alignment vertical="top"/>
      <protection/>
    </xf>
    <xf numFmtId="2" fontId="37" fillId="17" borderId="12" xfId="23" applyNumberFormat="1" applyFont="1" applyFill="1" applyBorder="1" applyAlignment="1">
      <alignment horizontal="right" vertical="top" wrapText="1"/>
      <protection/>
    </xf>
    <xf numFmtId="2" fontId="37" fillId="17" borderId="65" xfId="23" applyNumberFormat="1" applyFont="1" applyFill="1" applyBorder="1" applyAlignment="1">
      <alignment vertical="top"/>
      <protection/>
    </xf>
    <xf numFmtId="2" fontId="37" fillId="17" borderId="37" xfId="23" applyNumberFormat="1" applyFont="1" applyFill="1" applyBorder="1" applyAlignment="1">
      <alignment vertical="top"/>
      <protection/>
    </xf>
    <xf numFmtId="2" fontId="37" fillId="17" borderId="29" xfId="23" applyNumberFormat="1" applyFont="1" applyFill="1" applyBorder="1" applyAlignment="1">
      <alignment vertical="top"/>
      <protection/>
    </xf>
    <xf numFmtId="0" fontId="3" fillId="0" borderId="14" xfId="0" applyFont="1" applyBorder="1" applyAlignment="1">
      <alignment horizontal="center"/>
    </xf>
    <xf numFmtId="0" fontId="3" fillId="0" borderId="14" xfId="0" applyFont="1" applyBorder="1" applyAlignment="1">
      <alignment horizontal="center" wrapText="1"/>
    </xf>
    <xf numFmtId="166" fontId="0" fillId="17" borderId="17" xfId="23" applyNumberFormat="1" applyFill="1" applyBorder="1">
      <alignment/>
      <protection/>
    </xf>
    <xf numFmtId="4" fontId="48" fillId="17" borderId="15" xfId="23" applyNumberFormat="1" applyFont="1" applyFill="1" applyBorder="1">
      <alignment/>
      <protection/>
    </xf>
    <xf numFmtId="0" fontId="37" fillId="17" borderId="14" xfId="0" applyFont="1" applyFill="1" applyBorder="1"/>
    <xf numFmtId="0" fontId="49" fillId="17" borderId="41" xfId="0" applyFont="1" applyFill="1" applyBorder="1" applyAlignment="1">
      <alignment horizontal="right" vertical="top" wrapText="1"/>
    </xf>
    <xf numFmtId="0" fontId="1" fillId="17" borderId="41" xfId="0" applyFont="1" applyFill="1" applyBorder="1" applyAlignment="1">
      <alignment horizontal="center" vertical="top" wrapText="1"/>
    </xf>
    <xf numFmtId="2" fontId="49" fillId="17" borderId="41" xfId="0" applyNumberFormat="1" applyFont="1" applyFill="1" applyBorder="1" applyAlignment="1">
      <alignment horizontal="right" vertical="top" wrapText="1"/>
    </xf>
    <xf numFmtId="0" fontId="52" fillId="0" borderId="66" xfId="0" applyFont="1" applyBorder="1" applyAlignment="1">
      <alignment horizontal="right" vertical="top" wrapText="1"/>
    </xf>
    <xf numFmtId="0" fontId="1" fillId="0" borderId="66" xfId="0" applyFont="1" applyBorder="1" applyAlignment="1">
      <alignment horizontal="center" vertical="top" wrapText="1"/>
    </xf>
    <xf numFmtId="2" fontId="1" fillId="0" borderId="66" xfId="0" applyNumberFormat="1" applyFont="1" applyBorder="1" applyAlignment="1">
      <alignment horizontal="right" vertical="top" wrapText="1"/>
    </xf>
    <xf numFmtId="2" fontId="49" fillId="17" borderId="66" xfId="0" applyNumberFormat="1" applyFont="1" applyFill="1" applyBorder="1" applyAlignment="1">
      <alignment horizontal="right" vertical="top" wrapText="1"/>
    </xf>
    <xf numFmtId="0" fontId="1" fillId="17" borderId="66" xfId="0" applyFont="1" applyFill="1" applyBorder="1" applyAlignment="1">
      <alignment horizontal="center" vertical="top" wrapText="1"/>
    </xf>
    <xf numFmtId="2" fontId="1" fillId="17" borderId="66" xfId="0" applyNumberFormat="1" applyFont="1" applyFill="1" applyBorder="1" applyAlignment="1">
      <alignment horizontal="right" vertical="top" wrapText="1"/>
    </xf>
    <xf numFmtId="2" fontId="52" fillId="0" borderId="66" xfId="0" applyNumberFormat="1" applyFont="1" applyBorder="1" applyAlignment="1">
      <alignment vertical="top" wrapText="1"/>
    </xf>
    <xf numFmtId="2" fontId="1" fillId="17" borderId="41" xfId="0" applyNumberFormat="1" applyFont="1" applyFill="1" applyBorder="1" applyAlignment="1">
      <alignment horizontal="right" vertical="top" wrapText="1"/>
    </xf>
    <xf numFmtId="2" fontId="37" fillId="17" borderId="67" xfId="23" applyNumberFormat="1" applyFont="1" applyFill="1" applyBorder="1" applyAlignment="1">
      <alignment horizontal="right" vertical="top" wrapText="1"/>
      <protection/>
    </xf>
    <xf numFmtId="2" fontId="37" fillId="17" borderId="63" xfId="23" applyNumberFormat="1" applyFont="1" applyFill="1" applyBorder="1" applyAlignment="1">
      <alignment vertical="top"/>
      <protection/>
    </xf>
    <xf numFmtId="164" fontId="37" fillId="17" borderId="63" xfId="23" applyNumberFormat="1" applyFont="1" applyFill="1" applyBorder="1" applyAlignment="1">
      <alignment vertical="top"/>
      <protection/>
    </xf>
    <xf numFmtId="164" fontId="37" fillId="17" borderId="49" xfId="23" applyNumberFormat="1" applyFont="1" applyFill="1" applyBorder="1" applyAlignment="1">
      <alignment vertical="top"/>
      <protection/>
    </xf>
    <xf numFmtId="164" fontId="37" fillId="17" borderId="41" xfId="23" applyNumberFormat="1" applyFont="1" applyFill="1" applyBorder="1" applyAlignment="1">
      <alignment horizontal="right" vertical="top" wrapText="1"/>
      <protection/>
    </xf>
    <xf numFmtId="0" fontId="37" fillId="17" borderId="16" xfId="23" applyFont="1" applyFill="1" applyBorder="1" applyAlignment="1">
      <alignment horizontal="center" vertical="top" wrapText="1"/>
      <protection/>
    </xf>
    <xf numFmtId="0" fontId="37" fillId="17" borderId="43" xfId="23" applyFont="1" applyFill="1" applyBorder="1" applyAlignment="1">
      <alignment horizontal="center" vertical="top" wrapText="1"/>
      <protection/>
    </xf>
    <xf numFmtId="164" fontId="37" fillId="17" borderId="43" xfId="23" applyNumberFormat="1" applyFont="1" applyFill="1" applyBorder="1" applyAlignment="1">
      <alignment horizontal="center" vertical="top"/>
      <protection/>
    </xf>
    <xf numFmtId="164" fontId="37" fillId="17" borderId="43" xfId="23" applyNumberFormat="1" applyFont="1" applyFill="1" applyBorder="1" applyAlignment="1">
      <alignment horizontal="center" vertical="top" wrapText="1"/>
      <protection/>
    </xf>
    <xf numFmtId="164" fontId="37" fillId="17" borderId="15" xfId="23" applyNumberFormat="1" applyFont="1" applyFill="1" applyBorder="1" applyAlignment="1">
      <alignment horizontal="center" vertical="top"/>
      <protection/>
    </xf>
    <xf numFmtId="2" fontId="37" fillId="17" borderId="16" xfId="23" applyNumberFormat="1" applyFont="1" applyFill="1" applyBorder="1" applyAlignment="1">
      <alignment horizontal="right" vertical="top" wrapText="1"/>
      <protection/>
    </xf>
    <xf numFmtId="164" fontId="37" fillId="17" borderId="15" xfId="23" applyNumberFormat="1" applyFont="1" applyFill="1" applyBorder="1" applyAlignment="1">
      <alignment vertical="top"/>
      <protection/>
    </xf>
    <xf numFmtId="0" fontId="37" fillId="0" borderId="53" xfId="23" applyFont="1" applyBorder="1" applyAlignment="1">
      <alignment horizontal="right" vertical="top" wrapText="1"/>
      <protection/>
    </xf>
    <xf numFmtId="0" fontId="37" fillId="0" borderId="36" xfId="23" applyFont="1" applyBorder="1" applyAlignment="1">
      <alignment horizontal="right" vertical="top" wrapText="1"/>
      <protection/>
    </xf>
    <xf numFmtId="2" fontId="37" fillId="0" borderId="34" xfId="23" applyNumberFormat="1" applyFont="1" applyBorder="1" applyAlignment="1">
      <alignment vertical="top"/>
      <protection/>
    </xf>
    <xf numFmtId="168" fontId="37" fillId="0" borderId="34" xfId="24" applyNumberFormat="1" applyFont="1" applyFill="1" applyBorder="1" applyAlignment="1">
      <alignment vertical="top"/>
    </xf>
    <xf numFmtId="2" fontId="37" fillId="0" borderId="29" xfId="23" applyNumberFormat="1" applyFont="1" applyBorder="1" applyAlignment="1">
      <alignment vertical="top"/>
      <protection/>
    </xf>
    <xf numFmtId="164" fontId="37" fillId="0" borderId="29" xfId="23" applyNumberFormat="1" applyFont="1" applyBorder="1" applyAlignment="1">
      <alignment vertical="top"/>
      <protection/>
    </xf>
    <xf numFmtId="164" fontId="37" fillId="0" borderId="29" xfId="23" applyNumberFormat="1" applyFont="1" applyBorder="1" applyAlignment="1">
      <alignment horizontal="right" vertical="top" wrapText="1"/>
      <protection/>
    </xf>
    <xf numFmtId="2" fontId="48" fillId="17" borderId="34" xfId="23" applyNumberFormat="1" applyFont="1" applyFill="1" applyBorder="1" applyAlignment="1">
      <alignment horizontal="right" vertical="top" wrapText="1"/>
      <protection/>
    </xf>
    <xf numFmtId="2" fontId="37" fillId="0" borderId="34" xfId="23" applyNumberFormat="1" applyFont="1" applyBorder="1" applyAlignment="1">
      <alignment horizontal="right" vertical="top" wrapText="1"/>
      <protection/>
    </xf>
    <xf numFmtId="164" fontId="37" fillId="0" borderId="34" xfId="23" applyNumberFormat="1" applyFont="1" applyBorder="1" applyAlignment="1">
      <alignment horizontal="right" vertical="top" wrapText="1"/>
      <protection/>
    </xf>
    <xf numFmtId="2" fontId="37" fillId="0" borderId="37" xfId="23" applyNumberFormat="1" applyFont="1" applyBorder="1" applyAlignment="1">
      <alignment horizontal="right" vertical="top" wrapText="1"/>
      <protection/>
    </xf>
    <xf numFmtId="170" fontId="37" fillId="0" borderId="29" xfId="23" applyNumberFormat="1" applyFont="1" applyBorder="1" applyAlignment="1">
      <alignment vertical="top"/>
      <protection/>
    </xf>
    <xf numFmtId="9" fontId="37" fillId="0" borderId="29" xfId="23" applyNumberFormat="1" applyFont="1" applyBorder="1" applyAlignment="1">
      <alignment horizontal="right" vertical="top" wrapText="1"/>
      <protection/>
    </xf>
    <xf numFmtId="164" fontId="37" fillId="0" borderId="38" xfId="23" applyNumberFormat="1" applyFont="1" applyBorder="1" applyAlignment="1">
      <alignment vertical="top"/>
      <protection/>
    </xf>
    <xf numFmtId="164" fontId="37" fillId="0" borderId="36" xfId="23" applyNumberFormat="1" applyFont="1" applyBorder="1" applyAlignment="1">
      <alignment vertical="top"/>
      <protection/>
    </xf>
    <xf numFmtId="2" fontId="37" fillId="0" borderId="40" xfId="23" applyNumberFormat="1" applyFont="1" applyBorder="1" applyAlignment="1">
      <alignment vertical="top"/>
      <protection/>
    </xf>
    <xf numFmtId="164" fontId="37" fillId="0" borderId="40" xfId="23" applyNumberFormat="1" applyFont="1" applyBorder="1" applyAlignment="1">
      <alignment vertical="top"/>
      <protection/>
    </xf>
    <xf numFmtId="164" fontId="37" fillId="0" borderId="28" xfId="23" applyNumberFormat="1" applyFont="1" applyBorder="1" applyAlignment="1">
      <alignment vertical="top"/>
      <protection/>
    </xf>
    <xf numFmtId="164" fontId="37" fillId="17" borderId="22" xfId="23" applyNumberFormat="1" applyFont="1" applyFill="1" applyBorder="1" applyAlignment="1">
      <alignment horizontal="right" vertical="top" wrapText="1"/>
      <protection/>
    </xf>
    <xf numFmtId="164" fontId="37" fillId="17" borderId="19" xfId="23" applyNumberFormat="1" applyFont="1" applyFill="1" applyBorder="1" applyAlignment="1">
      <alignment horizontal="right" vertical="top" wrapText="1"/>
      <protection/>
    </xf>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0" xfId="21" applyFont="1" applyFill="1" applyBorder="1" applyAlignment="1">
      <alignment horizontal="center" vertical="top" wrapText="1"/>
    </xf>
    <xf numFmtId="0" fontId="8" fillId="0" borderId="0" xfId="0" applyFont="1" applyAlignment="1">
      <alignment horizontal="left" vertical="top" wrapText="1"/>
    </xf>
    <xf numFmtId="0" fontId="9" fillId="0" borderId="0" xfId="20" applyFont="1" applyFill="1" applyBorder="1" applyAlignment="1">
      <alignment horizontal="left" vertical="top" wrapText="1"/>
    </xf>
    <xf numFmtId="0" fontId="48" fillId="0" borderId="68" xfId="23" applyFont="1" applyBorder="1" applyAlignment="1">
      <alignment horizontal="center" vertical="center"/>
      <protection/>
    </xf>
    <xf numFmtId="0" fontId="48" fillId="0" borderId="24" xfId="23" applyFont="1" applyBorder="1" applyAlignment="1">
      <alignment horizontal="center" vertical="center"/>
      <protection/>
    </xf>
    <xf numFmtId="0" fontId="48" fillId="0" borderId="51" xfId="23" applyFont="1" applyBorder="1" applyAlignment="1">
      <alignment vertical="top"/>
      <protection/>
    </xf>
    <xf numFmtId="0" fontId="37" fillId="0" borderId="20" xfId="23" applyFont="1" applyBorder="1" applyAlignment="1">
      <alignment vertical="top"/>
      <protection/>
    </xf>
    <xf numFmtId="0" fontId="48" fillId="0" borderId="57" xfId="23" applyFont="1" applyBorder="1" applyAlignment="1">
      <alignment horizontal="center" vertical="top"/>
      <protection/>
    </xf>
    <xf numFmtId="0" fontId="37" fillId="0" borderId="48" xfId="23" applyFont="1" applyBorder="1" applyAlignment="1">
      <alignment horizontal="center" vertical="top"/>
      <protection/>
    </xf>
    <xf numFmtId="0" fontId="48" fillId="0" borderId="59" xfId="23" applyFont="1" applyBorder="1" applyAlignment="1">
      <alignment horizontal="center" vertical="top"/>
      <protection/>
    </xf>
    <xf numFmtId="0" fontId="37" fillId="0" borderId="17" xfId="23" applyFont="1" applyBorder="1" applyAlignment="1">
      <alignment horizontal="center" vertical="top"/>
      <protection/>
    </xf>
    <xf numFmtId="0" fontId="48" fillId="0" borderId="50" xfId="23" applyFont="1" applyBorder="1" applyAlignment="1">
      <alignment horizontal="center" vertical="center"/>
      <protection/>
    </xf>
    <xf numFmtId="0" fontId="48" fillId="0" borderId="26" xfId="23" applyFont="1" applyBorder="1" applyAlignment="1">
      <alignment horizontal="center" vertical="center"/>
      <protection/>
    </xf>
    <xf numFmtId="0" fontId="3" fillId="0" borderId="68" xfId="23" applyFont="1" applyBorder="1" applyAlignment="1">
      <alignment horizontal="center" vertical="center"/>
      <protection/>
    </xf>
    <xf numFmtId="0" fontId="3" fillId="0" borderId="24" xfId="23" applyFont="1" applyBorder="1" applyAlignment="1">
      <alignment horizontal="center" vertical="center"/>
      <protection/>
    </xf>
    <xf numFmtId="0" fontId="3" fillId="0" borderId="51" xfId="23" applyFont="1" applyBorder="1" applyAlignment="1">
      <alignment vertical="top"/>
      <protection/>
    </xf>
    <xf numFmtId="0" fontId="0" fillId="0" borderId="20" xfId="23" applyBorder="1" applyAlignment="1">
      <alignment vertical="top"/>
      <protection/>
    </xf>
    <xf numFmtId="0" fontId="3" fillId="0" borderId="57" xfId="23" applyFont="1" applyBorder="1" applyAlignment="1">
      <alignment horizontal="center" vertical="top"/>
      <protection/>
    </xf>
    <xf numFmtId="0" fontId="0" fillId="0" borderId="48" xfId="23" applyBorder="1" applyAlignment="1">
      <alignment horizontal="center" vertical="top"/>
      <protection/>
    </xf>
    <xf numFmtId="0" fontId="3" fillId="0" borderId="59" xfId="23" applyFont="1" applyBorder="1" applyAlignment="1">
      <alignment horizontal="center" vertical="top"/>
      <protection/>
    </xf>
    <xf numFmtId="0" fontId="0" fillId="0" borderId="17" xfId="23" applyBorder="1" applyAlignment="1">
      <alignment horizontal="center" vertical="top"/>
      <protection/>
    </xf>
    <xf numFmtId="0" fontId="3" fillId="0" borderId="50" xfId="23" applyFont="1" applyBorder="1" applyAlignment="1">
      <alignment horizontal="center" vertical="center"/>
      <protection/>
    </xf>
    <xf numFmtId="0" fontId="3" fillId="0" borderId="26" xfId="23" applyFont="1" applyBorder="1" applyAlignment="1">
      <alignment horizontal="center" vertical="center"/>
      <protection/>
    </xf>
    <xf numFmtId="0" fontId="0" fillId="0" borderId="0" xfId="23" applyFont="1" applyAlignment="1">
      <alignment horizontal="left" vertical="top" wrapText="1"/>
      <protection/>
    </xf>
    <xf numFmtId="0" fontId="43" fillId="0" borderId="51" xfId="0" applyFont="1" applyBorder="1" applyAlignment="1">
      <alignment horizontal="justify" vertical="top" wrapText="1"/>
    </xf>
    <xf numFmtId="0" fontId="43" fillId="0" borderId="20" xfId="0" applyFont="1" applyBorder="1" applyAlignment="1">
      <alignment horizontal="justify" vertical="top" wrapText="1"/>
    </xf>
    <xf numFmtId="0" fontId="44" fillId="0" borderId="51" xfId="0" applyFont="1" applyBorder="1" applyAlignment="1">
      <alignment horizontal="center" vertical="top" wrapText="1"/>
    </xf>
    <xf numFmtId="0" fontId="44" fillId="0" borderId="20" xfId="0" applyFont="1" applyBorder="1" applyAlignment="1">
      <alignment horizontal="center" vertical="top" wrapText="1"/>
    </xf>
    <xf numFmtId="0" fontId="3" fillId="0" borderId="57" xfId="23" applyFont="1" applyBorder="1" applyAlignment="1">
      <alignment horizontal="center"/>
      <protection/>
    </xf>
    <xf numFmtId="0" fontId="3" fillId="0" borderId="48" xfId="23" applyFont="1" applyBorder="1" applyAlignment="1">
      <alignment horizontal="center"/>
      <protection/>
    </xf>
    <xf numFmtId="0" fontId="3" fillId="0" borderId="51" xfId="23" applyFont="1" applyBorder="1" applyAlignment="1">
      <alignment horizontal="center"/>
      <protection/>
    </xf>
    <xf numFmtId="0" fontId="3" fillId="0" borderId="20" xfId="23" applyFont="1" applyBorder="1" applyAlignment="1">
      <alignment horizontal="center"/>
      <protection/>
    </xf>
    <xf numFmtId="0" fontId="3" fillId="0" borderId="33" xfId="23" applyFont="1" applyBorder="1" applyAlignment="1">
      <alignment horizontal="center" vertical="top"/>
      <protection/>
    </xf>
    <xf numFmtId="0" fontId="3" fillId="0" borderId="34" xfId="23" applyFont="1" applyBorder="1" applyAlignment="1">
      <alignment horizontal="center" vertical="top"/>
      <protection/>
    </xf>
    <xf numFmtId="0" fontId="3" fillId="0" borderId="51" xfId="23" applyFont="1" applyBorder="1" applyAlignment="1">
      <alignment horizontal="center" vertical="top"/>
      <protection/>
    </xf>
    <xf numFmtId="0" fontId="3" fillId="0" borderId="52" xfId="23" applyFont="1" applyBorder="1" applyAlignment="1">
      <alignment horizontal="center" vertical="top"/>
      <protection/>
    </xf>
    <xf numFmtId="0" fontId="3" fillId="0" borderId="20" xfId="23" applyFont="1" applyBorder="1" applyAlignment="1">
      <alignment horizontal="center" vertical="top"/>
      <protection/>
    </xf>
    <xf numFmtId="0" fontId="3" fillId="0" borderId="59" xfId="23" applyFont="1" applyBorder="1" applyAlignment="1">
      <alignment horizontal="center" vertical="top" wrapText="1"/>
      <protection/>
    </xf>
    <xf numFmtId="0" fontId="3" fillId="0" borderId="34" xfId="23" applyFont="1" applyBorder="1" applyAlignment="1">
      <alignment horizontal="center" vertical="top" wrapText="1"/>
      <protection/>
    </xf>
    <xf numFmtId="0" fontId="3" fillId="0" borderId="52" xfId="23" applyFont="1" applyBorder="1" applyAlignment="1">
      <alignment horizontal="center"/>
      <protection/>
    </xf>
    <xf numFmtId="0" fontId="3" fillId="0" borderId="57" xfId="23" applyFont="1" applyBorder="1" applyAlignment="1">
      <alignment horizontal="center" vertical="top" wrapText="1"/>
      <protection/>
    </xf>
    <xf numFmtId="0" fontId="3" fillId="0" borderId="33" xfId="23" applyFont="1" applyBorder="1" applyAlignment="1">
      <alignment horizontal="center" vertical="top" wrapText="1"/>
      <protection/>
    </xf>
    <xf numFmtId="0" fontId="3" fillId="0" borderId="58" xfId="23" applyFont="1" applyBorder="1" applyAlignment="1">
      <alignment horizontal="center" vertical="top" wrapText="1"/>
      <protection/>
    </xf>
    <xf numFmtId="0" fontId="3" fillId="0" borderId="36" xfId="23" applyFont="1" applyBorder="1" applyAlignment="1">
      <alignment horizontal="center" vertical="top" wrapText="1"/>
      <protection/>
    </xf>
    <xf numFmtId="0" fontId="3" fillId="0" borderId="51" xfId="23" applyFont="1" applyBorder="1" applyAlignment="1">
      <alignment horizontal="left" vertical="top"/>
      <protection/>
    </xf>
    <xf numFmtId="0" fontId="3" fillId="0" borderId="52" xfId="23" applyFont="1" applyBorder="1" applyAlignment="1">
      <alignment horizontal="left" vertical="top"/>
      <protection/>
    </xf>
    <xf numFmtId="0" fontId="3" fillId="0" borderId="20" xfId="23" applyFont="1" applyBorder="1" applyAlignment="1">
      <alignment horizontal="left" vertical="top"/>
      <protection/>
    </xf>
    <xf numFmtId="0" fontId="0" fillId="0" borderId="51" xfId="23" applyBorder="1" applyAlignment="1">
      <alignment horizontal="center"/>
      <protection/>
    </xf>
    <xf numFmtId="0" fontId="0" fillId="0" borderId="20" xfId="23" applyBorder="1" applyAlignment="1">
      <alignment horizontal="center"/>
      <protection/>
    </xf>
    <xf numFmtId="0" fontId="3" fillId="0" borderId="27" xfId="23" applyFont="1" applyBorder="1" applyAlignment="1">
      <alignment horizontal="center"/>
      <protection/>
    </xf>
    <xf numFmtId="0" fontId="3" fillId="0" borderId="28" xfId="23" applyFont="1" applyBorder="1" applyAlignment="1">
      <alignment horizontal="center"/>
      <protection/>
    </xf>
    <xf numFmtId="0" fontId="3" fillId="0" borderId="29" xfId="23" applyFont="1" applyBorder="1" applyAlignment="1">
      <alignment horizontal="center"/>
      <protection/>
    </xf>
    <xf numFmtId="0" fontId="53" fillId="18" borderId="39" xfId="0" applyFont="1" applyFill="1" applyBorder="1" applyAlignment="1">
      <alignment horizontal="left" vertical="top" wrapText="1"/>
    </xf>
    <xf numFmtId="0" fontId="37" fillId="18" borderId="0" xfId="0" applyFont="1" applyFill="1"/>
  </cellXfs>
  <cellStyles count="42">
    <cellStyle name="Normal" xfId="0"/>
    <cellStyle name="Percent" xfId="15"/>
    <cellStyle name="Currency" xfId="16"/>
    <cellStyle name="Currency [0]" xfId="17"/>
    <cellStyle name="Comma" xfId="18"/>
    <cellStyle name="Comma [0]" xfId="19"/>
    <cellStyle name="Nadpis 1" xfId="20"/>
    <cellStyle name="Hypertextové prepojenie" xfId="21"/>
    <cellStyle name="Standard 2" xfId="22"/>
    <cellStyle name="Standard 2 2" xfId="23"/>
    <cellStyle name="Percentá" xfId="24"/>
    <cellStyle name="Titul" xfId="25"/>
    <cellStyle name="Standard 5" xfId="26"/>
    <cellStyle name="Akzent1 2" xfId="27"/>
    <cellStyle name="Akzent2 2" xfId="28"/>
    <cellStyle name="Akzent3 2" xfId="29"/>
    <cellStyle name="Akzent4 2" xfId="30"/>
    <cellStyle name="Akzent5 2" xfId="31"/>
    <cellStyle name="Akzent6 2" xfId="32"/>
    <cellStyle name="Ausgabe 2" xfId="33"/>
    <cellStyle name="Berechnung 2" xfId="34"/>
    <cellStyle name="Eingabe 2" xfId="35"/>
    <cellStyle name="Ergebnis 2" xfId="36"/>
    <cellStyle name="Erklärender Text 2" xfId="37"/>
    <cellStyle name="Gut 2" xfId="38"/>
    <cellStyle name="Neutral 2" xfId="39"/>
    <cellStyle name="Notiz 2" xfId="40"/>
    <cellStyle name="Schlecht 2" xfId="41"/>
    <cellStyle name="Standard 2 3" xfId="42"/>
    <cellStyle name="Standard 3" xfId="43"/>
    <cellStyle name="Standard 4" xfId="44"/>
    <cellStyle name="Überschrift 1 2" xfId="45"/>
    <cellStyle name="Überschrift 2 2" xfId="46"/>
    <cellStyle name="Überschrift 3 2" xfId="47"/>
    <cellStyle name="Überschrift 4 2" xfId="48"/>
    <cellStyle name="Verknüpfte Zelle 2" xfId="49"/>
    <cellStyle name="Warnender Text 2" xfId="50"/>
    <cellStyle name="Zelle überprüfen 2" xfId="51"/>
    <cellStyle name="Standard 6" xfId="52"/>
    <cellStyle name="Standard 2 5" xfId="53"/>
    <cellStyle name="Standard 6 2" xfId="54"/>
    <cellStyle name="Standard 2 4" xfId="55"/>
  </cellStyles>
  <dxfs count="356">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
      <font>
        <color rgb="FF006600"/>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9525</xdr:rowOff>
    </xdr:from>
    <xdr:ext cx="3238500" cy="361950"/>
    <xdr:sp macro="" textlink="">
      <xdr:nvSpPr>
        <xdr:cNvPr id="2" name="TextBox 1"/>
        <xdr:cNvSpPr txBox="1"/>
      </xdr:nvSpPr>
      <xdr:spPr>
        <a:xfrm>
          <a:off x="19050" y="466725"/>
          <a:ext cx="3238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Directorate E: Sectoral and regional statistics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lumMod val="50000"/>
                  <a:lumOff val="50000"/>
                </a:sysClr>
              </a:solidFill>
              <a:effectLst/>
              <a:uLnTx/>
              <a:uFillTx/>
              <a:latin typeface="Arial" panose="020B0604020202020204" pitchFamily="34" charset="0"/>
              <a:ea typeface="+mn-ea"/>
              <a:cs typeface="Arial" panose="020B0604020202020204" pitchFamily="34" charset="0"/>
            </a:rPr>
            <a:t>Unit E1: Agriculture and fisheries</a:t>
          </a:r>
        </a:p>
      </xdr:txBody>
    </xdr:sp>
    <xdr:clientData/>
  </xdr:oneCellAnchor>
  <xdr:twoCellAnchor editAs="absolute">
    <xdr:from>
      <xdr:col>9</xdr:col>
      <xdr:colOff>276225</xdr:colOff>
      <xdr:row>2</xdr:row>
      <xdr:rowOff>0</xdr:rowOff>
    </xdr:from>
    <xdr:to>
      <xdr:col>13</xdr:col>
      <xdr:colOff>485775</xdr:colOff>
      <xdr:row>3</xdr:row>
      <xdr:rowOff>133350</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771900" y="304800"/>
          <a:ext cx="2238375" cy="285750"/>
        </a:xfrm>
        <a:prstGeom prst="rect">
          <a:avLst/>
        </a:prstGeom>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6.vml" /><Relationship Id="rId3"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7.vml" /><Relationship Id="rId3" Type="http://schemas.openxmlformats.org/officeDocument/2006/relationships/printerSettings" Target="../printerSettings/printerSettings2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8.vml" /><Relationship Id="rId3" Type="http://schemas.openxmlformats.org/officeDocument/2006/relationships/printerSettings" Target="../printerSettings/printerSettings33.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9.vml" /><Relationship Id="rId3" Type="http://schemas.openxmlformats.org/officeDocument/2006/relationships/printerSettings" Target="../printerSettings/printerSettings3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N20"/>
  <sheetViews>
    <sheetView showGridLines="0" zoomScale="130" zoomScaleNormal="130" workbookViewId="0" topLeftCell="A10">
      <selection activeCell="B18" sqref="B18:N18"/>
    </sheetView>
  </sheetViews>
  <sheetFormatPr defaultColWidth="0" defaultRowHeight="15"/>
  <cols>
    <col min="1" max="1" width="1.28515625" style="2" customWidth="1"/>
    <col min="2" max="2" width="10.57421875" style="2" customWidth="1"/>
    <col min="3" max="8" width="5.7109375" style="2" customWidth="1"/>
    <col min="9" max="9" width="6.28125" style="2" customWidth="1"/>
    <col min="10" max="10" width="4.57421875" style="2" customWidth="1"/>
    <col min="11" max="11" width="5.00390625" style="2" customWidth="1"/>
    <col min="12" max="12" width="11.7109375" style="2" customWidth="1"/>
    <col min="13" max="14" width="9.140625" style="2" customWidth="1"/>
    <col min="15" max="15" width="1.57421875" style="2" customWidth="1"/>
    <col min="16" max="16384" width="9.140625" style="2" hidden="1" customWidth="1"/>
  </cols>
  <sheetData>
    <row r="1" ht="12"/>
    <row r="2" ht="12"/>
    <row r="3" ht="12"/>
    <row r="4" ht="12"/>
    <row r="5" ht="12"/>
    <row r="6" ht="12"/>
    <row r="10" spans="2:14" s="3" customFormat="1" ht="51.75" customHeight="1">
      <c r="B10" s="538" t="s">
        <v>457</v>
      </c>
      <c r="C10" s="539"/>
      <c r="D10" s="539"/>
      <c r="E10" s="539"/>
      <c r="F10" s="539"/>
      <c r="G10" s="539"/>
      <c r="H10" s="539"/>
      <c r="I10" s="539"/>
      <c r="J10" s="539"/>
      <c r="K10" s="539"/>
      <c r="L10" s="539"/>
      <c r="M10" s="539"/>
      <c r="N10" s="539"/>
    </row>
    <row r="12" spans="2:14" ht="24" customHeight="1">
      <c r="B12" s="542" t="s">
        <v>14</v>
      </c>
      <c r="C12" s="542"/>
      <c r="D12" s="542"/>
      <c r="E12" s="542"/>
      <c r="F12" s="542"/>
      <c r="G12" s="542"/>
      <c r="H12" s="542"/>
      <c r="I12" s="542"/>
      <c r="J12" s="542"/>
      <c r="K12" s="542"/>
      <c r="L12" s="542"/>
      <c r="M12" s="542"/>
      <c r="N12" s="542"/>
    </row>
    <row r="13" spans="2:14" ht="62.25" customHeight="1">
      <c r="B13" s="541" t="s">
        <v>458</v>
      </c>
      <c r="C13" s="541"/>
      <c r="D13" s="541"/>
      <c r="E13" s="541"/>
      <c r="F13" s="541"/>
      <c r="G13" s="541"/>
      <c r="H13" s="541"/>
      <c r="I13" s="541"/>
      <c r="J13" s="541"/>
      <c r="K13" s="541"/>
      <c r="L13" s="541"/>
      <c r="M13" s="541"/>
      <c r="N13" s="541"/>
    </row>
    <row r="14" spans="2:14" ht="15" customHeight="1">
      <c r="B14" s="541"/>
      <c r="C14" s="541"/>
      <c r="D14" s="541"/>
      <c r="E14" s="541"/>
      <c r="F14" s="541"/>
      <c r="G14" s="541"/>
      <c r="H14" s="541"/>
      <c r="I14" s="541"/>
      <c r="J14" s="541"/>
      <c r="K14" s="541"/>
      <c r="L14" s="541"/>
      <c r="M14" s="541"/>
      <c r="N14" s="541"/>
    </row>
    <row r="15" spans="2:14" ht="28.5" customHeight="1">
      <c r="B15" s="541" t="s">
        <v>18</v>
      </c>
      <c r="C15" s="541"/>
      <c r="D15" s="541"/>
      <c r="E15" s="541"/>
      <c r="F15" s="541"/>
      <c r="G15" s="541"/>
      <c r="H15" s="541"/>
      <c r="I15" s="541"/>
      <c r="J15" s="541"/>
      <c r="K15" s="541"/>
      <c r="L15" s="541"/>
      <c r="M15" s="541"/>
      <c r="N15" s="541"/>
    </row>
    <row r="16" spans="2:14" ht="24.75" customHeight="1">
      <c r="B16" s="541"/>
      <c r="C16" s="541"/>
      <c r="D16" s="541"/>
      <c r="E16" s="541"/>
      <c r="F16" s="541"/>
      <c r="G16" s="541"/>
      <c r="H16" s="541"/>
      <c r="I16" s="541"/>
      <c r="J16" s="541"/>
      <c r="K16" s="541"/>
      <c r="L16" s="541"/>
      <c r="M16" s="541"/>
      <c r="N16" s="541"/>
    </row>
    <row r="17" spans="2:14" ht="23.25" customHeight="1">
      <c r="B17" s="542" t="s">
        <v>15</v>
      </c>
      <c r="C17" s="542"/>
      <c r="D17" s="542"/>
      <c r="E17" s="542"/>
      <c r="F17" s="542"/>
      <c r="G17" s="542"/>
      <c r="H17" s="542"/>
      <c r="I17" s="542"/>
      <c r="J17" s="542"/>
      <c r="K17" s="542"/>
      <c r="L17" s="542"/>
      <c r="M17" s="542"/>
      <c r="N17" s="542"/>
    </row>
    <row r="18" spans="2:14" ht="131.25" customHeight="1">
      <c r="B18" s="541" t="s">
        <v>19</v>
      </c>
      <c r="C18" s="541"/>
      <c r="D18" s="541"/>
      <c r="E18" s="541"/>
      <c r="F18" s="541"/>
      <c r="G18" s="541"/>
      <c r="H18" s="541"/>
      <c r="I18" s="541"/>
      <c r="J18" s="541"/>
      <c r="K18" s="541"/>
      <c r="L18" s="541"/>
      <c r="M18" s="541"/>
      <c r="N18" s="541"/>
    </row>
    <row r="19" spans="2:14" ht="61.5" customHeight="1">
      <c r="B19" s="541"/>
      <c r="C19" s="541"/>
      <c r="D19" s="541"/>
      <c r="E19" s="541"/>
      <c r="F19" s="541"/>
      <c r="G19" s="541"/>
      <c r="H19" s="541"/>
      <c r="I19" s="541"/>
      <c r="J19" s="541"/>
      <c r="K19" s="541"/>
      <c r="L19" s="541"/>
      <c r="M19" s="541"/>
      <c r="N19" s="541"/>
    </row>
    <row r="20" spans="2:14" ht="174.75" customHeight="1">
      <c r="B20" s="540" t="s">
        <v>16</v>
      </c>
      <c r="C20" s="540"/>
      <c r="D20" s="540"/>
      <c r="E20" s="540"/>
      <c r="F20" s="540"/>
      <c r="G20" s="540"/>
      <c r="H20" s="540"/>
      <c r="I20" s="540"/>
      <c r="J20" s="540"/>
      <c r="K20" s="540"/>
      <c r="L20" s="540"/>
      <c r="M20" s="540"/>
      <c r="N20" s="540"/>
    </row>
  </sheetData>
  <mergeCells count="10">
    <mergeCell ref="B10:N10"/>
    <mergeCell ref="B20:N20"/>
    <mergeCell ref="B18:N18"/>
    <mergeCell ref="B19:N19"/>
    <mergeCell ref="B12:N12"/>
    <mergeCell ref="B13:N13"/>
    <mergeCell ref="B14:N14"/>
    <mergeCell ref="B15:N15"/>
    <mergeCell ref="B16:N16"/>
    <mergeCell ref="B17:N17"/>
  </mergeCells>
  <hyperlinks>
    <hyperlink ref="B20" r:id="rId1" display="ESTAT-EAP@ec.europa.eu"/>
    <hyperlink ref="B20:K20" r:id="rId2" tooltip="E-mail" display="CONTACT for doubts on filling table: ESTAT-EAP@ec.europa.eu"/>
  </hyperlinks>
  <printOptions/>
  <pageMargins left="0.7" right="0.7" top="0.75" bottom="0.75" header="0.3" footer="0.3"/>
  <pageSetup horizontalDpi="600" verticalDpi="600" orientation="portrait" paperSize="9" scale="95"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10" ht="18.75">
      <c r="B1" s="6" t="s">
        <v>55</v>
      </c>
      <c r="J1" s="6"/>
    </row>
    <row r="2" ht="4.5" customHeight="1"/>
    <row r="3" spans="2:10" ht="15">
      <c r="B3" s="283" t="s">
        <v>439</v>
      </c>
      <c r="C3" s="4" t="s">
        <v>56</v>
      </c>
      <c r="J3" s="7"/>
    </row>
    <row r="4" spans="2:10" ht="15">
      <c r="B4" s="27" t="s">
        <v>366</v>
      </c>
      <c r="C4" s="4" t="s">
        <v>376</v>
      </c>
      <c r="J4" s="27"/>
    </row>
    <row r="5" spans="2:3" ht="14.25" customHeight="1">
      <c r="B5" s="274" t="s">
        <v>460</v>
      </c>
      <c r="C5" s="4" t="s">
        <v>372</v>
      </c>
    </row>
    <row r="6" ht="14.25" customHeight="1" thickBot="1"/>
    <row r="7" spans="2:4" ht="16.5" customHeight="1" thickBot="1">
      <c r="B7" s="111"/>
      <c r="C7" s="112" t="s">
        <v>3</v>
      </c>
      <c r="D7" s="8"/>
    </row>
    <row r="8" spans="1:3" ht="15">
      <c r="A8" s="9">
        <v>1</v>
      </c>
      <c r="B8" s="102" t="s">
        <v>0</v>
      </c>
      <c r="C8" s="374">
        <v>531.3466441524</v>
      </c>
    </row>
    <row r="9" spans="1:3" ht="15">
      <c r="A9" s="9">
        <v>2</v>
      </c>
      <c r="B9" s="10" t="s">
        <v>8</v>
      </c>
      <c r="C9" s="379"/>
    </row>
    <row r="10" spans="1:3" ht="15">
      <c r="A10" s="9">
        <v>3</v>
      </c>
      <c r="B10" s="11" t="s">
        <v>2</v>
      </c>
      <c r="C10" s="391">
        <v>531.3466441524</v>
      </c>
    </row>
    <row r="11" spans="1:3" ht="15">
      <c r="A11" s="9">
        <v>6</v>
      </c>
      <c r="B11" s="10" t="s">
        <v>30</v>
      </c>
      <c r="C11" s="379" t="s">
        <v>370</v>
      </c>
    </row>
    <row r="12" spans="2:3" ht="15.75" thickBot="1">
      <c r="B12" s="12" t="s">
        <v>31</v>
      </c>
      <c r="C12" s="375">
        <f>IF(ISNUMBER(C11)=TRUE,C10-C11,C10)</f>
        <v>531.3466441524</v>
      </c>
    </row>
    <row r="13" spans="2:3" ht="15">
      <c r="B13" s="13"/>
      <c r="C13" s="14"/>
    </row>
    <row r="14" spans="2:3" ht="15.75" thickBot="1">
      <c r="B14" s="15"/>
      <c r="C14" s="16"/>
    </row>
    <row r="15" spans="2:14" ht="16.5" customHeight="1">
      <c r="B15" s="555" t="s">
        <v>1</v>
      </c>
      <c r="C15" s="547" t="s">
        <v>3</v>
      </c>
      <c r="D15" s="549" t="s">
        <v>4</v>
      </c>
      <c r="E15" s="543" t="s">
        <v>5</v>
      </c>
      <c r="F15" s="544"/>
      <c r="G15" s="543" t="s">
        <v>6</v>
      </c>
      <c r="H15" s="544"/>
      <c r="I15" s="543" t="s">
        <v>12</v>
      </c>
      <c r="J15" s="544"/>
      <c r="K15" s="543" t="s">
        <v>7</v>
      </c>
      <c r="L15" s="544"/>
      <c r="N15" s="25"/>
    </row>
    <row r="16" spans="2:12" ht="15.75" thickBot="1">
      <c r="B16" s="556"/>
      <c r="C16" s="548"/>
      <c r="D16" s="550"/>
      <c r="E16" s="336" t="s">
        <v>10</v>
      </c>
      <c r="F16" s="337" t="s">
        <v>11</v>
      </c>
      <c r="G16" s="336" t="s">
        <v>10</v>
      </c>
      <c r="H16" s="337" t="s">
        <v>11</v>
      </c>
      <c r="I16" s="336" t="s">
        <v>10</v>
      </c>
      <c r="J16" s="337" t="s">
        <v>11</v>
      </c>
      <c r="K16" s="336" t="s">
        <v>10</v>
      </c>
      <c r="L16" s="338" t="s">
        <v>11</v>
      </c>
    </row>
    <row r="17" spans="1:14" ht="15">
      <c r="A17" s="9">
        <v>7</v>
      </c>
      <c r="B17" s="102" t="s">
        <v>32</v>
      </c>
      <c r="C17" s="348" t="s">
        <v>370</v>
      </c>
      <c r="D17" s="349">
        <v>33.19391887406227</v>
      </c>
      <c r="E17" s="350" t="s">
        <v>370</v>
      </c>
      <c r="F17" s="351"/>
      <c r="G17" s="350"/>
      <c r="H17" s="351"/>
      <c r="I17" s="350"/>
      <c r="J17" s="351"/>
      <c r="K17" s="350"/>
      <c r="L17" s="351"/>
      <c r="N17" s="27"/>
    </row>
    <row r="18" spans="1:14" ht="15">
      <c r="A18" s="9">
        <v>8</v>
      </c>
      <c r="B18" s="17" t="s">
        <v>33</v>
      </c>
      <c r="C18" s="352" t="s">
        <v>370</v>
      </c>
      <c r="D18" s="353">
        <v>33.19391887406227</v>
      </c>
      <c r="E18" s="355"/>
      <c r="F18" s="354"/>
      <c r="G18" s="355"/>
      <c r="H18" s="354"/>
      <c r="I18" s="355"/>
      <c r="J18" s="354"/>
      <c r="K18" s="350"/>
      <c r="L18" s="354"/>
      <c r="N18" s="27"/>
    </row>
    <row r="19" spans="1:14" ht="15">
      <c r="A19" s="9">
        <v>10</v>
      </c>
      <c r="B19" s="17" t="s">
        <v>34</v>
      </c>
      <c r="C19" s="352" t="s">
        <v>370</v>
      </c>
      <c r="D19" s="353">
        <v>33.19391887406227</v>
      </c>
      <c r="E19" s="355" t="s">
        <v>370</v>
      </c>
      <c r="F19" s="354"/>
      <c r="G19" s="355"/>
      <c r="H19" s="354"/>
      <c r="I19" s="355"/>
      <c r="J19" s="354"/>
      <c r="K19" s="350"/>
      <c r="L19" s="354"/>
      <c r="N19" s="27"/>
    </row>
    <row r="20" spans="1:14" ht="15">
      <c r="A20" s="9">
        <v>11</v>
      </c>
      <c r="B20" s="17" t="s">
        <v>35</v>
      </c>
      <c r="C20" s="352" t="s">
        <v>370</v>
      </c>
      <c r="D20" s="353">
        <v>33.19391887406227</v>
      </c>
      <c r="E20" s="355" t="s">
        <v>370</v>
      </c>
      <c r="F20" s="354"/>
      <c r="G20" s="355"/>
      <c r="H20" s="354"/>
      <c r="I20" s="355"/>
      <c r="J20" s="354"/>
      <c r="K20" s="350"/>
      <c r="L20" s="354"/>
      <c r="N20" s="27"/>
    </row>
    <row r="21" spans="1:14" ht="15">
      <c r="A21" s="9" t="s">
        <v>36</v>
      </c>
      <c r="B21" s="17" t="s">
        <v>37</v>
      </c>
      <c r="C21" s="352" t="s">
        <v>370</v>
      </c>
      <c r="D21" s="353">
        <v>33.19391887406227</v>
      </c>
      <c r="E21" s="355" t="s">
        <v>370</v>
      </c>
      <c r="F21" s="354"/>
      <c r="G21" s="355"/>
      <c r="H21" s="354"/>
      <c r="I21" s="355"/>
      <c r="J21" s="354"/>
      <c r="K21" s="350"/>
      <c r="L21" s="354"/>
      <c r="N21" s="27"/>
    </row>
    <row r="22" spans="1:14" ht="15">
      <c r="A22" s="9" t="s">
        <v>38</v>
      </c>
      <c r="B22" s="17" t="s">
        <v>39</v>
      </c>
      <c r="C22" s="352">
        <v>531.3466441524</v>
      </c>
      <c r="D22" s="353">
        <v>33.19391887406227</v>
      </c>
      <c r="E22" s="355">
        <f>C22*D22/1000</f>
        <v>17.637477399999998</v>
      </c>
      <c r="F22" s="354">
        <v>17.6374774</v>
      </c>
      <c r="G22" s="355"/>
      <c r="H22" s="354"/>
      <c r="I22" s="355"/>
      <c r="J22" s="354"/>
      <c r="K22" s="350">
        <f aca="true" t="shared" si="0" ref="K22:L26">E22+G22-I22</f>
        <v>17.637477399999998</v>
      </c>
      <c r="L22" s="354">
        <f t="shared" si="0"/>
        <v>17.6374774</v>
      </c>
      <c r="N22" s="27"/>
    </row>
    <row r="23" spans="1:14" ht="15">
      <c r="A23" s="9" t="s">
        <v>40</v>
      </c>
      <c r="B23" s="17" t="s">
        <v>41</v>
      </c>
      <c r="C23" s="352" t="s">
        <v>370</v>
      </c>
      <c r="D23" s="353">
        <v>33.19391887406227</v>
      </c>
      <c r="E23" s="355" t="s">
        <v>370</v>
      </c>
      <c r="F23" s="354"/>
      <c r="G23" s="355"/>
      <c r="H23" s="354"/>
      <c r="I23" s="355"/>
      <c r="J23" s="354"/>
      <c r="K23" s="350"/>
      <c r="L23" s="354"/>
      <c r="N23" s="27"/>
    </row>
    <row r="24" spans="1:14" ht="15">
      <c r="A24" s="9">
        <v>13</v>
      </c>
      <c r="B24" s="17" t="s">
        <v>42</v>
      </c>
      <c r="C24" s="352" t="s">
        <v>370</v>
      </c>
      <c r="D24" s="353">
        <v>33.19391887406227</v>
      </c>
      <c r="E24" s="355" t="s">
        <v>370</v>
      </c>
      <c r="F24" s="354"/>
      <c r="G24" s="355"/>
      <c r="H24" s="354"/>
      <c r="I24" s="355"/>
      <c r="J24" s="354"/>
      <c r="K24" s="350"/>
      <c r="L24" s="354"/>
      <c r="N24" s="27"/>
    </row>
    <row r="25" spans="1:14" ht="15.75" thickBot="1">
      <c r="A25" s="9">
        <v>16</v>
      </c>
      <c r="B25" s="17" t="s">
        <v>26</v>
      </c>
      <c r="C25" s="352" t="s">
        <v>370</v>
      </c>
      <c r="D25" s="353">
        <v>33.19391887406227</v>
      </c>
      <c r="E25" s="355" t="s">
        <v>370</v>
      </c>
      <c r="F25" s="354"/>
      <c r="G25" s="355"/>
      <c r="H25" s="354"/>
      <c r="I25" s="355"/>
      <c r="J25" s="354"/>
      <c r="K25" s="350"/>
      <c r="L25" s="354"/>
      <c r="N25" s="27"/>
    </row>
    <row r="26" spans="1:12" ht="15.75" thickBot="1">
      <c r="A26" s="9">
        <v>17</v>
      </c>
      <c r="B26" s="21" t="s">
        <v>9</v>
      </c>
      <c r="C26" s="356">
        <f>SUM(C17:C25)</f>
        <v>531.3466441524</v>
      </c>
      <c r="D26" s="357"/>
      <c r="E26" s="358">
        <f>SUM(E17:E25)</f>
        <v>17.637477399999998</v>
      </c>
      <c r="F26" s="358">
        <f>SUM(F17:F25)</f>
        <v>17.6374774</v>
      </c>
      <c r="G26" s="358">
        <v>0</v>
      </c>
      <c r="H26" s="359">
        <v>0</v>
      </c>
      <c r="I26" s="358">
        <v>0</v>
      </c>
      <c r="J26" s="359">
        <v>0</v>
      </c>
      <c r="K26" s="358">
        <f t="shared" si="0"/>
        <v>17.637477399999998</v>
      </c>
      <c r="L26" s="359">
        <f t="shared" si="0"/>
        <v>17.6374774</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02" t="s">
        <v>373</v>
      </c>
      <c r="C31" s="377">
        <v>100</v>
      </c>
    </row>
    <row r="32" spans="2:3" ht="15.75" thickBot="1">
      <c r="B32" s="176" t="s">
        <v>374</v>
      </c>
      <c r="C32" s="378">
        <v>80.7368174769637</v>
      </c>
    </row>
    <row r="35" ht="15">
      <c r="B35" s="5" t="s">
        <v>535</v>
      </c>
    </row>
  </sheetData>
  <mergeCells count="7">
    <mergeCell ref="K15:L15"/>
    <mergeCell ref="B15:B16"/>
    <mergeCell ref="C15:C16"/>
    <mergeCell ref="D15:D16"/>
    <mergeCell ref="E15:F15"/>
    <mergeCell ref="I15:J15"/>
    <mergeCell ref="G15:H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57</v>
      </c>
      <c r="I1" s="6"/>
    </row>
    <row r="2" ht="4.5" customHeight="1"/>
    <row r="3" spans="2:9" ht="15">
      <c r="B3" s="7" t="s">
        <v>434</v>
      </c>
      <c r="C3" s="4" t="s">
        <v>58</v>
      </c>
      <c r="I3" s="7"/>
    </row>
    <row r="4" spans="2:3" ht="15">
      <c r="B4" s="5" t="s">
        <v>59</v>
      </c>
      <c r="C4" s="28" t="s">
        <v>377</v>
      </c>
    </row>
    <row r="5" ht="14.25" customHeight="1">
      <c r="C5" s="4" t="s">
        <v>372</v>
      </c>
    </row>
    <row r="6" ht="14.25" customHeight="1" thickBot="1"/>
    <row r="7" spans="2:4" ht="16.5" customHeight="1" thickBot="1">
      <c r="B7" s="111"/>
      <c r="C7" s="112" t="s">
        <v>3</v>
      </c>
      <c r="D7" s="8"/>
    </row>
    <row r="8" spans="1:3" ht="15">
      <c r="A8" s="9">
        <v>1</v>
      </c>
      <c r="B8" s="102" t="s">
        <v>0</v>
      </c>
      <c r="C8" s="110">
        <v>0</v>
      </c>
    </row>
    <row r="9" spans="1:3" ht="15">
      <c r="A9" s="9">
        <v>2</v>
      </c>
      <c r="B9" s="10" t="s">
        <v>8</v>
      </c>
      <c r="C9" s="29" t="s">
        <v>370</v>
      </c>
    </row>
    <row r="10" spans="1:3" ht="15">
      <c r="A10" s="9">
        <v>3</v>
      </c>
      <c r="B10" s="11" t="s">
        <v>2</v>
      </c>
      <c r="C10" s="30">
        <v>0</v>
      </c>
    </row>
    <row r="11" spans="1:3" ht="15">
      <c r="A11" s="9">
        <v>6</v>
      </c>
      <c r="B11" s="10" t="s">
        <v>30</v>
      </c>
      <c r="C11" s="29" t="s">
        <v>370</v>
      </c>
    </row>
    <row r="12" spans="2:3" ht="15.75" thickBot="1">
      <c r="B12" s="12" t="s">
        <v>31</v>
      </c>
      <c r="C12" s="36">
        <f>IF(ISNUMBER(C11)=TRUE,C10-C11,C10)</f>
        <v>0</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103" t="s">
        <v>370</v>
      </c>
      <c r="D17" s="104" t="s">
        <v>370</v>
      </c>
      <c r="E17" s="105" t="s">
        <v>370</v>
      </c>
      <c r="F17" s="106"/>
      <c r="G17" s="105"/>
      <c r="H17" s="106"/>
      <c r="I17" s="105"/>
      <c r="J17" s="106"/>
      <c r="K17" s="105"/>
      <c r="L17" s="106"/>
      <c r="N17" s="27"/>
    </row>
    <row r="18" spans="1:14" ht="15">
      <c r="A18" s="9">
        <v>8</v>
      </c>
      <c r="B18" s="17" t="s">
        <v>33</v>
      </c>
      <c r="C18" s="31" t="s">
        <v>370</v>
      </c>
      <c r="D18" s="18"/>
      <c r="E18" s="19"/>
      <c r="F18" s="20"/>
      <c r="G18" s="19"/>
      <c r="H18" s="20"/>
      <c r="I18" s="19"/>
      <c r="J18" s="20"/>
      <c r="K18" s="19"/>
      <c r="L18" s="20"/>
      <c r="N18" s="27"/>
    </row>
    <row r="19" spans="1:14" ht="15">
      <c r="A19" s="9">
        <v>10</v>
      </c>
      <c r="B19" s="17" t="s">
        <v>34</v>
      </c>
      <c r="C19" s="31" t="s">
        <v>370</v>
      </c>
      <c r="D19" s="18" t="s">
        <v>370</v>
      </c>
      <c r="E19" s="19" t="s">
        <v>370</v>
      </c>
      <c r="F19" s="20"/>
      <c r="G19" s="19"/>
      <c r="H19" s="20"/>
      <c r="I19" s="19"/>
      <c r="J19" s="20"/>
      <c r="K19" s="19"/>
      <c r="L19" s="20"/>
      <c r="N19" s="27"/>
    </row>
    <row r="20" spans="1:14" ht="15">
      <c r="A20" s="9">
        <v>11</v>
      </c>
      <c r="B20" s="17" t="s">
        <v>35</v>
      </c>
      <c r="C20" s="31" t="s">
        <v>370</v>
      </c>
      <c r="D20" s="18" t="s">
        <v>370</v>
      </c>
      <c r="E20" s="19" t="s">
        <v>370</v>
      </c>
      <c r="F20" s="20"/>
      <c r="G20" s="19"/>
      <c r="H20" s="20"/>
      <c r="I20" s="19"/>
      <c r="J20" s="20"/>
      <c r="K20" s="19"/>
      <c r="L20" s="20"/>
      <c r="N20" s="27"/>
    </row>
    <row r="21" spans="1:14" ht="15">
      <c r="A21" s="9" t="s">
        <v>36</v>
      </c>
      <c r="B21" s="17" t="s">
        <v>37</v>
      </c>
      <c r="C21" s="31" t="s">
        <v>370</v>
      </c>
      <c r="D21" s="18" t="s">
        <v>370</v>
      </c>
      <c r="E21" s="19" t="s">
        <v>370</v>
      </c>
      <c r="F21" s="20"/>
      <c r="G21" s="19"/>
      <c r="H21" s="20"/>
      <c r="I21" s="19"/>
      <c r="J21" s="20"/>
      <c r="K21" s="19"/>
      <c r="L21" s="20"/>
      <c r="N21" s="27"/>
    </row>
    <row r="22" spans="1:14" ht="15">
      <c r="A22" s="9" t="s">
        <v>38</v>
      </c>
      <c r="B22" s="17" t="s">
        <v>39</v>
      </c>
      <c r="C22" s="31" t="s">
        <v>370</v>
      </c>
      <c r="D22" s="18" t="s">
        <v>370</v>
      </c>
      <c r="E22" s="19" t="s">
        <v>370</v>
      </c>
      <c r="F22" s="20"/>
      <c r="G22" s="19"/>
      <c r="H22" s="20"/>
      <c r="I22" s="19"/>
      <c r="J22" s="20"/>
      <c r="K22" s="19"/>
      <c r="L22" s="20"/>
      <c r="N22" s="27"/>
    </row>
    <row r="23" spans="1:14" ht="15">
      <c r="A23" s="9" t="s">
        <v>40</v>
      </c>
      <c r="B23" s="17" t="s">
        <v>41</v>
      </c>
      <c r="C23" s="31" t="s">
        <v>370</v>
      </c>
      <c r="D23" s="18" t="s">
        <v>370</v>
      </c>
      <c r="E23" s="19" t="s">
        <v>370</v>
      </c>
      <c r="F23" s="20"/>
      <c r="G23" s="19"/>
      <c r="H23" s="20"/>
      <c r="I23" s="19"/>
      <c r="J23" s="20"/>
      <c r="K23" s="19"/>
      <c r="L23" s="20"/>
      <c r="N23" s="27"/>
    </row>
    <row r="24" spans="1:14" ht="15">
      <c r="A24" s="9">
        <v>13</v>
      </c>
      <c r="B24" s="17" t="s">
        <v>42</v>
      </c>
      <c r="C24" s="31">
        <v>0</v>
      </c>
      <c r="D24" s="18">
        <v>0</v>
      </c>
      <c r="E24" s="19">
        <v>0</v>
      </c>
      <c r="F24" s="20"/>
      <c r="G24" s="19"/>
      <c r="H24" s="20"/>
      <c r="I24" s="19"/>
      <c r="J24" s="20"/>
      <c r="K24" s="19"/>
      <c r="L24" s="20"/>
      <c r="N24" s="27"/>
    </row>
    <row r="25" spans="1:14" ht="15.75" thickBot="1">
      <c r="A25" s="9">
        <v>16</v>
      </c>
      <c r="B25" s="17" t="s">
        <v>26</v>
      </c>
      <c r="C25" s="31" t="s">
        <v>370</v>
      </c>
      <c r="D25" s="18" t="s">
        <v>370</v>
      </c>
      <c r="E25" s="19" t="s">
        <v>370</v>
      </c>
      <c r="F25" s="20"/>
      <c r="G25" s="19"/>
      <c r="H25" s="20"/>
      <c r="I25" s="19"/>
      <c r="J25" s="20"/>
      <c r="K25" s="19"/>
      <c r="L25" s="20"/>
      <c r="N25" s="27"/>
    </row>
    <row r="26" spans="1:12" ht="15.75" thickBot="1">
      <c r="A26" s="9">
        <v>17</v>
      </c>
      <c r="B26" s="21" t="s">
        <v>9</v>
      </c>
      <c r="C26" s="32">
        <f>SUM(C17:C25)</f>
        <v>0</v>
      </c>
      <c r="D26" s="22"/>
      <c r="E26" s="23">
        <v>0</v>
      </c>
      <c r="F26" s="24">
        <v>0</v>
      </c>
      <c r="G26" s="23">
        <v>0</v>
      </c>
      <c r="H26" s="24">
        <v>0</v>
      </c>
      <c r="I26" s="23">
        <v>0</v>
      </c>
      <c r="J26" s="24">
        <v>0</v>
      </c>
      <c r="K26" s="23">
        <f>E26+G26-I26</f>
        <v>0</v>
      </c>
      <c r="L26" s="24">
        <f>F26+H26-J26</f>
        <v>0</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114">
        <v>0</v>
      </c>
    </row>
    <row r="32" spans="2:3" ht="15.75" thickBot="1">
      <c r="B32" s="257" t="s">
        <v>374</v>
      </c>
      <c r="C32" s="26">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10" ht="18.75">
      <c r="B1" s="6" t="s">
        <v>60</v>
      </c>
      <c r="J1" s="6"/>
    </row>
    <row r="2" ht="4.5" customHeight="1"/>
    <row r="3" spans="2:10" ht="15">
      <c r="B3" s="7" t="s">
        <v>433</v>
      </c>
      <c r="C3" s="4" t="s">
        <v>28</v>
      </c>
      <c r="J3" s="7"/>
    </row>
    <row r="4" spans="2:3" ht="15">
      <c r="B4" s="5" t="s">
        <v>61</v>
      </c>
      <c r="C4" s="4" t="s">
        <v>371</v>
      </c>
    </row>
    <row r="5" ht="14.25" customHeight="1">
      <c r="C5" s="4" t="s">
        <v>372</v>
      </c>
    </row>
    <row r="6" ht="14.25" customHeight="1" thickBot="1"/>
    <row r="7" spans="2:4" ht="16.5" customHeight="1" thickBot="1">
      <c r="B7" s="111"/>
      <c r="C7" s="112" t="s">
        <v>3</v>
      </c>
      <c r="D7" s="8"/>
    </row>
    <row r="8" spans="1:3" ht="15">
      <c r="A8" s="9">
        <v>1</v>
      </c>
      <c r="B8" s="102" t="s">
        <v>0</v>
      </c>
      <c r="C8" s="374">
        <v>166.1954</v>
      </c>
    </row>
    <row r="9" spans="1:3" ht="15">
      <c r="A9" s="9">
        <v>2</v>
      </c>
      <c r="B9" s="10" t="s">
        <v>8</v>
      </c>
      <c r="C9" s="379"/>
    </row>
    <row r="10" spans="1:4" ht="15">
      <c r="A10" s="9">
        <v>3</v>
      </c>
      <c r="B10" s="11" t="s">
        <v>2</v>
      </c>
      <c r="C10" s="391">
        <v>166.1954</v>
      </c>
      <c r="D10" s="14"/>
    </row>
    <row r="11" spans="1:3" ht="15">
      <c r="A11" s="9">
        <v>6</v>
      </c>
      <c r="B11" s="10" t="s">
        <v>30</v>
      </c>
      <c r="C11" s="379">
        <v>16.135238375428433</v>
      </c>
    </row>
    <row r="12" spans="2:3" ht="15.75" thickBot="1">
      <c r="B12" s="12" t="s">
        <v>31</v>
      </c>
      <c r="C12" s="375">
        <f>IF(ISNUMBER(C11)=TRUE,C10-C11,C10)</f>
        <v>150.06016162457158</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48">
        <v>12.712612053367854</v>
      </c>
      <c r="D17" s="349">
        <v>334.1553461475949</v>
      </c>
      <c r="E17" s="350">
        <f>C17*D17/1000</f>
        <v>4.247987281133223</v>
      </c>
      <c r="F17" s="351">
        <v>4.4011062928759515</v>
      </c>
      <c r="G17" s="350"/>
      <c r="H17" s="351"/>
      <c r="I17" s="350"/>
      <c r="J17" s="351"/>
      <c r="K17" s="350">
        <f>E17+G17-I17</f>
        <v>4.247987281133223</v>
      </c>
      <c r="L17" s="351">
        <f>F17+H17-J17</f>
        <v>4.4011062928759515</v>
      </c>
      <c r="N17" s="27"/>
    </row>
    <row r="18" spans="1:14" ht="15">
      <c r="A18" s="9">
        <v>8</v>
      </c>
      <c r="B18" s="17" t="s">
        <v>33</v>
      </c>
      <c r="C18" s="352" t="s">
        <v>370</v>
      </c>
      <c r="D18" s="353">
        <v>334.1553461475949</v>
      </c>
      <c r="E18" s="350"/>
      <c r="F18" s="354"/>
      <c r="G18" s="355"/>
      <c r="H18" s="354"/>
      <c r="I18" s="355"/>
      <c r="J18" s="354"/>
      <c r="K18" s="350">
        <f aca="true" t="shared" si="0" ref="K18:K26">E18+G18-I18</f>
        <v>0</v>
      </c>
      <c r="L18" s="354">
        <f aca="true" t="shared" si="1" ref="L18:L26">F18+H18-J18</f>
        <v>0</v>
      </c>
      <c r="N18" s="27"/>
    </row>
    <row r="19" spans="1:14" ht="15">
      <c r="A19" s="9">
        <v>10</v>
      </c>
      <c r="B19" s="17" t="s">
        <v>34</v>
      </c>
      <c r="C19" s="352" t="s">
        <v>370</v>
      </c>
      <c r="D19" s="353">
        <v>334.1553461475949</v>
      </c>
      <c r="E19" s="350"/>
      <c r="F19" s="354"/>
      <c r="G19" s="355"/>
      <c r="H19" s="354"/>
      <c r="I19" s="355"/>
      <c r="J19" s="354"/>
      <c r="K19" s="350">
        <f t="shared" si="0"/>
        <v>0</v>
      </c>
      <c r="L19" s="354">
        <f t="shared" si="1"/>
        <v>0</v>
      </c>
      <c r="N19" s="27"/>
    </row>
    <row r="20" spans="1:14" ht="15">
      <c r="A20" s="9">
        <v>11</v>
      </c>
      <c r="B20" s="17" t="s">
        <v>35</v>
      </c>
      <c r="C20" s="348">
        <v>11.044813124637017</v>
      </c>
      <c r="D20" s="349">
        <v>334.1553461475949</v>
      </c>
      <c r="E20" s="350">
        <f aca="true" t="shared" si="2" ref="E20:E25">C20*D20/1000</f>
        <v>3.690683352798582</v>
      </c>
      <c r="F20" s="354">
        <v>3.8237143037493353</v>
      </c>
      <c r="G20" s="355"/>
      <c r="H20" s="354"/>
      <c r="I20" s="355"/>
      <c r="J20" s="354"/>
      <c r="K20" s="350">
        <f t="shared" si="0"/>
        <v>3.690683352798582</v>
      </c>
      <c r="L20" s="354">
        <f t="shared" si="1"/>
        <v>3.8237143037493353</v>
      </c>
      <c r="N20" s="27"/>
    </row>
    <row r="21" spans="1:14" ht="15">
      <c r="A21" s="9" t="s">
        <v>36</v>
      </c>
      <c r="B21" s="17" t="s">
        <v>37</v>
      </c>
      <c r="C21" s="348">
        <v>23.242439815549535</v>
      </c>
      <c r="D21" s="349">
        <v>334.1553461475949</v>
      </c>
      <c r="E21" s="350">
        <f t="shared" si="2"/>
        <v>7.7665855218795965</v>
      </c>
      <c r="F21" s="354">
        <v>8.046532664143248</v>
      </c>
      <c r="G21" s="355"/>
      <c r="H21" s="354"/>
      <c r="I21" s="355"/>
      <c r="J21" s="354"/>
      <c r="K21" s="350">
        <f t="shared" si="0"/>
        <v>7.7665855218795965</v>
      </c>
      <c r="L21" s="354">
        <f t="shared" si="1"/>
        <v>8.046532664143248</v>
      </c>
      <c r="N21" s="27"/>
    </row>
    <row r="22" spans="1:14" ht="15">
      <c r="A22" s="9" t="s">
        <v>38</v>
      </c>
      <c r="B22" s="17" t="s">
        <v>39</v>
      </c>
      <c r="C22" s="348">
        <v>104.62175023455107</v>
      </c>
      <c r="D22" s="349">
        <v>334.1553461475949</v>
      </c>
      <c r="E22" s="350">
        <f t="shared" si="2"/>
        <v>34.959917164193634</v>
      </c>
      <c r="F22" s="354">
        <v>36.22004993120158</v>
      </c>
      <c r="G22" s="355"/>
      <c r="H22" s="354"/>
      <c r="I22" s="355"/>
      <c r="J22" s="354"/>
      <c r="K22" s="350">
        <f t="shared" si="0"/>
        <v>34.959917164193634</v>
      </c>
      <c r="L22" s="354">
        <f t="shared" si="1"/>
        <v>36.22004993120158</v>
      </c>
      <c r="N22" s="27"/>
    </row>
    <row r="23" spans="1:14" ht="15">
      <c r="A23" s="9" t="s">
        <v>40</v>
      </c>
      <c r="B23" s="17" t="s">
        <v>41</v>
      </c>
      <c r="C23" s="392">
        <v>0.18601892285278954</v>
      </c>
      <c r="D23" s="353">
        <v>334.1553461475949</v>
      </c>
      <c r="E23" s="350">
        <f t="shared" si="2"/>
        <v>0.062159217555876646</v>
      </c>
      <c r="F23" s="354">
        <v>0.06439975109163573</v>
      </c>
      <c r="G23" s="355"/>
      <c r="H23" s="354"/>
      <c r="I23" s="355"/>
      <c r="J23" s="354"/>
      <c r="K23" s="350">
        <f t="shared" si="0"/>
        <v>0.062159217555876646</v>
      </c>
      <c r="L23" s="354">
        <f t="shared" si="1"/>
        <v>0.06439975109163573</v>
      </c>
      <c r="N23" s="27"/>
    </row>
    <row r="24" spans="1:14" ht="15">
      <c r="A24" s="9">
        <v>13</v>
      </c>
      <c r="B24" s="17" t="s">
        <v>42</v>
      </c>
      <c r="C24" s="352" t="s">
        <v>370</v>
      </c>
      <c r="D24" s="353">
        <v>334.1553461475949</v>
      </c>
      <c r="E24" s="350"/>
      <c r="F24" s="354"/>
      <c r="G24" s="355"/>
      <c r="H24" s="354"/>
      <c r="I24" s="355"/>
      <c r="J24" s="354"/>
      <c r="K24" s="350">
        <f t="shared" si="0"/>
        <v>0</v>
      </c>
      <c r="L24" s="354">
        <f t="shared" si="1"/>
        <v>0</v>
      </c>
      <c r="N24" s="27"/>
    </row>
    <row r="25" spans="1:14" ht="15.75" thickBot="1">
      <c r="A25" s="9">
        <v>16</v>
      </c>
      <c r="B25" s="17" t="s">
        <v>26</v>
      </c>
      <c r="C25" s="348">
        <v>-1.7474725263867015</v>
      </c>
      <c r="D25" s="349">
        <v>334.1553461475949</v>
      </c>
      <c r="E25" s="350">
        <f t="shared" si="2"/>
        <v>-0.5839272869381603</v>
      </c>
      <c r="F25" s="354">
        <v>-0.6049749886350746</v>
      </c>
      <c r="G25" s="355"/>
      <c r="H25" s="354"/>
      <c r="I25" s="355"/>
      <c r="J25" s="354"/>
      <c r="K25" s="350">
        <f t="shared" si="0"/>
        <v>-0.5839272869381603</v>
      </c>
      <c r="L25" s="354">
        <f t="shared" si="1"/>
        <v>-0.6049749886350746</v>
      </c>
      <c r="N25" s="27"/>
    </row>
    <row r="26" spans="1:12" ht="15.75" thickBot="1">
      <c r="A26" s="9">
        <v>17</v>
      </c>
      <c r="B26" s="21" t="s">
        <v>9</v>
      </c>
      <c r="C26" s="356">
        <f>SUM(C17:C25)</f>
        <v>150.06016162457158</v>
      </c>
      <c r="D26" s="357"/>
      <c r="E26" s="358">
        <f>SUM(E17:E25)</f>
        <v>50.14340525062275</v>
      </c>
      <c r="F26" s="358">
        <f>SUM(F17:F25)</f>
        <v>51.95082795442667</v>
      </c>
      <c r="G26" s="358">
        <v>0</v>
      </c>
      <c r="H26" s="359">
        <v>0</v>
      </c>
      <c r="I26" s="358">
        <v>0</v>
      </c>
      <c r="J26" s="359">
        <v>0</v>
      </c>
      <c r="K26" s="358">
        <f t="shared" si="0"/>
        <v>50.14340525062275</v>
      </c>
      <c r="L26" s="359">
        <f t="shared" si="1"/>
        <v>51.95082795442667</v>
      </c>
    </row>
    <row r="27" spans="3:12" ht="15">
      <c r="C27" s="13"/>
      <c r="E27" s="13"/>
      <c r="F27" s="13"/>
      <c r="G27" s="13"/>
      <c r="H27" s="13"/>
      <c r="I27" s="13"/>
      <c r="J27" s="13"/>
      <c r="K27" s="13"/>
      <c r="L27" s="13"/>
    </row>
    <row r="28" spans="2:5" ht="15">
      <c r="B28" s="25"/>
      <c r="E28" s="277"/>
    </row>
    <row r="29" ht="15.75" thickBot="1"/>
    <row r="30" spans="2:3" ht="15.75" thickBot="1">
      <c r="B30" s="111"/>
      <c r="C30" s="113">
        <v>2020</v>
      </c>
    </row>
    <row r="31" spans="2:3" ht="15">
      <c r="B31" s="256" t="s">
        <v>373</v>
      </c>
      <c r="C31" s="377">
        <v>96.52089721189917</v>
      </c>
    </row>
    <row r="32" spans="2:3" ht="15.75" thickBot="1">
      <c r="B32" s="257" t="s">
        <v>374</v>
      </c>
      <c r="C32" s="378">
        <v>91.10536007073745</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topLeftCell="A7">
      <selection activeCell="O7" sqref="O7"/>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10" ht="18.75">
      <c r="B1" s="6" t="s">
        <v>62</v>
      </c>
      <c r="J1" s="6"/>
    </row>
    <row r="2" ht="4.5" customHeight="1"/>
    <row r="3" spans="2:10" ht="15">
      <c r="B3" s="285" t="s">
        <v>463</v>
      </c>
      <c r="C3" s="4" t="s">
        <v>28</v>
      </c>
      <c r="J3" s="7"/>
    </row>
    <row r="4" spans="2:3" ht="15">
      <c r="B4" s="5" t="s">
        <v>63</v>
      </c>
      <c r="C4" s="4" t="s">
        <v>371</v>
      </c>
    </row>
    <row r="5" spans="2:3" ht="14.25" customHeight="1">
      <c r="B5" s="274" t="s">
        <v>462</v>
      </c>
      <c r="C5" s="4" t="s">
        <v>372</v>
      </c>
    </row>
    <row r="6" ht="14.25" customHeight="1" thickBot="1"/>
    <row r="7" spans="2:4" ht="16.5" customHeight="1" thickBot="1">
      <c r="B7" s="111"/>
      <c r="C7" s="112" t="s">
        <v>3</v>
      </c>
      <c r="D7" s="8"/>
    </row>
    <row r="8" spans="1:3" ht="15">
      <c r="A8" s="9">
        <v>1</v>
      </c>
      <c r="B8" s="102" t="s">
        <v>0</v>
      </c>
      <c r="C8" s="345">
        <v>1.0747742</v>
      </c>
    </row>
    <row r="9" spans="1:3" ht="15">
      <c r="A9" s="9">
        <v>2</v>
      </c>
      <c r="B9" s="10" t="s">
        <v>8</v>
      </c>
      <c r="C9" s="346"/>
    </row>
    <row r="10" spans="1:4" ht="15">
      <c r="A10" s="9">
        <v>3</v>
      </c>
      <c r="B10" s="11" t="s">
        <v>2</v>
      </c>
      <c r="C10" s="393">
        <v>1.0747742</v>
      </c>
      <c r="D10" s="14"/>
    </row>
    <row r="11" spans="1:3" ht="15">
      <c r="A11" s="9">
        <v>6</v>
      </c>
      <c r="B11" s="10" t="s">
        <v>30</v>
      </c>
      <c r="C11" s="346" t="s">
        <v>370</v>
      </c>
    </row>
    <row r="12" spans="2:3" ht="15.75" thickBot="1">
      <c r="B12" s="12" t="s">
        <v>31</v>
      </c>
      <c r="C12" s="347">
        <v>1.0747742</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48" t="s">
        <v>370</v>
      </c>
      <c r="D17" s="349" t="s">
        <v>370</v>
      </c>
      <c r="E17" s="350" t="s">
        <v>370</v>
      </c>
      <c r="F17" s="351"/>
      <c r="G17" s="350"/>
      <c r="H17" s="351"/>
      <c r="I17" s="350"/>
      <c r="J17" s="351"/>
      <c r="K17" s="350"/>
      <c r="L17" s="351"/>
      <c r="N17" s="27"/>
    </row>
    <row r="18" spans="1:14" ht="15">
      <c r="A18" s="9">
        <v>8</v>
      </c>
      <c r="B18" s="17" t="s">
        <v>33</v>
      </c>
      <c r="C18" s="352" t="s">
        <v>370</v>
      </c>
      <c r="D18" s="353"/>
      <c r="E18" s="355"/>
      <c r="F18" s="354"/>
      <c r="G18" s="355"/>
      <c r="H18" s="354"/>
      <c r="I18" s="355"/>
      <c r="J18" s="354"/>
      <c r="K18" s="350"/>
      <c r="L18" s="354"/>
      <c r="N18" s="27"/>
    </row>
    <row r="19" spans="1:14" ht="15">
      <c r="A19" s="9">
        <v>10</v>
      </c>
      <c r="B19" s="17" t="s">
        <v>34</v>
      </c>
      <c r="C19" s="352" t="s">
        <v>370</v>
      </c>
      <c r="D19" s="353" t="s">
        <v>370</v>
      </c>
      <c r="E19" s="355" t="s">
        <v>370</v>
      </c>
      <c r="F19" s="354"/>
      <c r="G19" s="355"/>
      <c r="H19" s="354"/>
      <c r="I19" s="355"/>
      <c r="J19" s="354"/>
      <c r="K19" s="350"/>
      <c r="L19" s="354"/>
      <c r="N19" s="27"/>
    </row>
    <row r="20" spans="1:14" ht="15">
      <c r="A20" s="9">
        <v>11</v>
      </c>
      <c r="B20" s="17" t="s">
        <v>35</v>
      </c>
      <c r="C20" s="352">
        <v>0.4285654356606734</v>
      </c>
      <c r="D20" s="353">
        <v>896.9703890563042</v>
      </c>
      <c r="E20" s="355">
        <f>C20*D20/1000</f>
        <v>0.38441050556063866</v>
      </c>
      <c r="F20" s="354">
        <v>0.3223026358886094</v>
      </c>
      <c r="G20" s="355"/>
      <c r="H20" s="354"/>
      <c r="I20" s="355"/>
      <c r="J20" s="354"/>
      <c r="K20" s="350">
        <f aca="true" t="shared" si="0" ref="K20:L26">E20+G20-I20</f>
        <v>0.38441050556063866</v>
      </c>
      <c r="L20" s="354">
        <f t="shared" si="0"/>
        <v>0.3223026358886094</v>
      </c>
      <c r="N20" s="27"/>
    </row>
    <row r="21" spans="1:14" ht="15">
      <c r="A21" s="9" t="s">
        <v>36</v>
      </c>
      <c r="B21" s="17" t="s">
        <v>37</v>
      </c>
      <c r="C21" s="352">
        <v>0.3226936800533726</v>
      </c>
      <c r="D21" s="353">
        <v>896.9703890563042</v>
      </c>
      <c r="E21" s="355">
        <f aca="true" t="shared" si="1" ref="E21:E23">C21*D21/1000</f>
        <v>0.28944667574348415</v>
      </c>
      <c r="F21" s="354">
        <v>0.24268178208413888</v>
      </c>
      <c r="G21" s="355"/>
      <c r="H21" s="354"/>
      <c r="I21" s="355"/>
      <c r="J21" s="354"/>
      <c r="K21" s="350">
        <f t="shared" si="0"/>
        <v>0.28944667574348415</v>
      </c>
      <c r="L21" s="354">
        <f t="shared" si="0"/>
        <v>0.24268178208413888</v>
      </c>
      <c r="N21" s="27"/>
    </row>
    <row r="22" spans="1:14" ht="15">
      <c r="A22" s="9" t="s">
        <v>38</v>
      </c>
      <c r="B22" s="17" t="s">
        <v>39</v>
      </c>
      <c r="C22" s="352">
        <v>0.2988784264062978</v>
      </c>
      <c r="D22" s="353">
        <v>896.9703890563042</v>
      </c>
      <c r="E22" s="355">
        <f t="shared" si="1"/>
        <v>0.26808509841419287</v>
      </c>
      <c r="F22" s="354">
        <v>0.22477152057885624</v>
      </c>
      <c r="G22" s="355"/>
      <c r="H22" s="354"/>
      <c r="I22" s="355"/>
      <c r="J22" s="354"/>
      <c r="K22" s="350">
        <f t="shared" si="0"/>
        <v>0.26808509841419287</v>
      </c>
      <c r="L22" s="354">
        <f t="shared" si="0"/>
        <v>0.22477152057885624</v>
      </c>
      <c r="N22" s="27"/>
    </row>
    <row r="23" spans="1:14" ht="15">
      <c r="A23" s="9" t="s">
        <v>40</v>
      </c>
      <c r="B23" s="17" t="s">
        <v>41</v>
      </c>
      <c r="C23" s="352">
        <v>0.024636657879656163</v>
      </c>
      <c r="D23" s="353">
        <v>896.9703890563042</v>
      </c>
      <c r="E23" s="355">
        <f t="shared" si="1"/>
        <v>0.02209835260336225</v>
      </c>
      <c r="F23" s="354">
        <v>0.018527998558395417</v>
      </c>
      <c r="G23" s="355"/>
      <c r="H23" s="354"/>
      <c r="I23" s="355"/>
      <c r="J23" s="354"/>
      <c r="K23" s="350">
        <f t="shared" si="0"/>
        <v>0.02209835260336225</v>
      </c>
      <c r="L23" s="354">
        <f t="shared" si="0"/>
        <v>0.018527998558395417</v>
      </c>
      <c r="N23" s="27"/>
    </row>
    <row r="24" spans="1:14" ht="15">
      <c r="A24" s="9">
        <v>13</v>
      </c>
      <c r="B24" s="17" t="s">
        <v>42</v>
      </c>
      <c r="C24" s="352" t="s">
        <v>370</v>
      </c>
      <c r="D24" s="353" t="s">
        <v>370</v>
      </c>
      <c r="E24" s="355" t="s">
        <v>370</v>
      </c>
      <c r="F24" s="354"/>
      <c r="G24" s="355"/>
      <c r="H24" s="354"/>
      <c r="I24" s="355"/>
      <c r="J24" s="354"/>
      <c r="K24" s="350"/>
      <c r="L24" s="354"/>
      <c r="N24" s="27"/>
    </row>
    <row r="25" spans="1:14" ht="15.75" thickBot="1">
      <c r="A25" s="9">
        <v>16</v>
      </c>
      <c r="B25" s="17" t="s">
        <v>26</v>
      </c>
      <c r="C25" s="352" t="s">
        <v>370</v>
      </c>
      <c r="D25" s="353" t="s">
        <v>370</v>
      </c>
      <c r="E25" s="355" t="s">
        <v>370</v>
      </c>
      <c r="F25" s="354"/>
      <c r="G25" s="355"/>
      <c r="H25" s="354"/>
      <c r="I25" s="355"/>
      <c r="J25" s="354"/>
      <c r="K25" s="350"/>
      <c r="L25" s="354"/>
      <c r="N25" s="27"/>
    </row>
    <row r="26" spans="1:12" ht="15.75" thickBot="1">
      <c r="A26" s="9">
        <v>17</v>
      </c>
      <c r="B26" s="21" t="s">
        <v>9</v>
      </c>
      <c r="C26" s="356">
        <f>SUM(C17:C25)</f>
        <v>1.0747742</v>
      </c>
      <c r="D26" s="357"/>
      <c r="E26" s="358">
        <f>SUM(E20:E25)</f>
        <v>0.9640406323216779</v>
      </c>
      <c r="F26" s="358">
        <f>SUM(F20:F25)</f>
        <v>0.80828393711</v>
      </c>
      <c r="G26" s="358">
        <v>0</v>
      </c>
      <c r="H26" s="359">
        <v>0</v>
      </c>
      <c r="I26" s="358">
        <v>0</v>
      </c>
      <c r="J26" s="359">
        <v>0</v>
      </c>
      <c r="K26" s="358">
        <f t="shared" si="0"/>
        <v>0.9640406323216779</v>
      </c>
      <c r="L26" s="359">
        <f t="shared" si="0"/>
        <v>0.80828393711</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380">
        <v>119.27004707882512</v>
      </c>
    </row>
    <row r="32" spans="2:3" ht="15.75" thickBot="1">
      <c r="B32" s="257" t="s">
        <v>374</v>
      </c>
      <c r="C32" s="381">
        <v>73.10437266875591</v>
      </c>
    </row>
    <row r="35" ht="15">
      <c r="B35" s="5" t="s">
        <v>536</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64</v>
      </c>
    </row>
    <row r="2" ht="4.5" customHeight="1"/>
    <row r="3" spans="2:3" ht="15">
      <c r="B3" s="7" t="s">
        <v>432</v>
      </c>
      <c r="C3" s="28" t="s">
        <v>66</v>
      </c>
    </row>
    <row r="4" spans="2:3" ht="15">
      <c r="B4" s="27" t="s">
        <v>65</v>
      </c>
      <c r="C4" s="28" t="s">
        <v>378</v>
      </c>
    </row>
    <row r="5" ht="14.25" customHeight="1">
      <c r="C5" s="4" t="s">
        <v>372</v>
      </c>
    </row>
    <row r="6" ht="14.25" customHeight="1" thickBot="1"/>
    <row r="7" spans="2:4" ht="16.5" customHeight="1" thickBot="1">
      <c r="B7" s="111"/>
      <c r="C7" s="112" t="s">
        <v>3</v>
      </c>
      <c r="D7" s="8"/>
    </row>
    <row r="8" spans="1:3" ht="15">
      <c r="A8" s="9">
        <v>1</v>
      </c>
      <c r="B8" s="102" t="s">
        <v>0</v>
      </c>
      <c r="C8" s="110">
        <v>0</v>
      </c>
    </row>
    <row r="9" spans="1:3" ht="15">
      <c r="A9" s="9">
        <v>2</v>
      </c>
      <c r="B9" s="10" t="s">
        <v>8</v>
      </c>
      <c r="C9" s="29">
        <v>0</v>
      </c>
    </row>
    <row r="10" spans="1:4" ht="15">
      <c r="A10" s="9">
        <v>3</v>
      </c>
      <c r="B10" s="11" t="s">
        <v>2</v>
      </c>
      <c r="C10" s="30">
        <v>0</v>
      </c>
      <c r="D10" s="14"/>
    </row>
    <row r="11" spans="1:3" ht="15">
      <c r="A11" s="9">
        <v>6</v>
      </c>
      <c r="B11" s="10" t="s">
        <v>30</v>
      </c>
      <c r="C11" s="29" t="s">
        <v>370</v>
      </c>
    </row>
    <row r="12" spans="2:3" ht="15.75" thickBot="1">
      <c r="B12" s="12" t="s">
        <v>31</v>
      </c>
      <c r="C12" s="36">
        <f>IF(ISNUMBER(C11)=TRUE,C10-C11,C10)</f>
        <v>0</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103" t="s">
        <v>370</v>
      </c>
      <c r="D17" s="104" t="s">
        <v>370</v>
      </c>
      <c r="E17" s="105" t="s">
        <v>370</v>
      </c>
      <c r="F17" s="106"/>
      <c r="G17" s="105"/>
      <c r="H17" s="106"/>
      <c r="I17" s="105"/>
      <c r="J17" s="106"/>
      <c r="K17" s="105"/>
      <c r="L17" s="106"/>
      <c r="N17" s="27"/>
    </row>
    <row r="18" spans="1:14" ht="15">
      <c r="A18" s="9">
        <v>8</v>
      </c>
      <c r="B18" s="17" t="s">
        <v>33</v>
      </c>
      <c r="C18" s="31" t="s">
        <v>370</v>
      </c>
      <c r="D18" s="18"/>
      <c r="E18" s="19"/>
      <c r="F18" s="20"/>
      <c r="G18" s="19"/>
      <c r="H18" s="20"/>
      <c r="I18" s="19"/>
      <c r="J18" s="20"/>
      <c r="K18" s="19"/>
      <c r="L18" s="20"/>
      <c r="N18" s="27"/>
    </row>
    <row r="19" spans="1:14" ht="15">
      <c r="A19" s="9">
        <v>10</v>
      </c>
      <c r="B19" s="17" t="s">
        <v>34</v>
      </c>
      <c r="C19" s="31" t="s">
        <v>370</v>
      </c>
      <c r="D19" s="18" t="s">
        <v>370</v>
      </c>
      <c r="E19" s="19" t="s">
        <v>370</v>
      </c>
      <c r="F19" s="20"/>
      <c r="G19" s="19"/>
      <c r="H19" s="20"/>
      <c r="I19" s="19"/>
      <c r="J19" s="20"/>
      <c r="K19" s="19"/>
      <c r="L19" s="20"/>
      <c r="N19" s="27"/>
    </row>
    <row r="20" spans="1:14" ht="15">
      <c r="A20" s="9">
        <v>11</v>
      </c>
      <c r="B20" s="17" t="s">
        <v>35</v>
      </c>
      <c r="C20" s="31">
        <v>0</v>
      </c>
      <c r="D20" s="18">
        <v>0</v>
      </c>
      <c r="E20" s="19">
        <v>0</v>
      </c>
      <c r="F20" s="20"/>
      <c r="G20" s="19"/>
      <c r="H20" s="20"/>
      <c r="I20" s="19"/>
      <c r="J20" s="20"/>
      <c r="K20" s="19"/>
      <c r="L20" s="20"/>
      <c r="N20" s="27"/>
    </row>
    <row r="21" spans="1:14" ht="15">
      <c r="A21" s="9" t="s">
        <v>36</v>
      </c>
      <c r="B21" s="17" t="s">
        <v>37</v>
      </c>
      <c r="C21" s="31" t="s">
        <v>370</v>
      </c>
      <c r="D21" s="18" t="s">
        <v>370</v>
      </c>
      <c r="E21" s="19" t="s">
        <v>370</v>
      </c>
      <c r="F21" s="20"/>
      <c r="G21" s="19"/>
      <c r="H21" s="20"/>
      <c r="I21" s="19"/>
      <c r="J21" s="20"/>
      <c r="K21" s="19"/>
      <c r="L21" s="20"/>
      <c r="N21" s="27"/>
    </row>
    <row r="22" spans="1:14" ht="15">
      <c r="A22" s="9" t="s">
        <v>38</v>
      </c>
      <c r="B22" s="17" t="s">
        <v>39</v>
      </c>
      <c r="C22" s="31">
        <v>0</v>
      </c>
      <c r="D22" s="18">
        <v>0</v>
      </c>
      <c r="E22" s="19">
        <v>0</v>
      </c>
      <c r="F22" s="20"/>
      <c r="G22" s="19"/>
      <c r="H22" s="20"/>
      <c r="I22" s="19"/>
      <c r="J22" s="20"/>
      <c r="K22" s="19"/>
      <c r="L22" s="20"/>
      <c r="N22" s="27"/>
    </row>
    <row r="23" spans="1:14" ht="15">
      <c r="A23" s="9" t="s">
        <v>40</v>
      </c>
      <c r="B23" s="17" t="s">
        <v>41</v>
      </c>
      <c r="C23" s="31" t="s">
        <v>370</v>
      </c>
      <c r="D23" s="18" t="s">
        <v>370</v>
      </c>
      <c r="E23" s="19" t="s">
        <v>370</v>
      </c>
      <c r="F23" s="20"/>
      <c r="G23" s="19"/>
      <c r="H23" s="20"/>
      <c r="I23" s="19"/>
      <c r="J23" s="20"/>
      <c r="K23" s="19"/>
      <c r="L23" s="20"/>
      <c r="N23" s="27"/>
    </row>
    <row r="24" spans="1:14" ht="15">
      <c r="A24" s="9">
        <v>13</v>
      </c>
      <c r="B24" s="17" t="s">
        <v>42</v>
      </c>
      <c r="C24" s="31" t="s">
        <v>370</v>
      </c>
      <c r="D24" s="18" t="s">
        <v>370</v>
      </c>
      <c r="E24" s="19" t="s">
        <v>370</v>
      </c>
      <c r="F24" s="20"/>
      <c r="G24" s="19"/>
      <c r="H24" s="20"/>
      <c r="I24" s="19"/>
      <c r="J24" s="20"/>
      <c r="K24" s="19"/>
      <c r="L24" s="20"/>
      <c r="N24" s="27"/>
    </row>
    <row r="25" spans="1:14" ht="15.75" thickBot="1">
      <c r="A25" s="9">
        <v>16</v>
      </c>
      <c r="B25" s="17" t="s">
        <v>26</v>
      </c>
      <c r="C25" s="31">
        <v>0</v>
      </c>
      <c r="D25" s="18">
        <v>0</v>
      </c>
      <c r="E25" s="19">
        <v>0</v>
      </c>
      <c r="F25" s="20"/>
      <c r="G25" s="19"/>
      <c r="H25" s="20"/>
      <c r="I25" s="19"/>
      <c r="J25" s="20"/>
      <c r="K25" s="19"/>
      <c r="L25" s="20"/>
      <c r="N25" s="27"/>
    </row>
    <row r="26" spans="1:12" ht="15.75" thickBot="1">
      <c r="A26" s="9">
        <v>17</v>
      </c>
      <c r="B26" s="21" t="s">
        <v>9</v>
      </c>
      <c r="C26" s="32">
        <f>SUM(C17:C25)</f>
        <v>0</v>
      </c>
      <c r="D26" s="22"/>
      <c r="E26" s="23">
        <v>0</v>
      </c>
      <c r="F26" s="24">
        <v>0</v>
      </c>
      <c r="G26" s="23">
        <v>0</v>
      </c>
      <c r="H26" s="24">
        <v>0</v>
      </c>
      <c r="I26" s="23">
        <v>0</v>
      </c>
      <c r="J26" s="24">
        <v>0</v>
      </c>
      <c r="K26" s="23">
        <f>E26+G26-I26</f>
        <v>0</v>
      </c>
      <c r="L26" s="24">
        <f>F26+H26-J26</f>
        <v>0</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114">
        <v>0</v>
      </c>
    </row>
    <row r="32" spans="2:3" ht="15.75" thickBot="1">
      <c r="B32" s="257" t="s">
        <v>374</v>
      </c>
      <c r="C32" s="26">
        <v>0</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67</v>
      </c>
      <c r="I1" s="6"/>
    </row>
    <row r="2" ht="4.5" customHeight="1"/>
    <row r="3" spans="2:9" ht="15">
      <c r="B3" s="283" t="s">
        <v>431</v>
      </c>
      <c r="C3" s="28" t="s">
        <v>69</v>
      </c>
      <c r="I3" s="7"/>
    </row>
    <row r="4" spans="2:9" ht="15">
      <c r="B4" s="27" t="s">
        <v>68</v>
      </c>
      <c r="C4" s="28" t="s">
        <v>371</v>
      </c>
      <c r="I4" s="27"/>
    </row>
    <row r="5" spans="2:3" ht="14.25" customHeight="1">
      <c r="B5" s="274" t="s">
        <v>461</v>
      </c>
      <c r="C5" s="4" t="s">
        <v>372</v>
      </c>
    </row>
    <row r="6" ht="14.25" customHeight="1" thickBot="1"/>
    <row r="7" spans="2:4" ht="16.5" customHeight="1" thickBot="1">
      <c r="B7" s="111"/>
      <c r="C7" s="112" t="s">
        <v>3</v>
      </c>
      <c r="D7" s="8"/>
    </row>
    <row r="8" spans="1:3" ht="15">
      <c r="A8" s="9">
        <v>1</v>
      </c>
      <c r="B8" s="102" t="s">
        <v>0</v>
      </c>
      <c r="C8" s="345">
        <v>0.7803</v>
      </c>
    </row>
    <row r="9" spans="1:3" ht="15">
      <c r="A9" s="9">
        <v>2</v>
      </c>
      <c r="B9" s="10" t="s">
        <v>8</v>
      </c>
      <c r="C9" s="346" t="s">
        <v>370</v>
      </c>
    </row>
    <row r="10" spans="1:3" ht="15">
      <c r="A10" s="9">
        <v>3</v>
      </c>
      <c r="B10" s="11" t="s">
        <v>2</v>
      </c>
      <c r="C10" s="393">
        <v>0.7803</v>
      </c>
    </row>
    <row r="11" spans="1:3" ht="15">
      <c r="A11" s="9">
        <v>6</v>
      </c>
      <c r="B11" s="10" t="s">
        <v>30</v>
      </c>
      <c r="C11" s="346" t="s">
        <v>370</v>
      </c>
    </row>
    <row r="12" spans="2:3" ht="15.75" thickBot="1">
      <c r="B12" s="12" t="s">
        <v>31</v>
      </c>
      <c r="C12" s="347">
        <v>0.7803</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48" t="s">
        <v>370</v>
      </c>
      <c r="D17" s="349">
        <v>3575.893754887723</v>
      </c>
      <c r="E17" s="350" t="s">
        <v>370</v>
      </c>
      <c r="F17" s="351"/>
      <c r="G17" s="350"/>
      <c r="H17" s="351"/>
      <c r="I17" s="350"/>
      <c r="J17" s="351"/>
      <c r="K17" s="350"/>
      <c r="L17" s="351"/>
      <c r="N17" s="27"/>
    </row>
    <row r="18" spans="1:14" ht="15">
      <c r="A18" s="9">
        <v>8</v>
      </c>
      <c r="B18" s="17" t="s">
        <v>33</v>
      </c>
      <c r="C18" s="352" t="s">
        <v>370</v>
      </c>
      <c r="D18" s="349">
        <v>3575.893754887723</v>
      </c>
      <c r="E18" s="355"/>
      <c r="F18" s="354"/>
      <c r="G18" s="355"/>
      <c r="H18" s="354"/>
      <c r="I18" s="355"/>
      <c r="J18" s="354"/>
      <c r="K18" s="350"/>
      <c r="L18" s="354"/>
      <c r="N18" s="27"/>
    </row>
    <row r="19" spans="1:14" ht="15">
      <c r="A19" s="9">
        <v>10</v>
      </c>
      <c r="B19" s="17" t="s">
        <v>34</v>
      </c>
      <c r="C19" s="352" t="s">
        <v>370</v>
      </c>
      <c r="D19" s="349">
        <v>3575.893754887723</v>
      </c>
      <c r="E19" s="355" t="s">
        <v>370</v>
      </c>
      <c r="F19" s="354"/>
      <c r="G19" s="355"/>
      <c r="H19" s="354"/>
      <c r="I19" s="355"/>
      <c r="J19" s="354"/>
      <c r="K19" s="350"/>
      <c r="L19" s="354"/>
      <c r="N19" s="27"/>
    </row>
    <row r="20" spans="1:14" ht="15">
      <c r="A20" s="9">
        <v>11</v>
      </c>
      <c r="B20" s="17" t="s">
        <v>35</v>
      </c>
      <c r="C20" s="352"/>
      <c r="D20" s="349">
        <v>3575.893754887723</v>
      </c>
      <c r="E20" s="355"/>
      <c r="F20" s="354"/>
      <c r="G20" s="355"/>
      <c r="H20" s="354"/>
      <c r="I20" s="355"/>
      <c r="J20" s="354"/>
      <c r="K20" s="350">
        <f aca="true" t="shared" si="0" ref="K20:L26">E20+G20-I20</f>
        <v>0</v>
      </c>
      <c r="L20" s="354">
        <f t="shared" si="0"/>
        <v>0</v>
      </c>
      <c r="N20" s="27"/>
    </row>
    <row r="21" spans="1:14" ht="15">
      <c r="A21" s="9" t="s">
        <v>36</v>
      </c>
      <c r="B21" s="17" t="s">
        <v>37</v>
      </c>
      <c r="C21" s="352" t="s">
        <v>370</v>
      </c>
      <c r="D21" s="349">
        <v>3575.893754887723</v>
      </c>
      <c r="E21" s="355" t="s">
        <v>370</v>
      </c>
      <c r="F21" s="354"/>
      <c r="G21" s="355"/>
      <c r="H21" s="354"/>
      <c r="I21" s="355"/>
      <c r="J21" s="354"/>
      <c r="K21" s="350"/>
      <c r="L21" s="354"/>
      <c r="N21" s="27"/>
    </row>
    <row r="22" spans="1:14" ht="15">
      <c r="A22" s="9" t="s">
        <v>38</v>
      </c>
      <c r="B22" s="17" t="s">
        <v>39</v>
      </c>
      <c r="C22" s="352">
        <v>0.7803</v>
      </c>
      <c r="D22" s="349">
        <v>3575.893754887723</v>
      </c>
      <c r="E22" s="355">
        <v>2.79026989693889</v>
      </c>
      <c r="F22" s="354">
        <v>2.8014954839999997</v>
      </c>
      <c r="G22" s="355"/>
      <c r="H22" s="354"/>
      <c r="I22" s="355"/>
      <c r="J22" s="354"/>
      <c r="K22" s="350">
        <f t="shared" si="0"/>
        <v>2.79026989693889</v>
      </c>
      <c r="L22" s="354">
        <f t="shared" si="0"/>
        <v>2.8014954839999997</v>
      </c>
      <c r="N22" s="27"/>
    </row>
    <row r="23" spans="1:14" ht="15">
      <c r="A23" s="9" t="s">
        <v>40</v>
      </c>
      <c r="B23" s="17" t="s">
        <v>41</v>
      </c>
      <c r="C23" s="352" t="s">
        <v>370</v>
      </c>
      <c r="D23" s="349">
        <v>3575.893754887723</v>
      </c>
      <c r="E23" s="355" t="s">
        <v>370</v>
      </c>
      <c r="F23" s="354"/>
      <c r="G23" s="355"/>
      <c r="H23" s="354"/>
      <c r="I23" s="355"/>
      <c r="J23" s="354"/>
      <c r="K23" s="350"/>
      <c r="L23" s="354"/>
      <c r="N23" s="27"/>
    </row>
    <row r="24" spans="1:14" ht="15">
      <c r="A24" s="9">
        <v>13</v>
      </c>
      <c r="B24" s="17" t="s">
        <v>42</v>
      </c>
      <c r="C24" s="352" t="s">
        <v>370</v>
      </c>
      <c r="D24" s="349">
        <v>3575.893754887723</v>
      </c>
      <c r="E24" s="355" t="s">
        <v>370</v>
      </c>
      <c r="F24" s="354"/>
      <c r="G24" s="355"/>
      <c r="H24" s="354"/>
      <c r="I24" s="355"/>
      <c r="J24" s="354"/>
      <c r="K24" s="350"/>
      <c r="L24" s="354"/>
      <c r="N24" s="27"/>
    </row>
    <row r="25" spans="1:14" ht="15.75" thickBot="1">
      <c r="A25" s="9">
        <v>16</v>
      </c>
      <c r="B25" s="17" t="s">
        <v>26</v>
      </c>
      <c r="C25" s="352" t="s">
        <v>370</v>
      </c>
      <c r="D25" s="349">
        <v>3575.893754887723</v>
      </c>
      <c r="E25" s="355" t="s">
        <v>370</v>
      </c>
      <c r="F25" s="354"/>
      <c r="G25" s="355"/>
      <c r="H25" s="354"/>
      <c r="I25" s="355"/>
      <c r="J25" s="354"/>
      <c r="K25" s="350"/>
      <c r="L25" s="354"/>
      <c r="N25" s="27"/>
    </row>
    <row r="26" spans="1:12" ht="15.75" thickBot="1">
      <c r="A26" s="9">
        <v>17</v>
      </c>
      <c r="B26" s="21" t="s">
        <v>9</v>
      </c>
      <c r="C26" s="356">
        <f>SUM(C17:C25)</f>
        <v>0.7803</v>
      </c>
      <c r="D26" s="357"/>
      <c r="E26" s="390">
        <f>SUM(E17:E25)</f>
        <v>2.79026989693889</v>
      </c>
      <c r="F26" s="390">
        <f>SUM(F17:F25)</f>
        <v>2.8014954839999997</v>
      </c>
      <c r="G26" s="358">
        <v>0</v>
      </c>
      <c r="H26" s="359">
        <v>0</v>
      </c>
      <c r="I26" s="358">
        <v>0</v>
      </c>
      <c r="J26" s="359">
        <v>0</v>
      </c>
      <c r="K26" s="390">
        <f>E26+G26-I26</f>
        <v>2.79026989693889</v>
      </c>
      <c r="L26" s="493">
        <f t="shared" si="0"/>
        <v>2.8014954839999997</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380">
        <v>99.5993001907295</v>
      </c>
    </row>
    <row r="32" spans="2:3" ht="15.75" thickBot="1">
      <c r="B32" s="257" t="s">
        <v>374</v>
      </c>
      <c r="C32" s="381">
        <v>156.56099518459067</v>
      </c>
    </row>
    <row r="35" ht="15">
      <c r="B35" s="5" t="s">
        <v>537</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2"/>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8" ht="18.75">
      <c r="B1" s="6" t="s">
        <v>82</v>
      </c>
      <c r="H1" s="6"/>
    </row>
    <row r="2" ht="4.5" customHeight="1">
      <c r="B2" s="178"/>
    </row>
    <row r="3" spans="2:8" ht="15">
      <c r="B3" s="396" t="s">
        <v>464</v>
      </c>
      <c r="C3" s="28" t="s">
        <v>70</v>
      </c>
      <c r="H3" s="7"/>
    </row>
    <row r="4" spans="2:8" ht="15">
      <c r="B4" s="27" t="s">
        <v>71</v>
      </c>
      <c r="C4" s="4" t="s">
        <v>371</v>
      </c>
      <c r="H4" s="27"/>
    </row>
    <row r="5" spans="2:3" ht="14.25" customHeight="1">
      <c r="B5" s="286" t="s">
        <v>471</v>
      </c>
      <c r="C5" s="4" t="s">
        <v>372</v>
      </c>
    </row>
    <row r="6" ht="14.25" customHeight="1" thickBot="1"/>
    <row r="7" spans="2:4" ht="16.5" customHeight="1" thickBot="1">
      <c r="B7" s="111"/>
      <c r="C7" s="112" t="s">
        <v>84</v>
      </c>
      <c r="D7" s="112" t="s">
        <v>72</v>
      </c>
    </row>
    <row r="8" spans="2:6" ht="14.45" customHeight="1">
      <c r="B8" s="53" t="s">
        <v>73</v>
      </c>
      <c r="C8" s="54">
        <v>0</v>
      </c>
      <c r="D8" s="110">
        <v>0</v>
      </c>
      <c r="F8" s="33"/>
    </row>
    <row r="9" spans="2:6" ht="14.45" customHeight="1">
      <c r="B9" s="35" t="s">
        <v>75</v>
      </c>
      <c r="C9" s="54">
        <v>0</v>
      </c>
      <c r="D9" s="110">
        <v>0</v>
      </c>
      <c r="F9" s="33"/>
    </row>
    <row r="10" spans="2:6" ht="14.45" customHeight="1">
      <c r="B10" s="35" t="s">
        <v>76</v>
      </c>
      <c r="C10" s="54">
        <v>0</v>
      </c>
      <c r="D10" s="110">
        <v>0</v>
      </c>
      <c r="F10" s="33"/>
    </row>
    <row r="11" spans="2:6" ht="14.45" customHeight="1" thickBot="1">
      <c r="B11" s="12" t="s">
        <v>74</v>
      </c>
      <c r="C11" s="47">
        <v>0</v>
      </c>
      <c r="D11" s="36">
        <v>0</v>
      </c>
      <c r="F11" s="33"/>
    </row>
    <row r="12" spans="2:4" ht="14.25" customHeight="1">
      <c r="B12" s="15"/>
      <c r="C12" s="33"/>
      <c r="D12" s="33"/>
    </row>
    <row r="13" ht="14.25" customHeight="1"/>
    <row r="14" ht="14.25" customHeight="1" thickBot="1"/>
    <row r="15" spans="2:4" ht="16.5" customHeight="1" thickBot="1">
      <c r="B15" s="111"/>
      <c r="C15" s="112" t="s">
        <v>84</v>
      </c>
      <c r="D15" s="112" t="s">
        <v>72</v>
      </c>
    </row>
    <row r="16" spans="2:6" ht="14.45" customHeight="1">
      <c r="B16" s="53" t="s">
        <v>77</v>
      </c>
      <c r="C16" s="54">
        <v>0</v>
      </c>
      <c r="D16" s="110">
        <v>0</v>
      </c>
      <c r="F16" s="33"/>
    </row>
    <row r="17" spans="2:6" ht="14.45" customHeight="1" thickBot="1">
      <c r="B17" s="37" t="s">
        <v>78</v>
      </c>
      <c r="C17" s="54">
        <v>0</v>
      </c>
      <c r="D17" s="110">
        <v>0</v>
      </c>
      <c r="F17" s="33"/>
    </row>
    <row r="18" ht="14.25" customHeight="1"/>
    <row r="19" ht="14.25" customHeight="1" thickBot="1"/>
    <row r="20" spans="2:4" ht="16.5" customHeight="1" thickBot="1">
      <c r="B20" s="111"/>
      <c r="C20" s="112" t="s">
        <v>3</v>
      </c>
      <c r="D20" s="8"/>
    </row>
    <row r="21" spans="1:4" ht="14.45" customHeight="1">
      <c r="A21" s="9">
        <v>1</v>
      </c>
      <c r="B21" s="102" t="s">
        <v>0</v>
      </c>
      <c r="C21" s="374">
        <v>75.4400592516484</v>
      </c>
      <c r="D21" s="33"/>
    </row>
    <row r="22" spans="1:3" ht="15">
      <c r="A22" s="9">
        <v>2</v>
      </c>
      <c r="B22" s="10" t="s">
        <v>8</v>
      </c>
      <c r="C22" s="379" t="s">
        <v>370</v>
      </c>
    </row>
    <row r="23" spans="1:3" ht="15.75" thickBot="1">
      <c r="A23" s="9">
        <v>3</v>
      </c>
      <c r="B23" s="12" t="s">
        <v>2</v>
      </c>
      <c r="C23" s="374">
        <v>75.4400592516484</v>
      </c>
    </row>
    <row r="24" spans="1:3" ht="15">
      <c r="A24" s="9">
        <v>7</v>
      </c>
      <c r="B24" s="10" t="s">
        <v>32</v>
      </c>
      <c r="C24" s="379"/>
    </row>
    <row r="25" spans="2:3" ht="15.75" thickBot="1">
      <c r="B25" s="12" t="s">
        <v>105</v>
      </c>
      <c r="C25" s="375">
        <f>IF(ISNUMBER(C24)=TRUE,C23-C24,C23)</f>
        <v>75.4400592516484</v>
      </c>
    </row>
    <row r="26" spans="2:3" ht="15">
      <c r="B26" s="13"/>
      <c r="C26" s="14"/>
    </row>
    <row r="27" spans="2:3" ht="15.75" thickBot="1">
      <c r="B27" s="15"/>
      <c r="C27" s="16"/>
    </row>
    <row r="28" spans="2:14" ht="16.5" customHeight="1">
      <c r="B28" s="555" t="s">
        <v>1</v>
      </c>
      <c r="C28" s="557" t="s">
        <v>3</v>
      </c>
      <c r="D28" s="559" t="s">
        <v>4</v>
      </c>
      <c r="E28" s="561" t="s">
        <v>5</v>
      </c>
      <c r="F28" s="562"/>
      <c r="G28" s="561" t="s">
        <v>6</v>
      </c>
      <c r="H28" s="562"/>
      <c r="I28" s="561" t="s">
        <v>12</v>
      </c>
      <c r="J28" s="562"/>
      <c r="K28" s="553" t="s">
        <v>7</v>
      </c>
      <c r="L28" s="554"/>
      <c r="N28" s="25"/>
    </row>
    <row r="29" spans="2:12" ht="15.75" thickBot="1">
      <c r="B29" s="556"/>
      <c r="C29" s="558"/>
      <c r="D29" s="560"/>
      <c r="E29" s="107" t="s">
        <v>10</v>
      </c>
      <c r="F29" s="108" t="s">
        <v>11</v>
      </c>
      <c r="G29" s="107" t="s">
        <v>10</v>
      </c>
      <c r="H29" s="108" t="s">
        <v>11</v>
      </c>
      <c r="I29" s="107" t="s">
        <v>10</v>
      </c>
      <c r="J29" s="108" t="s">
        <v>11</v>
      </c>
      <c r="K29" s="115" t="s">
        <v>10</v>
      </c>
      <c r="L29" s="116" t="s">
        <v>11</v>
      </c>
    </row>
    <row r="30" spans="1:14" ht="15">
      <c r="A30" s="9">
        <v>6</v>
      </c>
      <c r="B30" s="53" t="s">
        <v>104</v>
      </c>
      <c r="C30" s="348" t="s">
        <v>370</v>
      </c>
      <c r="D30" s="349"/>
      <c r="E30" s="350"/>
      <c r="F30" s="351"/>
      <c r="G30" s="350"/>
      <c r="H30" s="351"/>
      <c r="I30" s="350"/>
      <c r="J30" s="351"/>
      <c r="K30" s="350"/>
      <c r="L30" s="351"/>
      <c r="N30" s="27"/>
    </row>
    <row r="31" spans="1:14" ht="15">
      <c r="A31" s="9">
        <v>8</v>
      </c>
      <c r="B31" s="17" t="s">
        <v>33</v>
      </c>
      <c r="C31" s="352" t="s">
        <v>370</v>
      </c>
      <c r="D31" s="353"/>
      <c r="E31" s="355"/>
      <c r="F31" s="354"/>
      <c r="G31" s="355"/>
      <c r="H31" s="354"/>
      <c r="I31" s="355"/>
      <c r="J31" s="354"/>
      <c r="K31" s="350"/>
      <c r="L31" s="354"/>
      <c r="N31" s="27"/>
    </row>
    <row r="32" spans="1:14" ht="15">
      <c r="A32" s="9">
        <v>10</v>
      </c>
      <c r="B32" s="17" t="s">
        <v>34</v>
      </c>
      <c r="C32" s="352" t="s">
        <v>370</v>
      </c>
      <c r="D32" s="353"/>
      <c r="E32" s="355" t="s">
        <v>370</v>
      </c>
      <c r="F32" s="354"/>
      <c r="G32" s="355"/>
      <c r="H32" s="354"/>
      <c r="I32" s="355"/>
      <c r="J32" s="354"/>
      <c r="K32" s="350"/>
      <c r="L32" s="354"/>
      <c r="N32" s="27"/>
    </row>
    <row r="33" spans="1:14" ht="15">
      <c r="A33" s="9">
        <v>11</v>
      </c>
      <c r="B33" s="17" t="s">
        <v>35</v>
      </c>
      <c r="C33" s="352">
        <v>9.381049251648403</v>
      </c>
      <c r="D33" s="353">
        <v>1386.4438474623491</v>
      </c>
      <c r="E33" s="355">
        <f>C33*D33/1000</f>
        <v>13.006298017689202</v>
      </c>
      <c r="F33" s="354">
        <v>13.310688339685019</v>
      </c>
      <c r="G33" s="355"/>
      <c r="H33" s="354"/>
      <c r="I33" s="355"/>
      <c r="J33" s="354"/>
      <c r="K33" s="350">
        <f aca="true" t="shared" si="0" ref="K33:L39">E33+G33-I33</f>
        <v>13.006298017689202</v>
      </c>
      <c r="L33" s="354">
        <f t="shared" si="0"/>
        <v>13.310688339685019</v>
      </c>
      <c r="N33" s="27"/>
    </row>
    <row r="34" spans="1:14" ht="15">
      <c r="A34" s="9" t="s">
        <v>36</v>
      </c>
      <c r="B34" s="17" t="s">
        <v>37</v>
      </c>
      <c r="C34" s="352">
        <v>5.7438199999999995</v>
      </c>
      <c r="D34" s="353">
        <v>1386.4438474623491</v>
      </c>
      <c r="E34" s="355">
        <f aca="true" t="shared" si="1" ref="E34:E36">C34*D34/1000</f>
        <v>7.963483899931189</v>
      </c>
      <c r="F34" s="354">
        <v>8.14985571958439</v>
      </c>
      <c r="G34" s="355"/>
      <c r="H34" s="354"/>
      <c r="I34" s="355"/>
      <c r="J34" s="354"/>
      <c r="K34" s="350">
        <f t="shared" si="0"/>
        <v>7.963483899931189</v>
      </c>
      <c r="L34" s="354">
        <f t="shared" si="0"/>
        <v>8.14985571958439</v>
      </c>
      <c r="N34" s="27"/>
    </row>
    <row r="35" spans="1:14" ht="15">
      <c r="A35" s="9" t="s">
        <v>38</v>
      </c>
      <c r="B35" s="17" t="s">
        <v>39</v>
      </c>
      <c r="C35" s="352">
        <v>49.612190000000005</v>
      </c>
      <c r="D35" s="353">
        <v>1386.4438474623491</v>
      </c>
      <c r="E35" s="355">
        <f t="shared" si="1"/>
        <v>68.78451558463308</v>
      </c>
      <c r="F35" s="354">
        <v>70.39430038417075</v>
      </c>
      <c r="G35" s="355"/>
      <c r="H35" s="354"/>
      <c r="I35" s="355"/>
      <c r="J35" s="354"/>
      <c r="K35" s="350">
        <f t="shared" si="0"/>
        <v>68.78451558463308</v>
      </c>
      <c r="L35" s="354">
        <f t="shared" si="0"/>
        <v>70.39430038417075</v>
      </c>
      <c r="N35" s="27"/>
    </row>
    <row r="36" spans="1:14" ht="15">
      <c r="A36" s="9" t="s">
        <v>40</v>
      </c>
      <c r="B36" s="17" t="s">
        <v>41</v>
      </c>
      <c r="C36" s="352">
        <v>10.703</v>
      </c>
      <c r="D36" s="353">
        <v>1386.4438474623491</v>
      </c>
      <c r="E36" s="355">
        <f t="shared" si="1"/>
        <v>14.839108499389521</v>
      </c>
      <c r="F36" s="354">
        <v>15.18639263882081</v>
      </c>
      <c r="G36" s="355"/>
      <c r="H36" s="354"/>
      <c r="I36" s="355"/>
      <c r="J36" s="354"/>
      <c r="K36" s="350">
        <f t="shared" si="0"/>
        <v>14.839108499389521</v>
      </c>
      <c r="L36" s="354">
        <f t="shared" si="0"/>
        <v>15.18639263882081</v>
      </c>
      <c r="N36" s="27"/>
    </row>
    <row r="37" spans="1:14" ht="15">
      <c r="A37" s="9">
        <v>13</v>
      </c>
      <c r="B37" s="17" t="s">
        <v>42</v>
      </c>
      <c r="C37" s="352"/>
      <c r="D37" s="353"/>
      <c r="E37" s="355"/>
      <c r="F37" s="354"/>
      <c r="G37" s="355"/>
      <c r="H37" s="354"/>
      <c r="I37" s="355"/>
      <c r="J37" s="354"/>
      <c r="K37" s="350">
        <f t="shared" si="0"/>
        <v>0</v>
      </c>
      <c r="L37" s="354">
        <f t="shared" si="0"/>
        <v>0</v>
      </c>
      <c r="N37" s="27"/>
    </row>
    <row r="38" spans="1:14" ht="15.75" thickBot="1">
      <c r="A38" s="9">
        <v>16</v>
      </c>
      <c r="B38" s="17" t="s">
        <v>26</v>
      </c>
      <c r="C38" s="352"/>
      <c r="D38" s="353"/>
      <c r="E38" s="355"/>
      <c r="F38" s="354"/>
      <c r="G38" s="355">
        <v>10.3664534843729</v>
      </c>
      <c r="H38" s="354">
        <v>10.3664534843729</v>
      </c>
      <c r="I38" s="355"/>
      <c r="J38" s="354"/>
      <c r="K38" s="350">
        <f t="shared" si="0"/>
        <v>10.3664534843729</v>
      </c>
      <c r="L38" s="354">
        <f t="shared" si="0"/>
        <v>10.3664534843729</v>
      </c>
      <c r="N38" s="27"/>
    </row>
    <row r="39" spans="1:12" ht="15.75" thickBot="1">
      <c r="A39" s="9">
        <v>17</v>
      </c>
      <c r="B39" s="21" t="s">
        <v>9</v>
      </c>
      <c r="C39" s="356">
        <f>SUM(C30:C38)</f>
        <v>75.4400592516484</v>
      </c>
      <c r="D39" s="357"/>
      <c r="E39" s="358">
        <f>SUM(E30:E38)</f>
        <v>104.593406001643</v>
      </c>
      <c r="F39" s="358">
        <f>SUM(F30:F38)</f>
        <v>107.04123708226096</v>
      </c>
      <c r="G39" s="358">
        <f>SUM(G30:G38)</f>
        <v>10.3664534843729</v>
      </c>
      <c r="H39" s="358">
        <f>SUM(H30:H38)</f>
        <v>10.3664534843729</v>
      </c>
      <c r="I39" s="358">
        <v>0</v>
      </c>
      <c r="J39" s="359">
        <v>0</v>
      </c>
      <c r="K39" s="358">
        <f t="shared" si="0"/>
        <v>114.9598594860159</v>
      </c>
      <c r="L39" s="359">
        <f t="shared" si="0"/>
        <v>117.40769056663386</v>
      </c>
    </row>
    <row r="40" spans="3:12" ht="15">
      <c r="C40" s="13"/>
      <c r="E40" s="13"/>
      <c r="F40" s="13"/>
      <c r="G40" s="13"/>
      <c r="H40" s="13"/>
      <c r="I40" s="13"/>
      <c r="J40" s="13"/>
      <c r="K40" s="13"/>
      <c r="L40" s="13"/>
    </row>
    <row r="41" ht="15">
      <c r="B41" s="5" t="s">
        <v>538</v>
      </c>
    </row>
    <row r="42" ht="15.75" thickBot="1"/>
    <row r="43" spans="2:3" ht="15.75" thickBot="1">
      <c r="B43" s="111"/>
      <c r="C43" s="113">
        <v>2020</v>
      </c>
    </row>
    <row r="44" spans="2:3" ht="15">
      <c r="B44" s="60" t="s">
        <v>373</v>
      </c>
      <c r="C44" s="377">
        <v>97.7131887230182</v>
      </c>
    </row>
    <row r="45" spans="2:3" ht="15.75" thickBot="1">
      <c r="B45" s="181" t="s">
        <v>374</v>
      </c>
      <c r="C45" s="378">
        <v>109.73803487028646</v>
      </c>
    </row>
    <row r="48" spans="2:3" ht="15">
      <c r="B48" s="7" t="s">
        <v>430</v>
      </c>
      <c r="C48" s="28" t="s">
        <v>70</v>
      </c>
    </row>
    <row r="49" spans="2:3" ht="15">
      <c r="B49" s="27" t="s">
        <v>79</v>
      </c>
      <c r="C49" s="4" t="s">
        <v>371</v>
      </c>
    </row>
    <row r="50" ht="14.25" customHeight="1">
      <c r="C50" s="4" t="s">
        <v>372</v>
      </c>
    </row>
    <row r="51" ht="14.25" customHeight="1" thickBot="1"/>
    <row r="52" spans="2:4" ht="16.5" customHeight="1" thickBot="1">
      <c r="B52" s="111"/>
      <c r="C52" s="112" t="s">
        <v>84</v>
      </c>
      <c r="D52" s="112" t="s">
        <v>72</v>
      </c>
    </row>
    <row r="53" spans="2:6" ht="14.45" customHeight="1">
      <c r="B53" s="53" t="s">
        <v>73</v>
      </c>
      <c r="C53" s="54">
        <v>0</v>
      </c>
      <c r="D53" s="110">
        <v>0</v>
      </c>
      <c r="F53" s="33"/>
    </row>
    <row r="54" spans="2:6" ht="14.45" customHeight="1">
      <c r="B54" s="35" t="s">
        <v>75</v>
      </c>
      <c r="C54" s="54">
        <v>0</v>
      </c>
      <c r="D54" s="110">
        <v>0</v>
      </c>
      <c r="F54" s="33"/>
    </row>
    <row r="55" spans="2:6" ht="14.45" customHeight="1">
      <c r="B55" s="35" t="s">
        <v>76</v>
      </c>
      <c r="C55" s="54">
        <v>0</v>
      </c>
      <c r="D55" s="110">
        <v>0</v>
      </c>
      <c r="F55" s="33"/>
    </row>
    <row r="56" spans="2:6" ht="14.45" customHeight="1" thickBot="1">
      <c r="B56" s="12" t="s">
        <v>74</v>
      </c>
      <c r="C56" s="47">
        <v>0</v>
      </c>
      <c r="D56" s="36">
        <v>0</v>
      </c>
      <c r="F56" s="33"/>
    </row>
    <row r="57" spans="2:4" ht="14.25" customHeight="1">
      <c r="B57" s="15"/>
      <c r="C57" s="33"/>
      <c r="D57" s="33"/>
    </row>
    <row r="58" ht="14.25" customHeight="1"/>
    <row r="59" ht="14.25" customHeight="1" thickBot="1"/>
    <row r="60" spans="2:4" ht="16.5" customHeight="1" thickBot="1">
      <c r="B60" s="111"/>
      <c r="C60" s="112" t="s">
        <v>84</v>
      </c>
      <c r="D60" s="112" t="s">
        <v>72</v>
      </c>
    </row>
    <row r="61" spans="2:6" ht="14.45" customHeight="1">
      <c r="B61" s="53" t="s">
        <v>77</v>
      </c>
      <c r="C61" s="54">
        <v>0</v>
      </c>
      <c r="D61" s="110">
        <v>0</v>
      </c>
      <c r="F61" s="33"/>
    </row>
    <row r="62" spans="2:6" ht="14.45" customHeight="1" thickBot="1">
      <c r="B62" s="37" t="s">
        <v>78</v>
      </c>
      <c r="C62" s="48">
        <v>0</v>
      </c>
      <c r="D62" s="38">
        <v>0</v>
      </c>
      <c r="F62" s="33"/>
    </row>
    <row r="63" ht="14.25" customHeight="1"/>
    <row r="64" ht="14.25" customHeight="1" thickBot="1"/>
    <row r="65" spans="2:4" ht="16.5" customHeight="1" thickBot="1">
      <c r="B65" s="111"/>
      <c r="C65" s="112" t="s">
        <v>3</v>
      </c>
      <c r="D65" s="8"/>
    </row>
    <row r="66" spans="1:4" ht="14.45" customHeight="1">
      <c r="A66" s="9">
        <v>1</v>
      </c>
      <c r="B66" s="102" t="s">
        <v>0</v>
      </c>
      <c r="C66" s="110">
        <f>D56+D62-D61</f>
        <v>0</v>
      </c>
      <c r="D66" s="33"/>
    </row>
    <row r="67" spans="1:3" ht="15">
      <c r="A67" s="9">
        <v>2</v>
      </c>
      <c r="B67" s="10" t="s">
        <v>8</v>
      </c>
      <c r="C67" s="29" t="s">
        <v>370</v>
      </c>
    </row>
    <row r="68" spans="1:3" ht="15.75" thickBot="1">
      <c r="A68" s="9">
        <v>3</v>
      </c>
      <c r="B68" s="12" t="s">
        <v>2</v>
      </c>
      <c r="C68" s="36">
        <v>0</v>
      </c>
    </row>
    <row r="69" spans="1:3" ht="15">
      <c r="A69" s="9">
        <v>7</v>
      </c>
      <c r="B69" s="10" t="s">
        <v>32</v>
      </c>
      <c r="C69" s="29"/>
    </row>
    <row r="70" spans="2:3" ht="15.75" thickBot="1">
      <c r="B70" s="12" t="s">
        <v>105</v>
      </c>
      <c r="C70" s="36">
        <f>IF(ISNUMBER(C69)=TRUE,C68-C69,C68)</f>
        <v>0</v>
      </c>
    </row>
    <row r="71" spans="2:3" ht="15">
      <c r="B71" s="13"/>
      <c r="C71" s="14"/>
    </row>
    <row r="72" spans="2:3" ht="15.75" thickBot="1">
      <c r="B72" s="15"/>
      <c r="C72" s="16"/>
    </row>
    <row r="73" spans="2:14" ht="16.5" customHeight="1">
      <c r="B73" s="555" t="s">
        <v>1</v>
      </c>
      <c r="C73" s="557" t="s">
        <v>3</v>
      </c>
      <c r="D73" s="559" t="s">
        <v>4</v>
      </c>
      <c r="E73" s="561" t="s">
        <v>5</v>
      </c>
      <c r="F73" s="562"/>
      <c r="G73" s="561" t="s">
        <v>6</v>
      </c>
      <c r="H73" s="562"/>
      <c r="I73" s="561" t="s">
        <v>12</v>
      </c>
      <c r="J73" s="562"/>
      <c r="K73" s="553" t="s">
        <v>7</v>
      </c>
      <c r="L73" s="554"/>
      <c r="N73" s="25"/>
    </row>
    <row r="74" spans="2:12" ht="32.25" customHeight="1" thickBot="1">
      <c r="B74" s="556"/>
      <c r="C74" s="558"/>
      <c r="D74" s="560"/>
      <c r="E74" s="107" t="s">
        <v>10</v>
      </c>
      <c r="F74" s="108" t="s">
        <v>11</v>
      </c>
      <c r="G74" s="107" t="s">
        <v>10</v>
      </c>
      <c r="H74" s="108" t="s">
        <v>11</v>
      </c>
      <c r="I74" s="107" t="s">
        <v>10</v>
      </c>
      <c r="J74" s="108" t="s">
        <v>11</v>
      </c>
      <c r="K74" s="107" t="s">
        <v>10</v>
      </c>
      <c r="L74" s="109" t="s">
        <v>11</v>
      </c>
    </row>
    <row r="75" spans="1:14" ht="15">
      <c r="A75" s="9">
        <v>6</v>
      </c>
      <c r="B75" s="53" t="s">
        <v>104</v>
      </c>
      <c r="C75" s="103" t="s">
        <v>370</v>
      </c>
      <c r="D75" s="104"/>
      <c r="E75" s="105"/>
      <c r="F75" s="106"/>
      <c r="G75" s="105"/>
      <c r="H75" s="106"/>
      <c r="I75" s="105"/>
      <c r="J75" s="106"/>
      <c r="K75" s="105"/>
      <c r="L75" s="106"/>
      <c r="N75" s="27"/>
    </row>
    <row r="76" spans="1:14" ht="15">
      <c r="A76" s="9">
        <v>8</v>
      </c>
      <c r="B76" s="17" t="s">
        <v>33</v>
      </c>
      <c r="C76" s="31" t="s">
        <v>370</v>
      </c>
      <c r="D76" s="18"/>
      <c r="E76" s="19"/>
      <c r="F76" s="20"/>
      <c r="G76" s="19"/>
      <c r="H76" s="20"/>
      <c r="I76" s="19"/>
      <c r="J76" s="20"/>
      <c r="K76" s="19"/>
      <c r="L76" s="20"/>
      <c r="N76" s="27"/>
    </row>
    <row r="77" spans="1:14" ht="15">
      <c r="A77" s="9">
        <v>10</v>
      </c>
      <c r="B77" s="17" t="s">
        <v>34</v>
      </c>
      <c r="C77" s="31" t="s">
        <v>370</v>
      </c>
      <c r="D77" s="18" t="s">
        <v>370</v>
      </c>
      <c r="E77" s="19" t="s">
        <v>370</v>
      </c>
      <c r="F77" s="20"/>
      <c r="G77" s="19"/>
      <c r="H77" s="20"/>
      <c r="I77" s="19"/>
      <c r="J77" s="20"/>
      <c r="K77" s="19"/>
      <c r="L77" s="20"/>
      <c r="N77" s="27"/>
    </row>
    <row r="78" spans="1:14" ht="15">
      <c r="A78" s="9">
        <v>11</v>
      </c>
      <c r="B78" s="17" t="s">
        <v>35</v>
      </c>
      <c r="C78" s="31" t="s">
        <v>370</v>
      </c>
      <c r="D78" s="18" t="s">
        <v>370</v>
      </c>
      <c r="E78" s="19" t="s">
        <v>370</v>
      </c>
      <c r="F78" s="20"/>
      <c r="G78" s="19"/>
      <c r="H78" s="20"/>
      <c r="I78" s="19"/>
      <c r="J78" s="20"/>
      <c r="K78" s="19"/>
      <c r="L78" s="20"/>
      <c r="N78" s="27"/>
    </row>
    <row r="79" spans="1:14" ht="15">
      <c r="A79" s="9" t="s">
        <v>36</v>
      </c>
      <c r="B79" s="17" t="s">
        <v>37</v>
      </c>
      <c r="C79" s="31"/>
      <c r="D79" s="18"/>
      <c r="E79" s="19"/>
      <c r="F79" s="20"/>
      <c r="G79" s="19"/>
      <c r="H79" s="20"/>
      <c r="I79" s="19"/>
      <c r="J79" s="20"/>
      <c r="K79" s="19"/>
      <c r="L79" s="20"/>
      <c r="N79" s="27"/>
    </row>
    <row r="80" spans="1:14" ht="15">
      <c r="A80" s="9" t="s">
        <v>38</v>
      </c>
      <c r="B80" s="17" t="s">
        <v>39</v>
      </c>
      <c r="C80" s="31">
        <v>0</v>
      </c>
      <c r="D80" s="18">
        <v>0</v>
      </c>
      <c r="E80" s="19">
        <v>0</v>
      </c>
      <c r="F80" s="20"/>
      <c r="G80" s="19"/>
      <c r="H80" s="20"/>
      <c r="I80" s="19"/>
      <c r="J80" s="20"/>
      <c r="K80" s="19"/>
      <c r="L80" s="20"/>
      <c r="N80" s="27"/>
    </row>
    <row r="81" spans="1:14" ht="15">
      <c r="A81" s="9" t="s">
        <v>40</v>
      </c>
      <c r="B81" s="17" t="s">
        <v>41</v>
      </c>
      <c r="C81" s="31">
        <v>0</v>
      </c>
      <c r="D81" s="18"/>
      <c r="E81" s="19">
        <v>0</v>
      </c>
      <c r="F81" s="20"/>
      <c r="G81" s="19"/>
      <c r="H81" s="20"/>
      <c r="I81" s="19"/>
      <c r="J81" s="20"/>
      <c r="K81" s="19"/>
      <c r="L81" s="20"/>
      <c r="N81" s="27"/>
    </row>
    <row r="82" spans="1:14" ht="15">
      <c r="A82" s="9">
        <v>13</v>
      </c>
      <c r="B82" s="17" t="s">
        <v>42</v>
      </c>
      <c r="C82" s="31"/>
      <c r="D82" s="18" t="s">
        <v>370</v>
      </c>
      <c r="E82" s="19">
        <v>0</v>
      </c>
      <c r="F82" s="20"/>
      <c r="G82" s="19"/>
      <c r="H82" s="20"/>
      <c r="I82" s="19"/>
      <c r="J82" s="20"/>
      <c r="K82" s="19"/>
      <c r="L82" s="20"/>
      <c r="N82" s="27"/>
    </row>
    <row r="83" spans="1:14" ht="15">
      <c r="A83" s="9"/>
      <c r="B83" s="40" t="s">
        <v>80</v>
      </c>
      <c r="C83" s="31">
        <v>0</v>
      </c>
      <c r="D83" s="18">
        <v>0</v>
      </c>
      <c r="E83" s="39">
        <v>0</v>
      </c>
      <c r="F83" s="20"/>
      <c r="G83" s="19"/>
      <c r="H83" s="20"/>
      <c r="I83" s="19"/>
      <c r="J83" s="20"/>
      <c r="K83" s="19"/>
      <c r="L83" s="20"/>
      <c r="N83" s="27"/>
    </row>
    <row r="84" spans="1:14" ht="15">
      <c r="A84" s="9"/>
      <c r="B84" s="41" t="s">
        <v>81</v>
      </c>
      <c r="C84" s="42">
        <f>D56</f>
        <v>0</v>
      </c>
      <c r="D84" s="43">
        <f>D83-D80</f>
        <v>0</v>
      </c>
      <c r="E84" s="44">
        <v>0</v>
      </c>
      <c r="F84" s="45"/>
      <c r="G84" s="44"/>
      <c r="H84" s="45"/>
      <c r="I84" s="44"/>
      <c r="J84" s="45"/>
      <c r="K84" s="44"/>
      <c r="L84" s="45"/>
      <c r="N84" s="27"/>
    </row>
    <row r="85" spans="1:14" ht="15.75" thickBot="1">
      <c r="A85" s="9">
        <v>16</v>
      </c>
      <c r="B85" s="17" t="s">
        <v>26</v>
      </c>
      <c r="C85" s="31"/>
      <c r="D85" s="18"/>
      <c r="E85" s="19" t="s">
        <v>370</v>
      </c>
      <c r="F85" s="20"/>
      <c r="G85" s="19"/>
      <c r="H85" s="20"/>
      <c r="I85" s="19"/>
      <c r="J85" s="20"/>
      <c r="K85" s="19"/>
      <c r="L85" s="20"/>
      <c r="N85" s="27"/>
    </row>
    <row r="86" spans="2:12" ht="15.75" thickBot="1">
      <c r="B86" s="21" t="s">
        <v>9</v>
      </c>
      <c r="C86" s="32">
        <f>SUM(C75:C83,C85)</f>
        <v>0</v>
      </c>
      <c r="D86" s="22"/>
      <c r="E86" s="23">
        <v>0</v>
      </c>
      <c r="F86" s="24">
        <v>0</v>
      </c>
      <c r="G86" s="23">
        <v>0</v>
      </c>
      <c r="H86" s="24">
        <v>0</v>
      </c>
      <c r="I86" s="23">
        <v>0</v>
      </c>
      <c r="J86" s="24">
        <v>0</v>
      </c>
      <c r="K86" s="23">
        <f>E86+G86-I86</f>
        <v>0</v>
      </c>
      <c r="L86" s="24">
        <f>F86+H86-J86</f>
        <v>0</v>
      </c>
    </row>
    <row r="87" spans="3:12" ht="15">
      <c r="C87" s="13"/>
      <c r="E87" s="13"/>
      <c r="F87" s="13"/>
      <c r="G87" s="13"/>
      <c r="H87" s="13"/>
      <c r="I87" s="13"/>
      <c r="J87" s="13"/>
      <c r="K87" s="13"/>
      <c r="L87" s="13"/>
    </row>
    <row r="88" ht="15">
      <c r="B88" s="25"/>
    </row>
    <row r="89" ht="15.75" thickBot="1"/>
    <row r="90" spans="2:3" ht="15.75" thickBot="1">
      <c r="B90" s="111"/>
      <c r="C90" s="113">
        <v>2020</v>
      </c>
    </row>
    <row r="91" spans="2:3" ht="15">
      <c r="B91" s="256" t="s">
        <v>373</v>
      </c>
      <c r="C91" s="114">
        <v>0</v>
      </c>
    </row>
    <row r="92" spans="2:3" ht="15.75" thickBot="1">
      <c r="B92" s="257" t="s">
        <v>374</v>
      </c>
      <c r="C92" s="26">
        <v>0</v>
      </c>
    </row>
  </sheetData>
  <mergeCells count="14">
    <mergeCell ref="I73:J73"/>
    <mergeCell ref="K73:L73"/>
    <mergeCell ref="B73:B74"/>
    <mergeCell ref="C73:C74"/>
    <mergeCell ref="D73:D74"/>
    <mergeCell ref="E73:F73"/>
    <mergeCell ref="G73:H73"/>
    <mergeCell ref="K28:L28"/>
    <mergeCell ref="B28:B29"/>
    <mergeCell ref="C28:C29"/>
    <mergeCell ref="D28:D29"/>
    <mergeCell ref="E28:F28"/>
    <mergeCell ref="G28:H28"/>
    <mergeCell ref="I28:J28"/>
  </mergeCells>
  <conditionalFormatting sqref="C41 N31:N38 N76:N85">
    <cfRule type="cellIs" priority="57" dxfId="1" operator="equal">
      <formula>FALSE</formula>
    </cfRule>
    <cfRule type="cellIs" priority="58" dxfId="0" operator="equal">
      <formula>TRUE</formula>
    </cfRule>
  </conditionalFormatting>
  <conditionalFormatting sqref="E41">
    <cfRule type="cellIs" priority="55" dxfId="1" operator="equal">
      <formula>FALSE</formula>
    </cfRule>
    <cfRule type="cellIs" priority="56" dxfId="0" operator="equal">
      <formula>TRUE</formula>
    </cfRule>
  </conditionalFormatting>
  <conditionalFormatting sqref="F41">
    <cfRule type="cellIs" priority="53" dxfId="1" operator="equal">
      <formula>FALSE</formula>
    </cfRule>
    <cfRule type="cellIs" priority="54" dxfId="0" operator="equal">
      <formula>TRUE</formula>
    </cfRule>
  </conditionalFormatting>
  <conditionalFormatting sqref="K41">
    <cfRule type="cellIs" priority="51" dxfId="1" operator="equal">
      <formula>FALSE</formula>
    </cfRule>
    <cfRule type="cellIs" priority="52" dxfId="0" operator="equal">
      <formula>TRUE</formula>
    </cfRule>
  </conditionalFormatting>
  <conditionalFormatting sqref="L41">
    <cfRule type="cellIs" priority="49" dxfId="1" operator="equal">
      <formula>FALSE</formula>
    </cfRule>
    <cfRule type="cellIs" priority="50" dxfId="0" operator="equal">
      <formula>TRUE</formula>
    </cfRule>
  </conditionalFormatting>
  <conditionalFormatting sqref="C13">
    <cfRule type="cellIs" priority="31" dxfId="1" operator="equal">
      <formula>FALSE</formula>
    </cfRule>
    <cfRule type="cellIs" priority="32" dxfId="0" operator="equal">
      <formula>TRUE</formula>
    </cfRule>
  </conditionalFormatting>
  <conditionalFormatting sqref="D13">
    <cfRule type="cellIs" priority="29" dxfId="1" operator="equal">
      <formula>FALSE</formula>
    </cfRule>
    <cfRule type="cellIs" priority="30" dxfId="0" operator="equal">
      <formula>TRUE</formula>
    </cfRule>
  </conditionalFormatting>
  <conditionalFormatting sqref="E21">
    <cfRule type="cellIs" priority="27" dxfId="1" operator="equal">
      <formula>FALSE</formula>
    </cfRule>
    <cfRule type="cellIs" priority="28" dxfId="0" operator="equal">
      <formula>TRUE</formula>
    </cfRule>
  </conditionalFormatting>
  <conditionalFormatting sqref="C88">
    <cfRule type="cellIs" priority="25" dxfId="1" operator="equal">
      <formula>FALSE</formula>
    </cfRule>
    <cfRule type="cellIs" priority="26" dxfId="0" operator="equal">
      <formula>TRUE</formula>
    </cfRule>
  </conditionalFormatting>
  <conditionalFormatting sqref="E88">
    <cfRule type="cellIs" priority="23" dxfId="1" operator="equal">
      <formula>FALSE</formula>
    </cfRule>
    <cfRule type="cellIs" priority="24" dxfId="0" operator="equal">
      <formula>TRUE</formula>
    </cfRule>
  </conditionalFormatting>
  <conditionalFormatting sqref="F88">
    <cfRule type="cellIs" priority="21" dxfId="1" operator="equal">
      <formula>FALSE</formula>
    </cfRule>
    <cfRule type="cellIs" priority="22" dxfId="0" operator="equal">
      <formula>TRUE</formula>
    </cfRule>
  </conditionalFormatting>
  <conditionalFormatting sqref="K88">
    <cfRule type="cellIs" priority="19" dxfId="1" operator="equal">
      <formula>FALSE</formula>
    </cfRule>
    <cfRule type="cellIs" priority="20" dxfId="0" operator="equal">
      <formula>TRUE</formula>
    </cfRule>
  </conditionalFormatting>
  <conditionalFormatting sqref="L88">
    <cfRule type="cellIs" priority="17" dxfId="1" operator="equal">
      <formula>FALSE</formula>
    </cfRule>
    <cfRule type="cellIs" priority="18" dxfId="0" operator="equal">
      <formula>TRUE</formula>
    </cfRule>
  </conditionalFormatting>
  <conditionalFormatting sqref="C58">
    <cfRule type="cellIs" priority="13" dxfId="1" operator="equal">
      <formula>FALSE</formula>
    </cfRule>
    <cfRule type="cellIs" priority="14" dxfId="0" operator="equal">
      <formula>TRUE</formula>
    </cfRule>
  </conditionalFormatting>
  <conditionalFormatting sqref="D58">
    <cfRule type="cellIs" priority="11" dxfId="1" operator="equal">
      <formula>FALSE</formula>
    </cfRule>
    <cfRule type="cellIs" priority="12" dxfId="0" operator="equal">
      <formula>TRUE</formula>
    </cfRule>
  </conditionalFormatting>
  <conditionalFormatting sqref="E66">
    <cfRule type="cellIs" priority="9" dxfId="1" operator="equal">
      <formula>FALSE</formula>
    </cfRule>
    <cfRule type="cellIs" priority="10" dxfId="0" operator="equal">
      <formula>TRUE</formula>
    </cfRule>
  </conditionalFormatting>
  <conditionalFormatting sqref="N30">
    <cfRule type="cellIs" priority="7" dxfId="1" operator="equal">
      <formula>FALSE</formula>
    </cfRule>
    <cfRule type="cellIs" priority="8" dxfId="0" operator="equal">
      <formula>TRUE</formula>
    </cfRule>
  </conditionalFormatting>
  <conditionalFormatting sqref="N75">
    <cfRule type="cellIs" priority="5" dxfId="1" operator="equal">
      <formula>FALSE</formula>
    </cfRule>
    <cfRule type="cellIs" priority="6" dxfId="0" operator="equal">
      <formula>TRUE</formula>
    </cfRule>
  </conditionalFormatting>
  <conditionalFormatting sqref="E23">
    <cfRule type="cellIs" priority="3" dxfId="1" operator="equal">
      <formula>FALSE</formula>
    </cfRule>
    <cfRule type="cellIs" priority="4" dxfId="0" operator="equal">
      <formula>TRUE</formula>
    </cfRule>
  </conditionalFormatting>
  <conditionalFormatting sqref="E68">
    <cfRule type="cellIs" priority="1" dxfId="1" operator="equal">
      <formula>FALSE</formula>
    </cfRule>
    <cfRule type="cellIs" priority="2" dxfId="0" operator="equal">
      <formula>TRUE</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61" r:id="rId3"/>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8"/>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86</v>
      </c>
      <c r="I1" s="6"/>
    </row>
    <row r="2" ht="4.5" customHeight="1"/>
    <row r="3" spans="2:9" ht="15">
      <c r="B3" s="401" t="s">
        <v>459</v>
      </c>
      <c r="C3" s="28" t="s">
        <v>70</v>
      </c>
      <c r="I3" s="7"/>
    </row>
    <row r="4" spans="2:9" ht="15">
      <c r="B4" s="27" t="s">
        <v>83</v>
      </c>
      <c r="C4" s="4" t="s">
        <v>371</v>
      </c>
      <c r="I4" s="27"/>
    </row>
    <row r="5" spans="2:3" ht="14.25" customHeight="1">
      <c r="B5" s="286" t="s">
        <v>472</v>
      </c>
      <c r="C5" s="4" t="s">
        <v>372</v>
      </c>
    </row>
    <row r="6" ht="14.25" customHeight="1" thickBot="1"/>
    <row r="7" spans="2:4" ht="16.5" customHeight="1" thickBot="1">
      <c r="B7" s="111"/>
      <c r="C7" s="112" t="s">
        <v>84</v>
      </c>
      <c r="D7" s="112" t="s">
        <v>72</v>
      </c>
    </row>
    <row r="8" spans="2:6" ht="14.45" customHeight="1">
      <c r="B8" s="53" t="s">
        <v>73</v>
      </c>
      <c r="C8" s="54">
        <v>0</v>
      </c>
      <c r="D8" s="110">
        <v>0</v>
      </c>
      <c r="F8" s="33"/>
    </row>
    <row r="9" spans="2:6" ht="14.45" customHeight="1">
      <c r="B9" s="35" t="s">
        <v>75</v>
      </c>
      <c r="C9" s="46">
        <v>0</v>
      </c>
      <c r="D9" s="29">
        <v>0</v>
      </c>
      <c r="F9" s="33"/>
    </row>
    <row r="10" spans="2:6" ht="14.45" customHeight="1">
      <c r="B10" s="35" t="s">
        <v>76</v>
      </c>
      <c r="C10" s="46">
        <v>0</v>
      </c>
      <c r="D10" s="29">
        <v>0</v>
      </c>
      <c r="F10" s="33"/>
    </row>
    <row r="11" spans="2:6" ht="14.45" customHeight="1" thickBot="1">
      <c r="B11" s="12" t="s">
        <v>74</v>
      </c>
      <c r="C11" s="47">
        <v>0</v>
      </c>
      <c r="D11" s="36">
        <v>0</v>
      </c>
      <c r="E11" s="49"/>
      <c r="F11" s="33"/>
    </row>
    <row r="12" spans="2:4" ht="14.25" customHeight="1">
      <c r="B12" s="15"/>
      <c r="C12" s="33"/>
      <c r="D12" s="33"/>
    </row>
    <row r="13" ht="14.25" customHeight="1"/>
    <row r="14" ht="14.25" customHeight="1" thickBot="1"/>
    <row r="15" spans="2:4" ht="16.5" customHeight="1" thickBot="1">
      <c r="B15" s="111"/>
      <c r="C15" s="112" t="s">
        <v>84</v>
      </c>
      <c r="D15" s="112" t="s">
        <v>72</v>
      </c>
    </row>
    <row r="16" spans="2:6" ht="14.45" customHeight="1">
      <c r="B16" s="53" t="s">
        <v>77</v>
      </c>
      <c r="C16" s="54">
        <v>0</v>
      </c>
      <c r="D16" s="110">
        <v>0</v>
      </c>
      <c r="E16" s="49"/>
      <c r="F16" s="33"/>
    </row>
    <row r="17" spans="2:6" ht="14.45" customHeight="1" thickBot="1">
      <c r="B17" s="37" t="s">
        <v>78</v>
      </c>
      <c r="C17" s="48">
        <v>0</v>
      </c>
      <c r="D17" s="38">
        <v>0</v>
      </c>
      <c r="E17" s="49"/>
      <c r="F17" s="33"/>
    </row>
    <row r="18" ht="14.25" customHeight="1"/>
    <row r="19" ht="14.25" customHeight="1" thickBot="1"/>
    <row r="20" spans="2:4" ht="16.5" customHeight="1" thickBot="1">
      <c r="B20" s="111"/>
      <c r="C20" s="112" t="s">
        <v>3</v>
      </c>
      <c r="D20" s="8"/>
    </row>
    <row r="21" spans="1:4" ht="14.45" customHeight="1">
      <c r="A21" s="9">
        <v>1</v>
      </c>
      <c r="B21" s="102" t="s">
        <v>0</v>
      </c>
      <c r="C21" s="374">
        <v>108.848073226281</v>
      </c>
      <c r="D21" s="49"/>
    </row>
    <row r="22" spans="1:3" ht="15">
      <c r="A22" s="9">
        <v>2</v>
      </c>
      <c r="B22" s="10" t="s">
        <v>8</v>
      </c>
      <c r="C22" s="379" t="s">
        <v>370</v>
      </c>
    </row>
    <row r="23" spans="1:3" ht="15.75" thickBot="1">
      <c r="A23" s="9">
        <v>3</v>
      </c>
      <c r="B23" s="12" t="s">
        <v>2</v>
      </c>
      <c r="C23" s="374">
        <v>108.848073226281</v>
      </c>
    </row>
    <row r="24" spans="1:3" ht="15">
      <c r="A24" s="9">
        <v>7</v>
      </c>
      <c r="B24" s="10" t="s">
        <v>32</v>
      </c>
      <c r="C24" s="379"/>
    </row>
    <row r="25" spans="2:3" ht="15.75" thickBot="1">
      <c r="B25" s="12" t="s">
        <v>105</v>
      </c>
      <c r="C25" s="375">
        <f>IF(ISNUMBER(C24)=TRUE,C23-C24,C23)</f>
        <v>108.848073226281</v>
      </c>
    </row>
    <row r="26" spans="2:3" ht="15">
      <c r="B26" s="13"/>
      <c r="C26" s="14"/>
    </row>
    <row r="27" spans="2:3" ht="15.75" thickBot="1">
      <c r="B27" s="15"/>
      <c r="C27" s="16"/>
    </row>
    <row r="28" spans="2:14" ht="16.5" customHeight="1">
      <c r="B28" s="555" t="s">
        <v>1</v>
      </c>
      <c r="C28" s="557" t="s">
        <v>3</v>
      </c>
      <c r="D28" s="559" t="s">
        <v>4</v>
      </c>
      <c r="E28" s="561" t="s">
        <v>5</v>
      </c>
      <c r="F28" s="562"/>
      <c r="G28" s="561" t="s">
        <v>6</v>
      </c>
      <c r="H28" s="562"/>
      <c r="I28" s="561" t="s">
        <v>12</v>
      </c>
      <c r="J28" s="562"/>
      <c r="K28" s="553" t="s">
        <v>7</v>
      </c>
      <c r="L28" s="554"/>
      <c r="N28" s="25"/>
    </row>
    <row r="29" spans="2:12" ht="15.75" thickBot="1">
      <c r="B29" s="556"/>
      <c r="C29" s="558"/>
      <c r="D29" s="560"/>
      <c r="E29" s="107" t="s">
        <v>10</v>
      </c>
      <c r="F29" s="108" t="s">
        <v>11</v>
      </c>
      <c r="G29" s="107" t="s">
        <v>10</v>
      </c>
      <c r="H29" s="108" t="s">
        <v>11</v>
      </c>
      <c r="I29" s="107" t="s">
        <v>10</v>
      </c>
      <c r="J29" s="108" t="s">
        <v>11</v>
      </c>
      <c r="K29" s="107" t="s">
        <v>10</v>
      </c>
      <c r="L29" s="109" t="s">
        <v>11</v>
      </c>
    </row>
    <row r="30" spans="1:14" ht="15">
      <c r="A30" s="9">
        <v>6</v>
      </c>
      <c r="B30" s="53" t="s">
        <v>104</v>
      </c>
      <c r="C30" s="348" t="s">
        <v>370</v>
      </c>
      <c r="D30" s="349"/>
      <c r="E30" s="350"/>
      <c r="F30" s="351"/>
      <c r="G30" s="350"/>
      <c r="H30" s="351"/>
      <c r="I30" s="350"/>
      <c r="J30" s="351"/>
      <c r="K30" s="350"/>
      <c r="L30" s="351"/>
      <c r="N30" s="27"/>
    </row>
    <row r="31" spans="1:14" ht="15">
      <c r="A31" s="9">
        <v>8</v>
      </c>
      <c r="B31" s="17" t="s">
        <v>33</v>
      </c>
      <c r="C31" s="352" t="s">
        <v>370</v>
      </c>
      <c r="D31" s="353"/>
      <c r="E31" s="355"/>
      <c r="F31" s="354"/>
      <c r="G31" s="355"/>
      <c r="H31" s="354"/>
      <c r="I31" s="355"/>
      <c r="J31" s="354"/>
      <c r="K31" s="350"/>
      <c r="L31" s="354"/>
      <c r="N31" s="27"/>
    </row>
    <row r="32" spans="1:14" ht="15">
      <c r="A32" s="9">
        <v>10</v>
      </c>
      <c r="B32" s="17" t="s">
        <v>34</v>
      </c>
      <c r="C32" s="352" t="s">
        <v>370</v>
      </c>
      <c r="D32" s="353" t="s">
        <v>370</v>
      </c>
      <c r="E32" s="355" t="s">
        <v>370</v>
      </c>
      <c r="F32" s="354"/>
      <c r="G32" s="355"/>
      <c r="H32" s="354"/>
      <c r="I32" s="355"/>
      <c r="J32" s="354"/>
      <c r="K32" s="350"/>
      <c r="L32" s="354"/>
      <c r="N32" s="27"/>
    </row>
    <row r="33" spans="1:14" ht="15">
      <c r="A33" s="9">
        <v>11</v>
      </c>
      <c r="B33" s="17" t="s">
        <v>35</v>
      </c>
      <c r="C33" s="352">
        <v>12.945993226281004</v>
      </c>
      <c r="D33" s="353">
        <v>1206.266654218966</v>
      </c>
      <c r="E33" s="355">
        <f>C33*D33</f>
        <v>15616.319934607385</v>
      </c>
      <c r="F33" s="354">
        <v>17.318258099281408</v>
      </c>
      <c r="G33" s="355"/>
      <c r="H33" s="354"/>
      <c r="I33" s="355"/>
      <c r="J33" s="354"/>
      <c r="K33" s="350">
        <f aca="true" t="shared" si="0" ref="K33:L39">E33+G33-I33</f>
        <v>15616.319934607385</v>
      </c>
      <c r="L33" s="354">
        <f t="shared" si="0"/>
        <v>17.318258099281408</v>
      </c>
      <c r="N33" s="27"/>
    </row>
    <row r="34" spans="1:14" ht="15">
      <c r="A34" s="9" t="s">
        <v>36</v>
      </c>
      <c r="B34" s="17" t="s">
        <v>37</v>
      </c>
      <c r="C34" s="352">
        <v>7.8515500000000005</v>
      </c>
      <c r="D34" s="353">
        <v>1206.266654218966</v>
      </c>
      <c r="E34" s="355">
        <f aca="true" t="shared" si="1" ref="E34:E36">C34*D34</f>
        <v>9471.062948932924</v>
      </c>
      <c r="F34" s="354">
        <v>10.503262824468088</v>
      </c>
      <c r="G34" s="355"/>
      <c r="H34" s="354"/>
      <c r="I34" s="355"/>
      <c r="J34" s="354"/>
      <c r="K34" s="350">
        <f t="shared" si="0"/>
        <v>9471.062948932924</v>
      </c>
      <c r="L34" s="354">
        <f t="shared" si="0"/>
        <v>10.503262824468088</v>
      </c>
      <c r="N34" s="27"/>
    </row>
    <row r="35" spans="1:14" ht="15">
      <c r="A35" s="9" t="s">
        <v>38</v>
      </c>
      <c r="B35" s="17" t="s">
        <v>39</v>
      </c>
      <c r="C35" s="352">
        <v>62.656639999999996</v>
      </c>
      <c r="D35" s="353">
        <v>1206.266654218966</v>
      </c>
      <c r="E35" s="355">
        <f t="shared" si="1"/>
        <v>75580.61549740224</v>
      </c>
      <c r="F35" s="354">
        <v>83.81773759551683</v>
      </c>
      <c r="G35" s="355"/>
      <c r="H35" s="354"/>
      <c r="I35" s="355"/>
      <c r="J35" s="354"/>
      <c r="K35" s="350">
        <f t="shared" si="0"/>
        <v>75580.61549740224</v>
      </c>
      <c r="L35" s="354">
        <f t="shared" si="0"/>
        <v>83.81773759551683</v>
      </c>
      <c r="N35" s="27"/>
    </row>
    <row r="36" spans="1:14" ht="15">
      <c r="A36" s="9" t="s">
        <v>40</v>
      </c>
      <c r="B36" s="17" t="s">
        <v>41</v>
      </c>
      <c r="C36" s="352">
        <v>25.39389</v>
      </c>
      <c r="D36" s="353">
        <v>1206.266654218966</v>
      </c>
      <c r="E36" s="355">
        <f t="shared" si="1"/>
        <v>30631.802727904458</v>
      </c>
      <c r="F36" s="354">
        <v>33.970197070085774</v>
      </c>
      <c r="G36" s="355"/>
      <c r="H36" s="354"/>
      <c r="I36" s="355"/>
      <c r="J36" s="354"/>
      <c r="K36" s="350">
        <f t="shared" si="0"/>
        <v>30631.802727904458</v>
      </c>
      <c r="L36" s="354">
        <f t="shared" si="0"/>
        <v>33.970197070085774</v>
      </c>
      <c r="N36" s="27"/>
    </row>
    <row r="37" spans="1:14" ht="15">
      <c r="A37" s="9">
        <v>13</v>
      </c>
      <c r="B37" s="17" t="s">
        <v>42</v>
      </c>
      <c r="C37" s="352"/>
      <c r="D37" s="353"/>
      <c r="E37" s="355"/>
      <c r="F37" s="354"/>
      <c r="G37" s="355"/>
      <c r="H37" s="354"/>
      <c r="I37" s="355"/>
      <c r="J37" s="354"/>
      <c r="K37" s="350"/>
      <c r="L37" s="354">
        <f t="shared" si="0"/>
        <v>0</v>
      </c>
      <c r="N37" s="27"/>
    </row>
    <row r="38" spans="1:14" ht="15.75" thickBot="1">
      <c r="A38" s="9">
        <v>16</v>
      </c>
      <c r="B38" s="17" t="s">
        <v>26</v>
      </c>
      <c r="C38" s="352"/>
      <c r="D38" s="353"/>
      <c r="E38" s="355"/>
      <c r="F38" s="354"/>
      <c r="G38" s="355"/>
      <c r="H38" s="354"/>
      <c r="I38" s="355"/>
      <c r="J38" s="354"/>
      <c r="K38" s="350"/>
      <c r="L38" s="354">
        <f t="shared" si="0"/>
        <v>0</v>
      </c>
      <c r="N38" s="27"/>
    </row>
    <row r="39" spans="1:12" ht="15.75" thickBot="1">
      <c r="A39" s="9">
        <v>17</v>
      </c>
      <c r="B39" s="21" t="s">
        <v>9</v>
      </c>
      <c r="C39" s="356">
        <f>SUM(C30:C38)</f>
        <v>108.848073226281</v>
      </c>
      <c r="D39" s="357"/>
      <c r="E39" s="358">
        <f>SUM(E30:E38)</f>
        <v>131299.801108847</v>
      </c>
      <c r="F39" s="358">
        <f>SUM(F30:F38)</f>
        <v>145.60945558935208</v>
      </c>
      <c r="G39" s="358">
        <v>0</v>
      </c>
      <c r="H39" s="359">
        <v>0</v>
      </c>
      <c r="I39" s="358">
        <v>0</v>
      </c>
      <c r="J39" s="359">
        <v>0</v>
      </c>
      <c r="K39" s="358">
        <f t="shared" si="0"/>
        <v>131299.801108847</v>
      </c>
      <c r="L39" s="359">
        <f t="shared" si="0"/>
        <v>145.60945558935208</v>
      </c>
    </row>
    <row r="40" spans="3:12" ht="15">
      <c r="C40" s="13"/>
      <c r="E40" s="13"/>
      <c r="F40" s="13"/>
      <c r="G40" s="13"/>
      <c r="H40" s="13"/>
      <c r="I40" s="13"/>
      <c r="J40" s="13"/>
      <c r="K40" s="13"/>
      <c r="L40" s="13"/>
    </row>
    <row r="41" ht="15">
      <c r="B41" s="25"/>
    </row>
    <row r="42" ht="15.75" thickBot="1"/>
    <row r="43" spans="2:3" ht="15.75" thickBot="1">
      <c r="B43" s="111"/>
      <c r="C43" s="113">
        <v>2020</v>
      </c>
    </row>
    <row r="44" spans="2:3" ht="14.45" customHeight="1">
      <c r="B44" s="256" t="s">
        <v>373</v>
      </c>
      <c r="C44" s="377">
        <v>90.17257881874019</v>
      </c>
    </row>
    <row r="45" spans="2:3" ht="14.45" customHeight="1" thickBot="1">
      <c r="B45" s="257" t="s">
        <v>374</v>
      </c>
      <c r="C45" s="378">
        <v>100.60621274372457</v>
      </c>
    </row>
    <row r="48" ht="15">
      <c r="B48" s="5" t="s">
        <v>539</v>
      </c>
    </row>
  </sheetData>
  <mergeCells count="7">
    <mergeCell ref="K28:L28"/>
    <mergeCell ref="B28:B29"/>
    <mergeCell ref="C28:C29"/>
    <mergeCell ref="D28:D29"/>
    <mergeCell ref="E28:F28"/>
    <mergeCell ref="G28:H28"/>
    <mergeCell ref="I28:J28"/>
  </mergeCells>
  <conditionalFormatting sqref="C41 N31:N38">
    <cfRule type="cellIs" priority="39" dxfId="1" operator="equal">
      <formula>FALSE</formula>
    </cfRule>
    <cfRule type="cellIs" priority="40" dxfId="0" operator="equal">
      <formula>TRUE</formula>
    </cfRule>
  </conditionalFormatting>
  <conditionalFormatting sqref="E41">
    <cfRule type="cellIs" priority="37" dxfId="1" operator="equal">
      <formula>FALSE</formula>
    </cfRule>
    <cfRule type="cellIs" priority="38" dxfId="0" operator="equal">
      <formula>TRUE</formula>
    </cfRule>
  </conditionalFormatting>
  <conditionalFormatting sqref="F41">
    <cfRule type="cellIs" priority="35" dxfId="1" operator="equal">
      <formula>FALSE</formula>
    </cfRule>
    <cfRule type="cellIs" priority="36" dxfId="0" operator="equal">
      <formula>TRUE</formula>
    </cfRule>
  </conditionalFormatting>
  <conditionalFormatting sqref="K41">
    <cfRule type="cellIs" priority="33" dxfId="1" operator="equal">
      <formula>FALSE</formula>
    </cfRule>
    <cfRule type="cellIs" priority="34" dxfId="0" operator="equal">
      <formula>TRUE</formula>
    </cfRule>
  </conditionalFormatting>
  <conditionalFormatting sqref="L41">
    <cfRule type="cellIs" priority="31" dxfId="1" operator="equal">
      <formula>FALSE</formula>
    </cfRule>
    <cfRule type="cellIs" priority="32" dxfId="0" operator="equal">
      <formula>TRUE</formula>
    </cfRule>
  </conditionalFormatting>
  <conditionalFormatting sqref="C13">
    <cfRule type="cellIs" priority="27" dxfId="1" operator="equal">
      <formula>FALSE</formula>
    </cfRule>
    <cfRule type="cellIs" priority="28" dxfId="0" operator="equal">
      <formula>TRUE</formula>
    </cfRule>
  </conditionalFormatting>
  <conditionalFormatting sqref="D13">
    <cfRule type="cellIs" priority="25" dxfId="1" operator="equal">
      <formula>FALSE</formula>
    </cfRule>
    <cfRule type="cellIs" priority="26" dxfId="0" operator="equal">
      <formula>TRUE</formula>
    </cfRule>
  </conditionalFormatting>
  <conditionalFormatting sqref="E21">
    <cfRule type="cellIs" priority="23" dxfId="1" operator="equal">
      <formula>FALSE</formula>
    </cfRule>
    <cfRule type="cellIs" priority="24" dxfId="0" operator="equal">
      <formula>TRUE</formula>
    </cfRule>
  </conditionalFormatting>
  <conditionalFormatting sqref="N30">
    <cfRule type="cellIs" priority="3" dxfId="1" operator="equal">
      <formula>FALSE</formula>
    </cfRule>
    <cfRule type="cellIs" priority="4" dxfId="0" operator="equal">
      <formula>TRUE</formula>
    </cfRule>
  </conditionalFormatting>
  <conditionalFormatting sqref="E23">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90" zoomScaleNormal="90" workbookViewId="0" topLeftCell="A1">
      <selection activeCell="O1" sqref="O1"/>
    </sheetView>
  </sheetViews>
  <sheetFormatPr defaultColWidth="8.8515625" defaultRowHeight="15"/>
  <cols>
    <col min="1" max="1" width="5.00390625" style="5" bestFit="1" customWidth="1"/>
    <col min="2" max="2" width="61.5742187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8" ht="18.75">
      <c r="B1" s="6" t="s">
        <v>88</v>
      </c>
      <c r="H1" s="6"/>
    </row>
    <row r="2" ht="4.5" customHeight="1"/>
    <row r="3" spans="2:8" ht="15">
      <c r="B3" s="396" t="s">
        <v>465</v>
      </c>
      <c r="C3" s="28" t="s">
        <v>70</v>
      </c>
      <c r="H3" s="7"/>
    </row>
    <row r="4" spans="2:8" ht="15">
      <c r="B4" s="27" t="s">
        <v>89</v>
      </c>
      <c r="C4" s="4" t="s">
        <v>371</v>
      </c>
      <c r="H4" s="27"/>
    </row>
    <row r="5" spans="2:3" ht="14.25" customHeight="1">
      <c r="B5" s="286" t="s">
        <v>473</v>
      </c>
      <c r="C5" s="4" t="s">
        <v>372</v>
      </c>
    </row>
    <row r="6" ht="14.25" customHeight="1" thickBot="1"/>
    <row r="7" spans="2:3" ht="14.25" customHeight="1">
      <c r="B7" s="60" t="s">
        <v>440</v>
      </c>
      <c r="C7" s="94">
        <v>0</v>
      </c>
    </row>
    <row r="8" spans="2:3" ht="14.25" customHeight="1">
      <c r="B8" s="35" t="s">
        <v>106</v>
      </c>
      <c r="C8" s="258">
        <v>0</v>
      </c>
    </row>
    <row r="9" spans="2:3" ht="14.25" customHeight="1">
      <c r="B9" s="35" t="s">
        <v>107</v>
      </c>
      <c r="C9" s="258">
        <v>0</v>
      </c>
    </row>
    <row r="10" spans="2:3" ht="14.25" customHeight="1">
      <c r="B10" s="17" t="s">
        <v>90</v>
      </c>
      <c r="C10" s="29" t="e">
        <f>C7/C8*100*(100-C9)/100</f>
        <v>#DIV/0!</v>
      </c>
    </row>
    <row r="11" spans="2:3" ht="14.25" customHeight="1">
      <c r="B11" s="10" t="s">
        <v>92</v>
      </c>
      <c r="C11" s="259">
        <v>0</v>
      </c>
    </row>
    <row r="12" spans="2:3" ht="14.25" customHeight="1">
      <c r="B12" s="35" t="s">
        <v>108</v>
      </c>
      <c r="C12" s="258">
        <v>0</v>
      </c>
    </row>
    <row r="13" spans="2:3" ht="14.25" customHeight="1">
      <c r="B13" s="17" t="s">
        <v>91</v>
      </c>
      <c r="C13" s="46" t="e">
        <f>C10*C11/C12*100/1000</f>
        <v>#DIV/0!</v>
      </c>
    </row>
    <row r="14" spans="2:3" ht="14.25" customHeight="1">
      <c r="B14" s="34" t="s">
        <v>109</v>
      </c>
      <c r="C14" s="46">
        <v>0</v>
      </c>
    </row>
    <row r="15" spans="2:3" ht="14.25" customHeight="1" thickBot="1">
      <c r="B15" s="52" t="s">
        <v>93</v>
      </c>
      <c r="C15" s="260">
        <v>0</v>
      </c>
    </row>
    <row r="16" ht="14.25" customHeight="1"/>
    <row r="17" ht="14.25" customHeight="1" thickBot="1"/>
    <row r="18" spans="2:4" ht="16.5" customHeight="1" thickBot="1">
      <c r="B18" s="111"/>
      <c r="C18" s="112" t="s">
        <v>3</v>
      </c>
      <c r="D18" s="8"/>
    </row>
    <row r="19" spans="1:4" ht="15">
      <c r="A19" s="9">
        <v>1</v>
      </c>
      <c r="B19" s="102" t="s">
        <v>0</v>
      </c>
      <c r="C19" s="394">
        <v>115.212786608491</v>
      </c>
      <c r="D19" s="49"/>
    </row>
    <row r="20" spans="1:3" ht="15">
      <c r="A20" s="9">
        <v>2</v>
      </c>
      <c r="B20" s="10" t="s">
        <v>8</v>
      </c>
      <c r="C20" s="395"/>
    </row>
    <row r="21" spans="1:3" ht="15.75" thickBot="1">
      <c r="A21" s="9">
        <v>3</v>
      </c>
      <c r="B21" s="12" t="s">
        <v>2</v>
      </c>
      <c r="C21" s="394">
        <v>115.212786608491</v>
      </c>
    </row>
    <row r="22" spans="1:3" ht="15">
      <c r="A22" s="9">
        <v>7</v>
      </c>
      <c r="B22" s="10" t="s">
        <v>32</v>
      </c>
      <c r="C22" s="379"/>
    </row>
    <row r="23" spans="2:3" ht="15.75" thickBot="1">
      <c r="B23" s="12" t="s">
        <v>105</v>
      </c>
      <c r="C23" s="394">
        <v>115.212786608491</v>
      </c>
    </row>
    <row r="24" spans="2:3" ht="15">
      <c r="B24" s="13"/>
      <c r="C24" s="14"/>
    </row>
    <row r="25" spans="2:3" ht="15.75" thickBot="1">
      <c r="B25" s="15"/>
      <c r="C25" s="16"/>
    </row>
    <row r="26" spans="2:14" ht="16.5" customHeight="1">
      <c r="B26" s="555" t="s">
        <v>1</v>
      </c>
      <c r="C26" s="557" t="s">
        <v>3</v>
      </c>
      <c r="D26" s="559" t="s">
        <v>4</v>
      </c>
      <c r="E26" s="561" t="s">
        <v>5</v>
      </c>
      <c r="F26" s="562"/>
      <c r="G26" s="561" t="s">
        <v>6</v>
      </c>
      <c r="H26" s="562"/>
      <c r="I26" s="561" t="s">
        <v>12</v>
      </c>
      <c r="J26" s="562"/>
      <c r="K26" s="553" t="s">
        <v>7</v>
      </c>
      <c r="L26" s="554"/>
      <c r="N26" s="25"/>
    </row>
    <row r="27" spans="2:12" ht="15.75" thickBot="1">
      <c r="B27" s="556"/>
      <c r="C27" s="558"/>
      <c r="D27" s="560"/>
      <c r="E27" s="107" t="s">
        <v>10</v>
      </c>
      <c r="F27" s="108" t="s">
        <v>11</v>
      </c>
      <c r="G27" s="107" t="s">
        <v>10</v>
      </c>
      <c r="H27" s="108" t="s">
        <v>11</v>
      </c>
      <c r="I27" s="107" t="s">
        <v>10</v>
      </c>
      <c r="J27" s="108" t="s">
        <v>11</v>
      </c>
      <c r="K27" s="107" t="s">
        <v>10</v>
      </c>
      <c r="L27" s="109" t="s">
        <v>11</v>
      </c>
    </row>
    <row r="28" spans="1:14" ht="15">
      <c r="A28" s="9">
        <v>6</v>
      </c>
      <c r="B28" s="53" t="s">
        <v>104</v>
      </c>
      <c r="C28" s="348" t="s">
        <v>370</v>
      </c>
      <c r="D28" s="349"/>
      <c r="E28" s="350"/>
      <c r="F28" s="351"/>
      <c r="G28" s="350"/>
      <c r="H28" s="351"/>
      <c r="I28" s="350"/>
      <c r="J28" s="351"/>
      <c r="K28" s="350"/>
      <c r="L28" s="351"/>
      <c r="N28" s="27"/>
    </row>
    <row r="29" spans="1:14" ht="15">
      <c r="A29" s="9">
        <v>8</v>
      </c>
      <c r="B29" s="17" t="s">
        <v>33</v>
      </c>
      <c r="C29" s="352" t="s">
        <v>370</v>
      </c>
      <c r="D29" s="353"/>
      <c r="E29" s="355"/>
      <c r="F29" s="354"/>
      <c r="G29" s="355"/>
      <c r="H29" s="354"/>
      <c r="I29" s="355"/>
      <c r="J29" s="354"/>
      <c r="K29" s="350"/>
      <c r="L29" s="354"/>
      <c r="N29" s="27"/>
    </row>
    <row r="30" spans="1:14" ht="15">
      <c r="A30" s="9">
        <v>10</v>
      </c>
      <c r="B30" s="17" t="s">
        <v>34</v>
      </c>
      <c r="C30" s="352" t="s">
        <v>370</v>
      </c>
      <c r="D30" s="353" t="s">
        <v>370</v>
      </c>
      <c r="E30" s="355" t="s">
        <v>370</v>
      </c>
      <c r="F30" s="354"/>
      <c r="G30" s="355"/>
      <c r="H30" s="354"/>
      <c r="I30" s="355"/>
      <c r="J30" s="354"/>
      <c r="K30" s="350"/>
      <c r="L30" s="354"/>
      <c r="N30" s="27"/>
    </row>
    <row r="31" spans="1:14" ht="15">
      <c r="A31" s="9">
        <v>11</v>
      </c>
      <c r="B31" s="17" t="s">
        <v>35</v>
      </c>
      <c r="C31" s="352">
        <v>9.242516608490991</v>
      </c>
      <c r="D31" s="353">
        <v>1028.6978113278474</v>
      </c>
      <c r="E31" s="355">
        <f>C31*D31/1000</f>
        <v>9.507756606315962</v>
      </c>
      <c r="F31" s="354">
        <v>7.669192727584785</v>
      </c>
      <c r="G31" s="355"/>
      <c r="H31" s="354"/>
      <c r="I31" s="355"/>
      <c r="J31" s="354"/>
      <c r="K31" s="350">
        <f aca="true" t="shared" si="0" ref="K31:L37">E31+G31-I31</f>
        <v>9.507756606315962</v>
      </c>
      <c r="L31" s="354">
        <f t="shared" si="0"/>
        <v>7.669192727584785</v>
      </c>
      <c r="N31" s="27"/>
    </row>
    <row r="32" spans="1:14" ht="15">
      <c r="A32" s="9" t="s">
        <v>36</v>
      </c>
      <c r="B32" s="17" t="s">
        <v>37</v>
      </c>
      <c r="C32" s="352">
        <v>2.1441999999999997</v>
      </c>
      <c r="D32" s="353">
        <v>1028.6978113278474</v>
      </c>
      <c r="E32" s="355">
        <f aca="true" t="shared" si="1" ref="E32:E34">C32*D32/1000</f>
        <v>2.20573384704917</v>
      </c>
      <c r="F32" s="354">
        <v>1.7791997291495398</v>
      </c>
      <c r="G32" s="355"/>
      <c r="H32" s="354"/>
      <c r="I32" s="355"/>
      <c r="J32" s="354"/>
      <c r="K32" s="350">
        <f t="shared" si="0"/>
        <v>2.20573384704917</v>
      </c>
      <c r="L32" s="354">
        <f t="shared" si="0"/>
        <v>1.7791997291495398</v>
      </c>
      <c r="N32" s="27"/>
    </row>
    <row r="33" spans="1:14" ht="15">
      <c r="A33" s="9" t="s">
        <v>38</v>
      </c>
      <c r="B33" s="17" t="s">
        <v>39</v>
      </c>
      <c r="C33" s="392">
        <v>78.25804000000001</v>
      </c>
      <c r="D33" s="353">
        <v>1028.6978113278474</v>
      </c>
      <c r="E33" s="355">
        <f t="shared" si="1"/>
        <v>80.50387446680715</v>
      </c>
      <c r="F33" s="354">
        <v>64.93642550684352</v>
      </c>
      <c r="G33" s="355"/>
      <c r="H33" s="354"/>
      <c r="I33" s="355"/>
      <c r="J33" s="354"/>
      <c r="K33" s="350">
        <f t="shared" si="0"/>
        <v>80.50387446680715</v>
      </c>
      <c r="L33" s="354">
        <f t="shared" si="0"/>
        <v>64.93642550684352</v>
      </c>
      <c r="N33" s="27"/>
    </row>
    <row r="34" spans="1:14" ht="15">
      <c r="A34" s="9" t="s">
        <v>40</v>
      </c>
      <c r="B34" s="17" t="s">
        <v>41</v>
      </c>
      <c r="C34" s="392">
        <v>25.568030000000004</v>
      </c>
      <c r="D34" s="353">
        <v>1028.6978113278474</v>
      </c>
      <c r="E34" s="355">
        <f t="shared" si="1"/>
        <v>26.301776500964746</v>
      </c>
      <c r="F34" s="354">
        <v>21.21566647275782</v>
      </c>
      <c r="G34" s="355"/>
      <c r="H34" s="354"/>
      <c r="I34" s="355"/>
      <c r="J34" s="354"/>
      <c r="K34" s="350">
        <f t="shared" si="0"/>
        <v>26.301776500964746</v>
      </c>
      <c r="L34" s="354">
        <f t="shared" si="0"/>
        <v>21.21566647275782</v>
      </c>
      <c r="N34" s="27"/>
    </row>
    <row r="35" spans="1:14" ht="15">
      <c r="A35" s="9">
        <v>13</v>
      </c>
      <c r="B35" s="17" t="s">
        <v>42</v>
      </c>
      <c r="C35" s="392"/>
      <c r="D35" s="353"/>
      <c r="E35" s="355"/>
      <c r="F35" s="354"/>
      <c r="G35" s="355"/>
      <c r="H35" s="354"/>
      <c r="I35" s="355"/>
      <c r="J35" s="354"/>
      <c r="K35" s="350"/>
      <c r="L35" s="354"/>
      <c r="N35" s="27"/>
    </row>
    <row r="36" spans="1:14" ht="15.75" thickBot="1">
      <c r="A36" s="9">
        <v>16</v>
      </c>
      <c r="B36" s="17" t="s">
        <v>26</v>
      </c>
      <c r="C36" s="392" t="s">
        <v>370</v>
      </c>
      <c r="D36" s="353"/>
      <c r="E36" s="355" t="s">
        <v>370</v>
      </c>
      <c r="F36" s="354"/>
      <c r="G36" s="355"/>
      <c r="H36" s="354"/>
      <c r="I36" s="355"/>
      <c r="J36" s="354"/>
      <c r="K36" s="350"/>
      <c r="L36" s="354"/>
      <c r="N36" s="27"/>
    </row>
    <row r="37" spans="1:12" ht="15.75" thickBot="1">
      <c r="A37" s="9">
        <v>17</v>
      </c>
      <c r="B37" s="21" t="s">
        <v>9</v>
      </c>
      <c r="C37" s="400">
        <f>SUM(C29:C36)</f>
        <v>115.212786608491</v>
      </c>
      <c r="D37" s="357"/>
      <c r="E37" s="358">
        <f>SUM(E28:E36)</f>
        <v>118.51914142113704</v>
      </c>
      <c r="F37" s="358">
        <f>SUM(F28:F36)</f>
        <v>95.60048443633566</v>
      </c>
      <c r="G37" s="358">
        <v>0</v>
      </c>
      <c r="H37" s="359">
        <v>0</v>
      </c>
      <c r="I37" s="358">
        <v>0</v>
      </c>
      <c r="J37" s="359">
        <v>0</v>
      </c>
      <c r="K37" s="358">
        <f t="shared" si="0"/>
        <v>118.51914142113704</v>
      </c>
      <c r="L37" s="359">
        <f t="shared" si="0"/>
        <v>95.60048443633566</v>
      </c>
    </row>
    <row r="38" spans="3:12" ht="15">
      <c r="C38" s="13"/>
      <c r="E38" s="13"/>
      <c r="F38" s="13"/>
      <c r="G38" s="13"/>
      <c r="H38" s="13"/>
      <c r="I38" s="13"/>
      <c r="J38" s="13"/>
      <c r="K38" s="13"/>
      <c r="L38" s="13"/>
    </row>
    <row r="39" ht="15">
      <c r="B39" s="25"/>
    </row>
    <row r="40" ht="15.75" thickBot="1"/>
    <row r="41" spans="2:3" ht="15.75" thickBot="1">
      <c r="B41" s="111"/>
      <c r="C41" s="113">
        <v>2020</v>
      </c>
    </row>
    <row r="42" spans="2:3" ht="15">
      <c r="B42" s="256" t="s">
        <v>373</v>
      </c>
      <c r="C42" s="377">
        <v>123.97336908900691</v>
      </c>
    </row>
    <row r="43" spans="2:3" ht="15.75" thickBot="1">
      <c r="B43" s="257" t="s">
        <v>374</v>
      </c>
      <c r="C43" s="378">
        <v>96.46603457655266</v>
      </c>
    </row>
    <row r="46" ht="15">
      <c r="B46" s="5" t="s">
        <v>540</v>
      </c>
    </row>
  </sheetData>
  <mergeCells count="7">
    <mergeCell ref="K26:L26"/>
    <mergeCell ref="B26:B27"/>
    <mergeCell ref="C26:C27"/>
    <mergeCell ref="D26:D27"/>
    <mergeCell ref="E26:F26"/>
    <mergeCell ref="G26:H26"/>
    <mergeCell ref="I26:J26"/>
  </mergeCells>
  <conditionalFormatting sqref="C39 N29:N36">
    <cfRule type="cellIs" priority="19" dxfId="1" operator="equal">
      <formula>FALSE</formula>
    </cfRule>
    <cfRule type="cellIs" priority="20" dxfId="0" operator="equal">
      <formula>TRUE</formula>
    </cfRule>
  </conditionalFormatting>
  <conditionalFormatting sqref="E39">
    <cfRule type="cellIs" priority="17" dxfId="1" operator="equal">
      <formula>FALSE</formula>
    </cfRule>
    <cfRule type="cellIs" priority="18" dxfId="0" operator="equal">
      <formula>TRUE</formula>
    </cfRule>
  </conditionalFormatting>
  <conditionalFormatting sqref="F39">
    <cfRule type="cellIs" priority="15" dxfId="1" operator="equal">
      <formula>FALSE</formula>
    </cfRule>
    <cfRule type="cellIs" priority="16" dxfId="0" operator="equal">
      <formula>TRUE</formula>
    </cfRule>
  </conditionalFormatting>
  <conditionalFormatting sqref="K39">
    <cfRule type="cellIs" priority="13" dxfId="1" operator="equal">
      <formula>FALSE</formula>
    </cfRule>
    <cfRule type="cellIs" priority="14" dxfId="0" operator="equal">
      <formula>TRUE</formula>
    </cfRule>
  </conditionalFormatting>
  <conditionalFormatting sqref="L39">
    <cfRule type="cellIs" priority="11" dxfId="1" operator="equal">
      <formula>FALSE</formula>
    </cfRule>
    <cfRule type="cellIs" priority="12" dxfId="0" operator="equal">
      <formula>TRUE</formula>
    </cfRule>
  </conditionalFormatting>
  <conditionalFormatting sqref="N28">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8"/>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87</v>
      </c>
      <c r="I1" s="6"/>
    </row>
    <row r="2" ht="4.5" customHeight="1"/>
    <row r="3" spans="2:9" ht="15">
      <c r="B3" s="401" t="s">
        <v>474</v>
      </c>
      <c r="C3" s="28" t="s">
        <v>70</v>
      </c>
      <c r="I3" s="7"/>
    </row>
    <row r="4" spans="2:9" ht="15">
      <c r="B4" s="27" t="s">
        <v>85</v>
      </c>
      <c r="C4" s="4" t="s">
        <v>371</v>
      </c>
      <c r="I4" s="27"/>
    </row>
    <row r="5" spans="2:3" ht="14.25" customHeight="1">
      <c r="B5" s="286" t="s">
        <v>475</v>
      </c>
      <c r="C5" s="4" t="s">
        <v>372</v>
      </c>
    </row>
    <row r="6" ht="14.25" customHeight="1" thickBot="1"/>
    <row r="7" spans="2:4" ht="16.5" customHeight="1" thickBot="1">
      <c r="B7" s="111"/>
      <c r="C7" s="112" t="s">
        <v>84</v>
      </c>
      <c r="D7" s="112" t="s">
        <v>72</v>
      </c>
    </row>
    <row r="8" spans="2:6" ht="14.45" customHeight="1">
      <c r="B8" s="53" t="s">
        <v>73</v>
      </c>
      <c r="C8" s="54">
        <v>0</v>
      </c>
      <c r="D8" s="54">
        <v>0</v>
      </c>
      <c r="F8" s="33"/>
    </row>
    <row r="9" spans="2:6" ht="14.45" customHeight="1">
      <c r="B9" s="35" t="s">
        <v>75</v>
      </c>
      <c r="C9" s="54">
        <v>0</v>
      </c>
      <c r="D9" s="54">
        <v>0</v>
      </c>
      <c r="F9" s="33"/>
    </row>
    <row r="10" spans="2:6" ht="14.45" customHeight="1">
      <c r="B10" s="35" t="s">
        <v>76</v>
      </c>
      <c r="C10" s="54">
        <v>0</v>
      </c>
      <c r="D10" s="54">
        <v>0</v>
      </c>
      <c r="F10" s="33"/>
    </row>
    <row r="11" spans="2:6" ht="14.45" customHeight="1" thickBot="1">
      <c r="B11" s="12" t="s">
        <v>74</v>
      </c>
      <c r="C11" s="47">
        <v>0</v>
      </c>
      <c r="D11" s="47">
        <v>0</v>
      </c>
      <c r="E11" s="49"/>
      <c r="F11" s="33"/>
    </row>
    <row r="12" spans="2:4" ht="14.25" customHeight="1">
      <c r="B12" s="15"/>
      <c r="C12" s="33"/>
      <c r="D12" s="33"/>
    </row>
    <row r="13" ht="14.25" customHeight="1"/>
    <row r="14" ht="14.25" customHeight="1" thickBot="1"/>
    <row r="15" spans="2:4" ht="16.5" customHeight="1" thickBot="1">
      <c r="B15" s="111"/>
      <c r="C15" s="112" t="s">
        <v>84</v>
      </c>
      <c r="D15" s="112" t="s">
        <v>72</v>
      </c>
    </row>
    <row r="16" spans="2:6" ht="14.45" customHeight="1">
      <c r="B16" s="53" t="s">
        <v>77</v>
      </c>
      <c r="C16" s="54">
        <v>0</v>
      </c>
      <c r="D16" s="54">
        <v>0</v>
      </c>
      <c r="E16" s="49"/>
      <c r="F16" s="33"/>
    </row>
    <row r="17" spans="2:6" ht="14.45" customHeight="1" thickBot="1">
      <c r="B17" s="37" t="s">
        <v>78</v>
      </c>
      <c r="C17" s="48">
        <v>0</v>
      </c>
      <c r="D17" s="48">
        <v>0</v>
      </c>
      <c r="E17" s="49"/>
      <c r="F17" s="33"/>
    </row>
    <row r="18" ht="14.25" customHeight="1"/>
    <row r="19" ht="14.25" customHeight="1" thickBot="1"/>
    <row r="20" spans="2:4" ht="16.5" customHeight="1" thickBot="1">
      <c r="B20" s="111"/>
      <c r="C20" s="112" t="s">
        <v>3</v>
      </c>
      <c r="D20" s="8"/>
    </row>
    <row r="21" spans="1:4" ht="14.45" customHeight="1">
      <c r="A21" s="9">
        <v>1</v>
      </c>
      <c r="B21" s="102" t="s">
        <v>0</v>
      </c>
      <c r="C21" s="394">
        <v>4.36692923912047</v>
      </c>
      <c r="D21" s="49"/>
    </row>
    <row r="22" spans="1:3" ht="15">
      <c r="A22" s="9">
        <v>2</v>
      </c>
      <c r="B22" s="10" t="s">
        <v>8</v>
      </c>
      <c r="C22" s="395" t="s">
        <v>370</v>
      </c>
    </row>
    <row r="23" spans="1:3" ht="15.75" thickBot="1">
      <c r="A23" s="9">
        <v>3</v>
      </c>
      <c r="B23" s="12" t="s">
        <v>2</v>
      </c>
      <c r="C23" s="394">
        <v>4.36692923912047</v>
      </c>
    </row>
    <row r="24" spans="1:3" ht="15">
      <c r="A24" s="9">
        <v>7</v>
      </c>
      <c r="B24" s="10" t="s">
        <v>32</v>
      </c>
      <c r="C24" s="379"/>
    </row>
    <row r="25" spans="2:3" ht="15.75" thickBot="1">
      <c r="B25" s="12" t="s">
        <v>105</v>
      </c>
      <c r="C25" s="399">
        <f>IF(ISNUMBER(C24)=TRUE,C23-C24,C23)</f>
        <v>4.36692923912047</v>
      </c>
    </row>
    <row r="26" spans="2:3" ht="15">
      <c r="B26" s="13"/>
      <c r="C26" s="14"/>
    </row>
    <row r="27" spans="2:3" ht="15.75" thickBot="1">
      <c r="B27" s="15"/>
      <c r="C27" s="16"/>
    </row>
    <row r="28" spans="2:14" ht="16.5" customHeight="1">
      <c r="B28" s="555" t="s">
        <v>1</v>
      </c>
      <c r="C28" s="557" t="s">
        <v>3</v>
      </c>
      <c r="D28" s="559" t="s">
        <v>4</v>
      </c>
      <c r="E28" s="561" t="s">
        <v>5</v>
      </c>
      <c r="F28" s="562"/>
      <c r="G28" s="561" t="s">
        <v>6</v>
      </c>
      <c r="H28" s="562"/>
      <c r="I28" s="561" t="s">
        <v>12</v>
      </c>
      <c r="J28" s="562"/>
      <c r="K28" s="553" t="s">
        <v>7</v>
      </c>
      <c r="L28" s="554"/>
      <c r="N28" s="25"/>
    </row>
    <row r="29" spans="2:12" ht="15.75" thickBot="1">
      <c r="B29" s="556"/>
      <c r="C29" s="558"/>
      <c r="D29" s="560"/>
      <c r="E29" s="107" t="s">
        <v>10</v>
      </c>
      <c r="F29" s="108" t="s">
        <v>11</v>
      </c>
      <c r="G29" s="107" t="s">
        <v>10</v>
      </c>
      <c r="H29" s="108" t="s">
        <v>11</v>
      </c>
      <c r="I29" s="107" t="s">
        <v>10</v>
      </c>
      <c r="J29" s="108" t="s">
        <v>11</v>
      </c>
      <c r="K29" s="107" t="s">
        <v>10</v>
      </c>
      <c r="L29" s="109" t="s">
        <v>11</v>
      </c>
    </row>
    <row r="30" spans="1:14" ht="15">
      <c r="A30" s="9">
        <v>6</v>
      </c>
      <c r="B30" s="53" t="s">
        <v>104</v>
      </c>
      <c r="C30" s="348" t="s">
        <v>370</v>
      </c>
      <c r="D30" s="349"/>
      <c r="E30" s="350"/>
      <c r="F30" s="351"/>
      <c r="G30" s="350"/>
      <c r="H30" s="351"/>
      <c r="I30" s="350"/>
      <c r="J30" s="351"/>
      <c r="K30" s="350"/>
      <c r="L30" s="351"/>
      <c r="N30" s="27"/>
    </row>
    <row r="31" spans="1:14" ht="15">
      <c r="A31" s="9">
        <v>8</v>
      </c>
      <c r="B31" s="17" t="s">
        <v>33</v>
      </c>
      <c r="C31" s="352" t="s">
        <v>370</v>
      </c>
      <c r="D31" s="353"/>
      <c r="E31" s="355"/>
      <c r="F31" s="354"/>
      <c r="G31" s="355"/>
      <c r="H31" s="354"/>
      <c r="I31" s="355"/>
      <c r="J31" s="354"/>
      <c r="K31" s="350"/>
      <c r="L31" s="354"/>
      <c r="N31" s="27"/>
    </row>
    <row r="32" spans="1:14" ht="15">
      <c r="A32" s="9">
        <v>10</v>
      </c>
      <c r="B32" s="17" t="s">
        <v>34</v>
      </c>
      <c r="C32" s="352" t="s">
        <v>370</v>
      </c>
      <c r="D32" s="353"/>
      <c r="E32" s="355" t="s">
        <v>370</v>
      </c>
      <c r="F32" s="354"/>
      <c r="G32" s="355"/>
      <c r="H32" s="354"/>
      <c r="I32" s="355"/>
      <c r="J32" s="354"/>
      <c r="K32" s="350"/>
      <c r="L32" s="354"/>
      <c r="N32" s="27"/>
    </row>
    <row r="33" spans="1:14" ht="15">
      <c r="A33" s="9">
        <v>11</v>
      </c>
      <c r="B33" s="17" t="s">
        <v>35</v>
      </c>
      <c r="C33" s="352">
        <v>1.41472923912047</v>
      </c>
      <c r="D33" s="353">
        <v>1435.3832221455168</v>
      </c>
      <c r="E33" s="355">
        <f>C33*D33/1000</f>
        <v>2.0306786137122157</v>
      </c>
      <c r="F33" s="354">
        <v>2.153022121876007</v>
      </c>
      <c r="G33" s="355"/>
      <c r="H33" s="354"/>
      <c r="I33" s="355"/>
      <c r="J33" s="354"/>
      <c r="K33" s="350">
        <f aca="true" t="shared" si="0" ref="K33:K36">E33+G33-I33</f>
        <v>2.0306786137122157</v>
      </c>
      <c r="L33" s="354"/>
      <c r="N33" s="27"/>
    </row>
    <row r="34" spans="1:14" ht="15">
      <c r="A34" s="9" t="s">
        <v>36</v>
      </c>
      <c r="B34" s="17" t="s">
        <v>37</v>
      </c>
      <c r="C34" s="352">
        <v>0.6818599999999999</v>
      </c>
      <c r="D34" s="353">
        <v>1435.3832221455168</v>
      </c>
      <c r="E34" s="355">
        <f aca="true" t="shared" si="1" ref="E34:E36">C34*D34/1000</f>
        <v>0.9787304038521419</v>
      </c>
      <c r="F34" s="354">
        <v>1.0376965594738534</v>
      </c>
      <c r="G34" s="355"/>
      <c r="H34" s="354"/>
      <c r="I34" s="355"/>
      <c r="J34" s="354"/>
      <c r="K34" s="350">
        <f t="shared" si="0"/>
        <v>0.9787304038521419</v>
      </c>
      <c r="L34" s="354"/>
      <c r="N34" s="27"/>
    </row>
    <row r="35" spans="1:14" ht="15">
      <c r="A35" s="9" t="s">
        <v>38</v>
      </c>
      <c r="B35" s="17" t="s">
        <v>39</v>
      </c>
      <c r="C35" s="392">
        <v>1.8677000000000001</v>
      </c>
      <c r="D35" s="353">
        <v>1435.3832221455168</v>
      </c>
      <c r="E35" s="355">
        <f t="shared" si="1"/>
        <v>2.6808652440011818</v>
      </c>
      <c r="F35" s="354">
        <v>2.842380934692336</v>
      </c>
      <c r="G35" s="355"/>
      <c r="H35" s="354"/>
      <c r="I35" s="355"/>
      <c r="J35" s="354"/>
      <c r="K35" s="350">
        <f t="shared" si="0"/>
        <v>2.6808652440011818</v>
      </c>
      <c r="L35" s="354"/>
      <c r="N35" s="27"/>
    </row>
    <row r="36" spans="1:14" ht="15">
      <c r="A36" s="9" t="s">
        <v>40</v>
      </c>
      <c r="B36" s="17" t="s">
        <v>41</v>
      </c>
      <c r="C36" s="392">
        <v>0.40264</v>
      </c>
      <c r="D36" s="353">
        <v>1435.3832221455168</v>
      </c>
      <c r="E36" s="355">
        <f t="shared" si="1"/>
        <v>0.5779427005646709</v>
      </c>
      <c r="F36" s="354">
        <v>0.6127623598782043</v>
      </c>
      <c r="G36" s="355"/>
      <c r="H36" s="354"/>
      <c r="I36" s="355"/>
      <c r="J36" s="354"/>
      <c r="K36" s="350">
        <f t="shared" si="0"/>
        <v>0.5779427005646709</v>
      </c>
      <c r="L36" s="354"/>
      <c r="N36" s="27"/>
    </row>
    <row r="37" spans="1:14" ht="15">
      <c r="A37" s="9">
        <v>13</v>
      </c>
      <c r="B37" s="17" t="s">
        <v>42</v>
      </c>
      <c r="C37" s="392"/>
      <c r="D37" s="353">
        <v>1435.3832221455168</v>
      </c>
      <c r="E37" s="355"/>
      <c r="F37" s="354"/>
      <c r="G37" s="355"/>
      <c r="H37" s="354"/>
      <c r="I37" s="355"/>
      <c r="J37" s="354"/>
      <c r="K37" s="350"/>
      <c r="L37" s="354"/>
      <c r="N37" s="27"/>
    </row>
    <row r="38" spans="1:14" ht="15.75" thickBot="1">
      <c r="A38" s="9">
        <v>16</v>
      </c>
      <c r="B38" s="17" t="s">
        <v>26</v>
      </c>
      <c r="C38" s="392"/>
      <c r="D38" s="353">
        <v>1435.3832221455168</v>
      </c>
      <c r="E38" s="355"/>
      <c r="F38" s="354"/>
      <c r="G38" s="355">
        <v>4.513546515627099</v>
      </c>
      <c r="H38" s="354"/>
      <c r="I38" s="355"/>
      <c r="J38" s="354"/>
      <c r="K38" s="350"/>
      <c r="L38" s="354"/>
      <c r="N38" s="27"/>
    </row>
    <row r="39" spans="1:12" ht="15.75" thickBot="1">
      <c r="A39" s="9">
        <v>17</v>
      </c>
      <c r="B39" s="21" t="s">
        <v>9</v>
      </c>
      <c r="C39" s="400">
        <f>SUM(C30:C38)</f>
        <v>4.36692923912047</v>
      </c>
      <c r="D39" s="357"/>
      <c r="E39" s="358">
        <f>SUM(E30:E38)</f>
        <v>6.268216962130211</v>
      </c>
      <c r="F39" s="359">
        <v>0</v>
      </c>
      <c r="G39" s="358">
        <f>SUM(G30:G38)</f>
        <v>4.513546515627099</v>
      </c>
      <c r="H39" s="359">
        <v>0</v>
      </c>
      <c r="I39" s="358">
        <v>0</v>
      </c>
      <c r="J39" s="359">
        <v>0</v>
      </c>
      <c r="K39" s="358">
        <f>E39+G39-I39</f>
        <v>10.781763477757309</v>
      </c>
      <c r="L39" s="359">
        <f>F39+H39-J39</f>
        <v>0</v>
      </c>
    </row>
    <row r="40" spans="3:12" ht="15">
      <c r="C40" s="13"/>
      <c r="E40" s="13"/>
      <c r="F40" s="13"/>
      <c r="G40" s="13"/>
      <c r="H40" s="13"/>
      <c r="I40" s="13"/>
      <c r="J40" s="13"/>
      <c r="K40" s="13"/>
      <c r="L40" s="13"/>
    </row>
    <row r="41" ht="15">
      <c r="B41" s="25"/>
    </row>
    <row r="42" ht="15.75" thickBot="1"/>
    <row r="43" spans="2:3" ht="15.75" thickBot="1">
      <c r="B43" s="111"/>
      <c r="C43" s="113">
        <v>2020</v>
      </c>
    </row>
    <row r="44" spans="2:3" ht="15">
      <c r="B44" s="256" t="s">
        <v>373</v>
      </c>
      <c r="C44" s="377">
        <v>94.31759168098147</v>
      </c>
    </row>
    <row r="45" spans="2:3" ht="15.75" thickBot="1">
      <c r="B45" s="257" t="s">
        <v>374</v>
      </c>
      <c r="C45" s="378">
        <v>79.04940698003313</v>
      </c>
    </row>
    <row r="48" ht="15">
      <c r="B48" s="5" t="s">
        <v>541</v>
      </c>
    </row>
  </sheetData>
  <mergeCells count="7">
    <mergeCell ref="K28:L28"/>
    <mergeCell ref="B28:B29"/>
    <mergeCell ref="C28:C29"/>
    <mergeCell ref="D28:D29"/>
    <mergeCell ref="E28:F28"/>
    <mergeCell ref="G28:H28"/>
    <mergeCell ref="I28:J28"/>
  </mergeCells>
  <conditionalFormatting sqref="C41 N31:N38">
    <cfRule type="cellIs" priority="19" dxfId="1" operator="equal">
      <formula>FALSE</formula>
    </cfRule>
    <cfRule type="cellIs" priority="20" dxfId="0" operator="equal">
      <formula>TRUE</formula>
    </cfRule>
  </conditionalFormatting>
  <conditionalFormatting sqref="E41">
    <cfRule type="cellIs" priority="17" dxfId="1" operator="equal">
      <formula>FALSE</formula>
    </cfRule>
    <cfRule type="cellIs" priority="18" dxfId="0" operator="equal">
      <formula>TRUE</formula>
    </cfRule>
  </conditionalFormatting>
  <conditionalFormatting sqref="F41">
    <cfRule type="cellIs" priority="15" dxfId="1" operator="equal">
      <formula>FALSE</formula>
    </cfRule>
    <cfRule type="cellIs" priority="16" dxfId="0" operator="equal">
      <formula>TRUE</formula>
    </cfRule>
  </conditionalFormatting>
  <conditionalFormatting sqref="K41">
    <cfRule type="cellIs" priority="13" dxfId="1" operator="equal">
      <formula>FALSE</formula>
    </cfRule>
    <cfRule type="cellIs" priority="14" dxfId="0" operator="equal">
      <formula>TRUE</formula>
    </cfRule>
  </conditionalFormatting>
  <conditionalFormatting sqref="L41">
    <cfRule type="cellIs" priority="11" dxfId="1" operator="equal">
      <formula>FALSE</formula>
    </cfRule>
    <cfRule type="cellIs" priority="12" dxfId="0" operator="equal">
      <formula>TRUE</formula>
    </cfRule>
  </conditionalFormatting>
  <conditionalFormatting sqref="C13">
    <cfRule type="cellIs" priority="7" dxfId="1" operator="equal">
      <formula>FALSE</formula>
    </cfRule>
    <cfRule type="cellIs" priority="8" dxfId="0" operator="equal">
      <formula>TRUE</formula>
    </cfRule>
  </conditionalFormatting>
  <conditionalFormatting sqref="D13">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tabSelected="1" workbookViewId="0" topLeftCell="A1">
      <selection activeCell="C2" sqref="C2"/>
    </sheetView>
  </sheetViews>
  <sheetFormatPr defaultColWidth="8.8515625" defaultRowHeight="15"/>
  <cols>
    <col min="2" max="2" width="15.28125" style="0" customWidth="1"/>
    <col min="3" max="3" width="46.28125" style="0" customWidth="1"/>
  </cols>
  <sheetData>
    <row r="2" spans="2:3" ht="18.75">
      <c r="B2" s="1" t="s">
        <v>17</v>
      </c>
      <c r="C2" s="593" t="s">
        <v>557</v>
      </c>
    </row>
    <row r="6" spans="2:3" ht="165">
      <c r="B6" s="1" t="s">
        <v>13</v>
      </c>
      <c r="C6" s="592" t="s">
        <v>558</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customWidth="1"/>
    <col min="4" max="4" width="24.140625" style="5" bestFit="1"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95</v>
      </c>
      <c r="I1" s="6"/>
    </row>
    <row r="2" ht="4.5" customHeight="1"/>
    <row r="3" spans="2:9" ht="15">
      <c r="B3" s="7" t="s">
        <v>429</v>
      </c>
      <c r="C3" s="28" t="s">
        <v>101</v>
      </c>
      <c r="I3" s="7"/>
    </row>
    <row r="4" spans="2:9" ht="15">
      <c r="B4" s="27" t="s">
        <v>96</v>
      </c>
      <c r="C4" s="4" t="s">
        <v>371</v>
      </c>
      <c r="I4" s="27"/>
    </row>
    <row r="5" ht="14.25" customHeight="1">
      <c r="C5" s="4" t="s">
        <v>372</v>
      </c>
    </row>
    <row r="6" ht="14.25" customHeight="1" thickBot="1"/>
    <row r="7" spans="2:6" ht="14.25" customHeight="1">
      <c r="B7" s="60" t="s">
        <v>100</v>
      </c>
      <c r="C7" s="61">
        <v>0</v>
      </c>
      <c r="F7" s="33"/>
    </row>
    <row r="8" spans="2:6" ht="14.25" customHeight="1">
      <c r="B8" s="55" t="s">
        <v>97</v>
      </c>
      <c r="C8" s="50">
        <v>0</v>
      </c>
      <c r="F8" s="33"/>
    </row>
    <row r="9" spans="2:6" ht="14.25" customHeight="1">
      <c r="B9" s="55" t="s">
        <v>98</v>
      </c>
      <c r="C9" s="50">
        <v>0</v>
      </c>
      <c r="F9" s="33"/>
    </row>
    <row r="10" spans="2:6" ht="14.25" customHeight="1">
      <c r="B10" s="56" t="s">
        <v>99</v>
      </c>
      <c r="C10" s="50">
        <v>0</v>
      </c>
      <c r="D10" s="49"/>
      <c r="E10" s="49"/>
      <c r="F10" s="33"/>
    </row>
    <row r="11" spans="2:3" ht="14.25" customHeight="1">
      <c r="B11" s="53" t="s">
        <v>102</v>
      </c>
      <c r="C11" s="54"/>
    </row>
    <row r="12" spans="2:3" ht="14.25" customHeight="1">
      <c r="B12" s="55" t="s">
        <v>97</v>
      </c>
      <c r="C12" s="46">
        <v>0</v>
      </c>
    </row>
    <row r="13" spans="2:3" ht="14.25" customHeight="1">
      <c r="B13" s="55" t="s">
        <v>98</v>
      </c>
      <c r="C13" s="46">
        <v>0</v>
      </c>
    </row>
    <row r="14" spans="2:3" ht="14.25" customHeight="1" thickBot="1">
      <c r="B14" s="57" t="s">
        <v>99</v>
      </c>
      <c r="C14" s="48">
        <v>0</v>
      </c>
    </row>
    <row r="15" spans="2:3" ht="14.25" customHeight="1">
      <c r="B15" s="58"/>
      <c r="C15" s="59"/>
    </row>
    <row r="16" ht="14.25" customHeight="1"/>
    <row r="17" ht="14.25" customHeight="1" thickBot="1"/>
    <row r="18" spans="2:4" ht="16.5" customHeight="1" thickBot="1">
      <c r="B18" s="111"/>
      <c r="C18" s="112" t="s">
        <v>3</v>
      </c>
      <c r="D18" s="8"/>
    </row>
    <row r="19" spans="1:4" ht="15">
      <c r="A19" s="9">
        <v>1</v>
      </c>
      <c r="B19" s="102" t="s">
        <v>0</v>
      </c>
      <c r="C19" s="394">
        <v>195.10068288624</v>
      </c>
      <c r="D19" s="49"/>
    </row>
    <row r="20" spans="1:3" ht="15">
      <c r="A20" s="9">
        <v>2</v>
      </c>
      <c r="B20" s="10" t="s">
        <v>8</v>
      </c>
      <c r="C20" s="395" t="s">
        <v>370</v>
      </c>
    </row>
    <row r="21" spans="1:3" ht="15.75" thickBot="1">
      <c r="A21" s="9">
        <v>3</v>
      </c>
      <c r="B21" s="12" t="s">
        <v>2</v>
      </c>
      <c r="C21" s="399">
        <v>195.10068288624</v>
      </c>
    </row>
    <row r="22" spans="1:3" ht="15">
      <c r="A22" s="9">
        <v>7</v>
      </c>
      <c r="B22" s="10" t="s">
        <v>32</v>
      </c>
      <c r="C22" s="379"/>
    </row>
    <row r="23" spans="2:3" ht="15.75" thickBot="1">
      <c r="B23" s="12" t="s">
        <v>105</v>
      </c>
      <c r="C23" s="399">
        <f>IF(ISNUMBER(C22)=TRUE,C21-C22,C21)</f>
        <v>195.10068288624</v>
      </c>
    </row>
    <row r="24" spans="2:3" ht="15">
      <c r="B24" s="13"/>
      <c r="C24" s="14"/>
    </row>
    <row r="25" spans="2:3" ht="15.75" thickBot="1">
      <c r="B25" s="15"/>
      <c r="C25" s="16"/>
    </row>
    <row r="26" spans="2:14" ht="16.5" customHeight="1">
      <c r="B26" s="555" t="s">
        <v>1</v>
      </c>
      <c r="C26" s="557" t="s">
        <v>3</v>
      </c>
      <c r="D26" s="559" t="s">
        <v>4</v>
      </c>
      <c r="E26" s="561" t="s">
        <v>5</v>
      </c>
      <c r="F26" s="562"/>
      <c r="G26" s="561" t="s">
        <v>6</v>
      </c>
      <c r="H26" s="562"/>
      <c r="I26" s="561" t="s">
        <v>12</v>
      </c>
      <c r="J26" s="562"/>
      <c r="K26" s="553" t="s">
        <v>7</v>
      </c>
      <c r="L26" s="554"/>
      <c r="N26" s="25"/>
    </row>
    <row r="27" spans="2:12" ht="15.75" thickBot="1">
      <c r="B27" s="556"/>
      <c r="C27" s="558"/>
      <c r="D27" s="560"/>
      <c r="E27" s="107" t="s">
        <v>10</v>
      </c>
      <c r="F27" s="108" t="s">
        <v>11</v>
      </c>
      <c r="G27" s="107" t="s">
        <v>10</v>
      </c>
      <c r="H27" s="108" t="s">
        <v>11</v>
      </c>
      <c r="I27" s="107" t="s">
        <v>10</v>
      </c>
      <c r="J27" s="108" t="s">
        <v>11</v>
      </c>
      <c r="K27" s="107" t="s">
        <v>10</v>
      </c>
      <c r="L27" s="108" t="s">
        <v>11</v>
      </c>
    </row>
    <row r="28" spans="1:14" ht="15">
      <c r="A28" s="9">
        <v>6</v>
      </c>
      <c r="B28" s="53" t="s">
        <v>104</v>
      </c>
      <c r="C28" s="362" t="s">
        <v>370</v>
      </c>
      <c r="D28" s="363"/>
      <c r="E28" s="364"/>
      <c r="F28" s="365"/>
      <c r="G28" s="364"/>
      <c r="H28" s="365"/>
      <c r="I28" s="364"/>
      <c r="J28" s="365"/>
      <c r="K28" s="350"/>
      <c r="L28" s="351"/>
      <c r="N28" s="27"/>
    </row>
    <row r="29" spans="1:14" ht="15">
      <c r="A29" s="9">
        <v>8</v>
      </c>
      <c r="B29" s="17" t="s">
        <v>33</v>
      </c>
      <c r="C29" s="366" t="s">
        <v>370</v>
      </c>
      <c r="D29" s="367"/>
      <c r="E29" s="369"/>
      <c r="F29" s="368"/>
      <c r="G29" s="369"/>
      <c r="H29" s="368"/>
      <c r="I29" s="369"/>
      <c r="J29" s="368"/>
      <c r="K29" s="350"/>
      <c r="L29" s="354"/>
      <c r="N29" s="27"/>
    </row>
    <row r="30" spans="1:14" ht="15">
      <c r="A30" s="9">
        <v>10</v>
      </c>
      <c r="B30" s="17" t="s">
        <v>34</v>
      </c>
      <c r="C30" s="366" t="s">
        <v>370</v>
      </c>
      <c r="D30" s="367" t="s">
        <v>370</v>
      </c>
      <c r="E30" s="369" t="s">
        <v>370</v>
      </c>
      <c r="F30" s="368"/>
      <c r="G30" s="369"/>
      <c r="H30" s="368"/>
      <c r="I30" s="369"/>
      <c r="J30" s="368"/>
      <c r="K30" s="350"/>
      <c r="L30" s="354"/>
      <c r="N30" s="27"/>
    </row>
    <row r="31" spans="1:14" ht="15">
      <c r="A31" s="9">
        <v>11</v>
      </c>
      <c r="B31" s="17" t="s">
        <v>35</v>
      </c>
      <c r="C31" s="366" t="s">
        <v>370</v>
      </c>
      <c r="D31" s="367" t="s">
        <v>370</v>
      </c>
      <c r="E31" s="369" t="s">
        <v>370</v>
      </c>
      <c r="F31" s="368"/>
      <c r="G31" s="369"/>
      <c r="H31" s="368"/>
      <c r="I31" s="369"/>
      <c r="J31" s="368"/>
      <c r="K31" s="350"/>
      <c r="L31" s="354"/>
      <c r="N31" s="27"/>
    </row>
    <row r="32" spans="1:14" ht="15">
      <c r="A32" s="9" t="s">
        <v>36</v>
      </c>
      <c r="B32" s="17" t="s">
        <v>37</v>
      </c>
      <c r="C32" s="366" t="s">
        <v>370</v>
      </c>
      <c r="D32" s="367"/>
      <c r="E32" s="369" t="s">
        <v>370</v>
      </c>
      <c r="F32" s="368"/>
      <c r="G32" s="369"/>
      <c r="H32" s="368"/>
      <c r="I32" s="369"/>
      <c r="J32" s="368"/>
      <c r="K32" s="350"/>
      <c r="L32" s="354"/>
      <c r="N32" s="27"/>
    </row>
    <row r="33" spans="1:14" ht="15">
      <c r="A33" s="9" t="s">
        <v>38</v>
      </c>
      <c r="B33" s="17" t="s">
        <v>39</v>
      </c>
      <c r="C33" s="397">
        <v>195.10068288624</v>
      </c>
      <c r="D33" s="367">
        <v>33.19391887406227</v>
      </c>
      <c r="E33" s="369">
        <f>C33*D33/1000</f>
        <v>6.47615624</v>
      </c>
      <c r="F33" s="368"/>
      <c r="G33" s="369"/>
      <c r="H33" s="368"/>
      <c r="I33" s="369"/>
      <c r="J33" s="368"/>
      <c r="K33" s="350">
        <f aca="true" t="shared" si="0" ref="K33:L33">E33+G33-I33</f>
        <v>6.47615624</v>
      </c>
      <c r="L33" s="354">
        <f t="shared" si="0"/>
        <v>0</v>
      </c>
      <c r="N33" s="27"/>
    </row>
    <row r="34" spans="1:14" ht="15">
      <c r="A34" s="9" t="s">
        <v>40</v>
      </c>
      <c r="B34" s="17" t="s">
        <v>41</v>
      </c>
      <c r="C34" s="397" t="s">
        <v>370</v>
      </c>
      <c r="D34" s="367"/>
      <c r="E34" s="369" t="s">
        <v>370</v>
      </c>
      <c r="F34" s="368"/>
      <c r="G34" s="369"/>
      <c r="H34" s="368"/>
      <c r="I34" s="369"/>
      <c r="J34" s="368"/>
      <c r="K34" s="350"/>
      <c r="L34" s="354"/>
      <c r="N34" s="27"/>
    </row>
    <row r="35" spans="1:14" ht="15">
      <c r="A35" s="9">
        <v>13</v>
      </c>
      <c r="B35" s="17" t="s">
        <v>42</v>
      </c>
      <c r="C35" s="397"/>
      <c r="D35" s="367"/>
      <c r="E35" s="369"/>
      <c r="F35" s="368"/>
      <c r="G35" s="369"/>
      <c r="H35" s="368"/>
      <c r="I35" s="369"/>
      <c r="J35" s="368"/>
      <c r="K35" s="350"/>
      <c r="L35" s="354"/>
      <c r="N35" s="27"/>
    </row>
    <row r="36" spans="1:14" ht="15.75" thickBot="1">
      <c r="A36" s="9">
        <v>16</v>
      </c>
      <c r="B36" s="17" t="s">
        <v>26</v>
      </c>
      <c r="C36" s="397" t="s">
        <v>370</v>
      </c>
      <c r="D36" s="367"/>
      <c r="E36" s="369" t="s">
        <v>370</v>
      </c>
      <c r="F36" s="368"/>
      <c r="G36" s="369"/>
      <c r="H36" s="368"/>
      <c r="I36" s="369"/>
      <c r="J36" s="368"/>
      <c r="K36" s="350"/>
      <c r="L36" s="354"/>
      <c r="N36" s="27"/>
    </row>
    <row r="37" spans="1:12" ht="15.75" thickBot="1">
      <c r="A37" s="9">
        <v>17</v>
      </c>
      <c r="B37" s="21" t="s">
        <v>9</v>
      </c>
      <c r="C37" s="398">
        <f>SUM(C28:C36)</f>
        <v>195.10068288624</v>
      </c>
      <c r="D37" s="370"/>
      <c r="E37" s="371">
        <f>SUM(E28:E36)</f>
        <v>6.47615624</v>
      </c>
      <c r="F37" s="371">
        <f>SUM(F28:F36)</f>
        <v>0</v>
      </c>
      <c r="G37" s="371">
        <v>0</v>
      </c>
      <c r="H37" s="372">
        <v>0</v>
      </c>
      <c r="I37" s="371">
        <v>0</v>
      </c>
      <c r="J37" s="372">
        <v>0</v>
      </c>
      <c r="K37" s="358">
        <f aca="true" t="shared" si="1" ref="K37">E37+G37-I37</f>
        <v>6.47615624</v>
      </c>
      <c r="L37" s="359">
        <f aca="true" t="shared" si="2" ref="L37">F37+H37-J37</f>
        <v>0</v>
      </c>
    </row>
    <row r="38" spans="3:12" ht="15">
      <c r="C38" s="13"/>
      <c r="E38" s="13"/>
      <c r="F38" s="13"/>
      <c r="G38" s="13"/>
      <c r="H38" s="13"/>
      <c r="I38" s="13"/>
      <c r="J38" s="13"/>
      <c r="K38" s="13"/>
      <c r="L38" s="13"/>
    </row>
    <row r="39" ht="15">
      <c r="B39" s="25"/>
    </row>
    <row r="40" ht="15.75" thickBot="1"/>
    <row r="41" spans="2:3" ht="15.75" thickBot="1">
      <c r="B41" s="111"/>
      <c r="C41" s="113">
        <v>2020</v>
      </c>
    </row>
    <row r="42" spans="2:3" ht="15">
      <c r="B42" s="256" t="s">
        <v>373</v>
      </c>
      <c r="C42" s="377">
        <v>100</v>
      </c>
    </row>
    <row r="43" spans="2:3" ht="15.75" thickBot="1">
      <c r="B43" s="257" t="s">
        <v>374</v>
      </c>
      <c r="C43" s="492">
        <v>84.98732911618866</v>
      </c>
    </row>
    <row r="46" ht="15">
      <c r="B46" s="5" t="s">
        <v>532</v>
      </c>
    </row>
  </sheetData>
  <mergeCells count="7">
    <mergeCell ref="K26:L26"/>
    <mergeCell ref="B26:B27"/>
    <mergeCell ref="C26:C27"/>
    <mergeCell ref="D26:D27"/>
    <mergeCell ref="E26:F26"/>
    <mergeCell ref="G26:H26"/>
    <mergeCell ref="I26:J26"/>
  </mergeCells>
  <conditionalFormatting sqref="C39 N29:N36">
    <cfRule type="cellIs" priority="21" dxfId="1" operator="equal">
      <formula>FALSE</formula>
    </cfRule>
    <cfRule type="cellIs" priority="22" dxfId="0" operator="equal">
      <formula>TRUE</formula>
    </cfRule>
  </conditionalFormatting>
  <conditionalFormatting sqref="E39">
    <cfRule type="cellIs" priority="19" dxfId="1" operator="equal">
      <formula>FALSE</formula>
    </cfRule>
    <cfRule type="cellIs" priority="20" dxfId="0" operator="equal">
      <formula>TRUE</formula>
    </cfRule>
  </conditionalFormatting>
  <conditionalFormatting sqref="F39">
    <cfRule type="cellIs" priority="17" dxfId="1" operator="equal">
      <formula>FALSE</formula>
    </cfRule>
    <cfRule type="cellIs" priority="18" dxfId="0" operator="equal">
      <formula>TRUE</formula>
    </cfRule>
  </conditionalFormatting>
  <conditionalFormatting sqref="K39">
    <cfRule type="cellIs" priority="15" dxfId="1" operator="equal">
      <formula>FALSE</formula>
    </cfRule>
    <cfRule type="cellIs" priority="16" dxfId="0" operator="equal">
      <formula>TRUE</formula>
    </cfRule>
  </conditionalFormatting>
  <conditionalFormatting sqref="L39">
    <cfRule type="cellIs" priority="13" dxfId="1" operator="equal">
      <formula>FALSE</formula>
    </cfRule>
    <cfRule type="cellIs" priority="14" dxfId="0" operator="equal">
      <formula>TRUE</formula>
    </cfRule>
  </conditionalFormatting>
  <conditionalFormatting sqref="C16">
    <cfRule type="cellIs" priority="9" dxfId="1" operator="equal">
      <formula>FALSE</formula>
    </cfRule>
    <cfRule type="cellIs" priority="10" dxfId="0" operator="equal">
      <formula>TRUE</formula>
    </cfRule>
  </conditionalFormatting>
  <conditionalFormatting sqref="D16">
    <cfRule type="cellIs" priority="7" dxfId="1" operator="equal">
      <formula>FALSE</formula>
    </cfRule>
    <cfRule type="cellIs" priority="8" dxfId="0" operator="equal">
      <formula>TRUE</formula>
    </cfRule>
  </conditionalFormatting>
  <conditionalFormatting sqref="E19">
    <cfRule type="cellIs" priority="5" dxfId="1" operator="equal">
      <formula>FALSE</formula>
    </cfRule>
    <cfRule type="cellIs" priority="6" dxfId="0" operator="equal">
      <formula>TRUE</formula>
    </cfRule>
  </conditionalFormatting>
  <conditionalFormatting sqref="E21">
    <cfRule type="cellIs" priority="3" dxfId="1" operator="equal">
      <formula>FALSE</formula>
    </cfRule>
    <cfRule type="cellIs" priority="4" dxfId="0" operator="equal">
      <formula>TRUE</formula>
    </cfRule>
  </conditionalFormatting>
  <conditionalFormatting sqref="N28">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94</v>
      </c>
      <c r="I1" s="6"/>
    </row>
    <row r="2" ht="4.5" customHeight="1"/>
    <row r="3" spans="2:9" ht="15">
      <c r="B3" s="7" t="s">
        <v>428</v>
      </c>
      <c r="C3" s="28" t="s">
        <v>28</v>
      </c>
      <c r="I3" s="7"/>
    </row>
    <row r="4" spans="2:9" ht="15">
      <c r="B4" s="27" t="s">
        <v>103</v>
      </c>
      <c r="C4" s="4" t="s">
        <v>371</v>
      </c>
      <c r="I4" s="27"/>
    </row>
    <row r="5" ht="14.25" customHeight="1">
      <c r="C5" s="4" t="s">
        <v>372</v>
      </c>
    </row>
    <row r="6" ht="14.25" customHeight="1" thickBot="1"/>
    <row r="7" spans="2:4" ht="16.5" customHeight="1" thickBot="1">
      <c r="B7" s="111"/>
      <c r="C7" s="112" t="s">
        <v>3</v>
      </c>
      <c r="D7" s="8"/>
    </row>
    <row r="8" spans="1:4" ht="15">
      <c r="A8" s="9">
        <v>1</v>
      </c>
      <c r="B8" s="102" t="s">
        <v>0</v>
      </c>
      <c r="C8" s="374">
        <v>906.375034</v>
      </c>
      <c r="D8" s="49"/>
    </row>
    <row r="9" spans="1:3" ht="15">
      <c r="A9" s="9">
        <v>2</v>
      </c>
      <c r="B9" s="10" t="s">
        <v>8</v>
      </c>
      <c r="C9" s="379"/>
    </row>
    <row r="10" spans="1:3" ht="15">
      <c r="A10" s="9">
        <v>3</v>
      </c>
      <c r="B10" s="11" t="s">
        <v>2</v>
      </c>
      <c r="C10" s="391">
        <v>906.375034</v>
      </c>
    </row>
    <row r="11" spans="1:5" ht="15">
      <c r="A11" s="9">
        <v>7</v>
      </c>
      <c r="B11" s="10" t="s">
        <v>32</v>
      </c>
      <c r="C11" s="379">
        <v>75.157055</v>
      </c>
      <c r="E11" s="280"/>
    </row>
    <row r="12" spans="2:5" ht="15.75" thickBot="1">
      <c r="B12" s="12" t="s">
        <v>105</v>
      </c>
      <c r="C12" s="375">
        <f>IF(ISNUMBER(C11)=TRUE,C10-C11,C10)</f>
        <v>831.217979</v>
      </c>
      <c r="E12" s="280"/>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6</v>
      </c>
      <c r="B17" s="53" t="s">
        <v>104</v>
      </c>
      <c r="C17" s="348" t="s">
        <v>370</v>
      </c>
      <c r="D17" s="349"/>
      <c r="E17" s="350"/>
      <c r="F17" s="351"/>
      <c r="G17" s="350"/>
      <c r="H17" s="351"/>
      <c r="I17" s="350"/>
      <c r="J17" s="351"/>
      <c r="K17" s="350"/>
      <c r="L17" s="351"/>
      <c r="N17" s="27"/>
    </row>
    <row r="18" spans="1:14" ht="15">
      <c r="A18" s="9">
        <v>8</v>
      </c>
      <c r="B18" s="17" t="s">
        <v>33</v>
      </c>
      <c r="C18" s="352" t="s">
        <v>370</v>
      </c>
      <c r="D18" s="353"/>
      <c r="E18" s="355"/>
      <c r="F18" s="354"/>
      <c r="G18" s="355"/>
      <c r="H18" s="354"/>
      <c r="I18" s="355"/>
      <c r="J18" s="354"/>
      <c r="K18" s="350"/>
      <c r="L18" s="354"/>
      <c r="N18" s="27"/>
    </row>
    <row r="19" spans="1:14" ht="15">
      <c r="A19" s="9">
        <v>10</v>
      </c>
      <c r="B19" s="17" t="s">
        <v>34</v>
      </c>
      <c r="C19" s="352"/>
      <c r="D19" s="353"/>
      <c r="E19" s="355"/>
      <c r="F19" s="354"/>
      <c r="G19" s="355"/>
      <c r="H19" s="354"/>
      <c r="I19" s="355"/>
      <c r="J19" s="354"/>
      <c r="K19" s="350"/>
      <c r="L19" s="354"/>
      <c r="N19" s="27"/>
    </row>
    <row r="20" spans="1:14" ht="15">
      <c r="A20" s="9">
        <v>11</v>
      </c>
      <c r="B20" s="17" t="s">
        <v>35</v>
      </c>
      <c r="C20" s="352">
        <v>12.3119062232043</v>
      </c>
      <c r="D20" s="353">
        <v>314.7604287625783</v>
      </c>
      <c r="E20" s="355">
        <f>C20*D20/1000</f>
        <v>3.8753008817004413</v>
      </c>
      <c r="F20" s="354">
        <v>4.121978594368705</v>
      </c>
      <c r="G20" s="355"/>
      <c r="H20" s="354"/>
      <c r="I20" s="355"/>
      <c r="J20" s="354"/>
      <c r="K20" s="350">
        <f aca="true" t="shared" si="0" ref="K20:L26">E20+G20-I20</f>
        <v>3.8753008817004413</v>
      </c>
      <c r="L20" s="354">
        <f t="shared" si="0"/>
        <v>4.121978594368705</v>
      </c>
      <c r="N20" s="27"/>
    </row>
    <row r="21" spans="1:14" ht="15">
      <c r="A21" s="9" t="s">
        <v>36</v>
      </c>
      <c r="B21" s="17" t="s">
        <v>37</v>
      </c>
      <c r="C21" s="352">
        <v>9.87498335804192</v>
      </c>
      <c r="D21" s="353">
        <v>314.7604287625783</v>
      </c>
      <c r="E21" s="355">
        <f aca="true" t="shared" si="1" ref="E21:E22">C21*D21/1000</f>
        <v>3.1082539958005997</v>
      </c>
      <c r="F21" s="354">
        <v>3.0311004537868658</v>
      </c>
      <c r="G21" s="355"/>
      <c r="H21" s="354"/>
      <c r="I21" s="355"/>
      <c r="J21" s="354"/>
      <c r="K21" s="350">
        <f t="shared" si="0"/>
        <v>3.1082539958005997</v>
      </c>
      <c r="L21" s="354">
        <f t="shared" si="0"/>
        <v>3.0311004537868658</v>
      </c>
      <c r="N21" s="27"/>
    </row>
    <row r="22" spans="1:14" ht="15">
      <c r="A22" s="9" t="s">
        <v>38</v>
      </c>
      <c r="B22" s="17" t="s">
        <v>39</v>
      </c>
      <c r="C22" s="352">
        <v>809.0310894187537</v>
      </c>
      <c r="D22" s="353">
        <v>314.7604287625783</v>
      </c>
      <c r="E22" s="355">
        <f t="shared" si="1"/>
        <v>254.6509725877027</v>
      </c>
      <c r="F22" s="354">
        <v>281.2475865740987</v>
      </c>
      <c r="G22" s="355"/>
      <c r="H22" s="354"/>
      <c r="I22" s="355"/>
      <c r="J22" s="354"/>
      <c r="K22" s="350">
        <f t="shared" si="0"/>
        <v>254.6509725877027</v>
      </c>
      <c r="L22" s="354">
        <f t="shared" si="0"/>
        <v>281.2475865740987</v>
      </c>
      <c r="N22" s="27"/>
    </row>
    <row r="23" spans="1:14" ht="15">
      <c r="A23" s="9" t="s">
        <v>40</v>
      </c>
      <c r="B23" s="17" t="s">
        <v>41</v>
      </c>
      <c r="C23" s="392" t="s">
        <v>370</v>
      </c>
      <c r="D23" s="353"/>
      <c r="E23" s="355" t="s">
        <v>370</v>
      </c>
      <c r="F23" s="354"/>
      <c r="G23" s="355"/>
      <c r="H23" s="354"/>
      <c r="I23" s="355"/>
      <c r="J23" s="354"/>
      <c r="K23" s="350"/>
      <c r="L23" s="354"/>
      <c r="N23" s="27"/>
    </row>
    <row r="24" spans="1:14" ht="15">
      <c r="A24" s="9">
        <v>13</v>
      </c>
      <c r="B24" s="17" t="s">
        <v>42</v>
      </c>
      <c r="C24" s="392"/>
      <c r="D24" s="353"/>
      <c r="E24" s="355"/>
      <c r="F24" s="354"/>
      <c r="G24" s="355"/>
      <c r="H24" s="354"/>
      <c r="I24" s="355"/>
      <c r="J24" s="354"/>
      <c r="K24" s="350"/>
      <c r="L24" s="354"/>
      <c r="N24" s="27"/>
    </row>
    <row r="25" spans="1:14" ht="15.75" thickBot="1">
      <c r="A25" s="9">
        <v>16</v>
      </c>
      <c r="B25" s="17" t="s">
        <v>26</v>
      </c>
      <c r="C25" s="392" t="s">
        <v>370</v>
      </c>
      <c r="D25" s="353"/>
      <c r="E25" s="355" t="s">
        <v>370</v>
      </c>
      <c r="F25" s="354"/>
      <c r="G25" s="355"/>
      <c r="H25" s="354"/>
      <c r="I25" s="355"/>
      <c r="J25" s="354"/>
      <c r="K25" s="350"/>
      <c r="L25" s="354"/>
      <c r="N25" s="27"/>
    </row>
    <row r="26" spans="1:12" ht="15.75" thickBot="1">
      <c r="A26" s="9">
        <v>17</v>
      </c>
      <c r="B26" s="21" t="s">
        <v>9</v>
      </c>
      <c r="C26" s="356">
        <f>SUM(C17:C25)</f>
        <v>831.2179789999999</v>
      </c>
      <c r="D26" s="357"/>
      <c r="E26" s="358">
        <f>SUM(E17:E25)</f>
        <v>261.63452746520375</v>
      </c>
      <c r="F26" s="358">
        <f>SUM(F17:F25)</f>
        <v>288.4006656222543</v>
      </c>
      <c r="G26" s="358">
        <v>0</v>
      </c>
      <c r="H26" s="359">
        <v>0</v>
      </c>
      <c r="I26" s="358">
        <v>0</v>
      </c>
      <c r="J26" s="359">
        <v>0</v>
      </c>
      <c r="K26" s="358">
        <f t="shared" si="0"/>
        <v>261.63452746520375</v>
      </c>
      <c r="L26" s="359">
        <f t="shared" si="0"/>
        <v>288.4006656222543</v>
      </c>
    </row>
    <row r="27" spans="3:12" ht="15">
      <c r="C27" s="13"/>
      <c r="E27" s="13"/>
      <c r="F27" s="13"/>
      <c r="G27" s="13"/>
      <c r="H27" s="13"/>
      <c r="I27" s="13"/>
      <c r="J27" s="13"/>
      <c r="K27" s="13"/>
      <c r="L27" s="13"/>
    </row>
    <row r="28" spans="2:9" ht="15">
      <c r="B28" s="25"/>
      <c r="G28" s="281"/>
      <c r="H28" s="281"/>
      <c r="I28" s="281"/>
    </row>
    <row r="29" spans="7:9" ht="15.75" thickBot="1">
      <c r="G29" s="281"/>
      <c r="H29" s="281"/>
      <c r="I29" s="281"/>
    </row>
    <row r="30" spans="2:9" ht="15.75" thickBot="1">
      <c r="B30" s="111"/>
      <c r="C30" s="113">
        <v>2020</v>
      </c>
      <c r="G30" s="281"/>
      <c r="H30" s="281"/>
      <c r="I30" s="281"/>
    </row>
    <row r="31" spans="2:9" ht="15">
      <c r="B31" s="256" t="s">
        <v>373</v>
      </c>
      <c r="C31" s="380">
        <v>100.52232011738707</v>
      </c>
      <c r="G31" s="281"/>
      <c r="H31" s="281"/>
      <c r="I31" s="281"/>
    </row>
    <row r="32" spans="2:9" ht="15.75" thickBot="1">
      <c r="B32" s="257" t="s">
        <v>374</v>
      </c>
      <c r="C32" s="381">
        <v>102.05374558550153</v>
      </c>
      <c r="G32" s="281"/>
      <c r="H32" s="281"/>
      <c r="I32" s="281"/>
    </row>
    <row r="33" spans="4:9" ht="15">
      <c r="D33" s="322"/>
      <c r="G33" s="281"/>
      <c r="H33" s="281"/>
      <c r="I33" s="281"/>
    </row>
    <row r="34" spans="7:9" ht="15">
      <c r="G34" s="281"/>
      <c r="H34" s="281"/>
      <c r="I34" s="281"/>
    </row>
    <row r="35" spans="7:9" ht="15">
      <c r="G35" s="281"/>
      <c r="H35" s="281"/>
      <c r="I35" s="281"/>
    </row>
  </sheetData>
  <mergeCells count="7">
    <mergeCell ref="K15:L15"/>
    <mergeCell ref="B15:B16"/>
    <mergeCell ref="C15:C16"/>
    <mergeCell ref="D15:D16"/>
    <mergeCell ref="E15:F15"/>
    <mergeCell ref="G15:H15"/>
    <mergeCell ref="I15:J15"/>
  </mergeCells>
  <conditionalFormatting sqref="C28 N18:N25">
    <cfRule type="cellIs" priority="19" dxfId="1" operator="equal">
      <formula>FALSE</formula>
    </cfRule>
    <cfRule type="cellIs" priority="20" dxfId="0" operator="equal">
      <formula>TRUE</formula>
    </cfRule>
  </conditionalFormatting>
  <conditionalFormatting sqref="E28">
    <cfRule type="cellIs" priority="17" dxfId="1" operator="equal">
      <formula>FALSE</formula>
    </cfRule>
    <cfRule type="cellIs" priority="18" dxfId="0" operator="equal">
      <formula>TRUE</formula>
    </cfRule>
  </conditionalFormatting>
  <conditionalFormatting sqref="F28">
    <cfRule type="cellIs" priority="15" dxfId="1" operator="equal">
      <formula>FALSE</formula>
    </cfRule>
    <cfRule type="cellIs" priority="16" dxfId="0" operator="equal">
      <formula>TRUE</formula>
    </cfRule>
  </conditionalFormatting>
  <conditionalFormatting sqref="K28">
    <cfRule type="cellIs" priority="13" dxfId="1" operator="equal">
      <formula>FALSE</formula>
    </cfRule>
    <cfRule type="cellIs" priority="14" dxfId="0" operator="equal">
      <formula>TRUE</formula>
    </cfRule>
  </conditionalFormatting>
  <conditionalFormatting sqref="L28">
    <cfRule type="cellIs" priority="11" dxfId="1" operator="equal">
      <formula>FALSE</formula>
    </cfRule>
    <cfRule type="cellIs" priority="12"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110</v>
      </c>
      <c r="I1" s="6"/>
    </row>
    <row r="2" ht="4.5" customHeight="1"/>
    <row r="3" spans="2:9" ht="15">
      <c r="B3" s="7" t="s">
        <v>427</v>
      </c>
      <c r="C3" s="28" t="s">
        <v>28</v>
      </c>
      <c r="I3" s="7"/>
    </row>
    <row r="4" spans="2:9" ht="15">
      <c r="B4" s="27" t="s">
        <v>111</v>
      </c>
      <c r="C4" s="4" t="s">
        <v>371</v>
      </c>
      <c r="I4" s="27"/>
    </row>
    <row r="5" ht="14.25" customHeight="1">
      <c r="C5" s="4" t="s">
        <v>372</v>
      </c>
    </row>
    <row r="6" ht="14.25" customHeight="1" thickBot="1"/>
    <row r="7" spans="2:4" ht="16.5" customHeight="1" thickBot="1">
      <c r="B7" s="111"/>
      <c r="C7" s="112" t="s">
        <v>3</v>
      </c>
      <c r="D7" s="8"/>
    </row>
    <row r="8" spans="1:4" ht="15">
      <c r="A8" s="9">
        <v>1</v>
      </c>
      <c r="B8" s="102" t="s">
        <v>0</v>
      </c>
      <c r="C8" s="374">
        <v>49.941465</v>
      </c>
      <c r="D8" s="49"/>
    </row>
    <row r="9" spans="1:3" ht="15">
      <c r="A9" s="9">
        <v>2</v>
      </c>
      <c r="B9" s="10" t="s">
        <v>8</v>
      </c>
      <c r="C9" s="379" t="s">
        <v>370</v>
      </c>
    </row>
    <row r="10" spans="1:3" ht="15">
      <c r="A10" s="9">
        <v>3</v>
      </c>
      <c r="B10" s="11" t="s">
        <v>2</v>
      </c>
      <c r="C10" s="391">
        <v>49.941465</v>
      </c>
    </row>
    <row r="11" spans="1:3" ht="15">
      <c r="A11" s="9">
        <v>7</v>
      </c>
      <c r="B11" s="10" t="s">
        <v>32</v>
      </c>
      <c r="C11" s="379" t="s">
        <v>370</v>
      </c>
    </row>
    <row r="12" spans="2:3" ht="15.75" thickBot="1">
      <c r="B12" s="12" t="s">
        <v>105</v>
      </c>
      <c r="C12" s="375">
        <f>IF(ISNUMBER(C11)=TRUE,C10-C11,C10)</f>
        <v>49.941465</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6</v>
      </c>
      <c r="B17" s="53" t="s">
        <v>104</v>
      </c>
      <c r="C17" s="348" t="s">
        <v>370</v>
      </c>
      <c r="D17" s="349"/>
      <c r="E17" s="350"/>
      <c r="F17" s="351"/>
      <c r="G17" s="350"/>
      <c r="H17" s="351"/>
      <c r="I17" s="350"/>
      <c r="J17" s="351"/>
      <c r="K17" s="350"/>
      <c r="L17" s="351"/>
      <c r="N17" s="27"/>
    </row>
    <row r="18" spans="1:14" ht="15">
      <c r="A18" s="9">
        <v>8</v>
      </c>
      <c r="B18" s="17" t="s">
        <v>33</v>
      </c>
      <c r="C18" s="352" t="s">
        <v>370</v>
      </c>
      <c r="D18" s="353"/>
      <c r="E18" s="355"/>
      <c r="F18" s="354"/>
      <c r="G18" s="355"/>
      <c r="H18" s="354"/>
      <c r="I18" s="355"/>
      <c r="J18" s="354"/>
      <c r="K18" s="350"/>
      <c r="L18" s="354"/>
      <c r="N18" s="27"/>
    </row>
    <row r="19" spans="1:14" ht="15">
      <c r="A19" s="9">
        <v>10</v>
      </c>
      <c r="B19" s="17" t="s">
        <v>34</v>
      </c>
      <c r="C19" s="352" t="s">
        <v>370</v>
      </c>
      <c r="D19" s="353"/>
      <c r="E19" s="355" t="s">
        <v>370</v>
      </c>
      <c r="F19" s="354"/>
      <c r="G19" s="355"/>
      <c r="H19" s="354"/>
      <c r="I19" s="355"/>
      <c r="J19" s="354"/>
      <c r="K19" s="350"/>
      <c r="L19" s="354"/>
      <c r="N19" s="27"/>
    </row>
    <row r="20" spans="1:14" ht="15">
      <c r="A20" s="9">
        <v>11</v>
      </c>
      <c r="B20" s="17" t="s">
        <v>35</v>
      </c>
      <c r="C20" s="352">
        <v>10.152080631076595</v>
      </c>
      <c r="D20" s="353">
        <v>1349.186778855458</v>
      </c>
      <c r="E20" s="355">
        <f>C20*D20/1000</f>
        <v>13.697052965323117</v>
      </c>
      <c r="F20" s="354">
        <v>14.978379763090407</v>
      </c>
      <c r="G20" s="355"/>
      <c r="H20" s="354"/>
      <c r="I20" s="355"/>
      <c r="J20" s="354"/>
      <c r="K20" s="350">
        <f aca="true" t="shared" si="0" ref="K20:L26">E20+G20-I20</f>
        <v>13.697052965323117</v>
      </c>
      <c r="L20" s="354">
        <f t="shared" si="0"/>
        <v>14.978379763090407</v>
      </c>
      <c r="N20" s="27"/>
    </row>
    <row r="21" spans="1:14" ht="15">
      <c r="A21" s="9" t="s">
        <v>36</v>
      </c>
      <c r="B21" s="17" t="s">
        <v>37</v>
      </c>
      <c r="C21" s="352">
        <v>7.990173286675936</v>
      </c>
      <c r="D21" s="353">
        <v>1349.186778855458</v>
      </c>
      <c r="E21" s="355">
        <f aca="true" t="shared" si="1" ref="E21:E23">C21*D21/1000</f>
        <v>10.780236159147234</v>
      </c>
      <c r="F21" s="354">
        <v>11.788701667161675</v>
      </c>
      <c r="G21" s="355"/>
      <c r="H21" s="354"/>
      <c r="I21" s="355"/>
      <c r="J21" s="354"/>
      <c r="K21" s="350">
        <f t="shared" si="0"/>
        <v>10.780236159147234</v>
      </c>
      <c r="L21" s="354">
        <f t="shared" si="0"/>
        <v>11.788701667161675</v>
      </c>
      <c r="N21" s="27"/>
    </row>
    <row r="22" spans="1:14" ht="15">
      <c r="A22" s="9" t="s">
        <v>38</v>
      </c>
      <c r="B22" s="17" t="s">
        <v>39</v>
      </c>
      <c r="C22" s="352">
        <v>28.455022510619337</v>
      </c>
      <c r="D22" s="353">
        <v>1349.186778855458</v>
      </c>
      <c r="E22" s="355">
        <f t="shared" si="1"/>
        <v>38.391140163362046</v>
      </c>
      <c r="F22" s="354">
        <v>41.98254021216777</v>
      </c>
      <c r="G22" s="355"/>
      <c r="H22" s="354"/>
      <c r="I22" s="355"/>
      <c r="J22" s="354"/>
      <c r="K22" s="350">
        <f t="shared" si="0"/>
        <v>38.391140163362046</v>
      </c>
      <c r="L22" s="354">
        <f t="shared" si="0"/>
        <v>41.98254021216777</v>
      </c>
      <c r="N22" s="27"/>
    </row>
    <row r="23" spans="1:14" ht="15">
      <c r="A23" s="9" t="s">
        <v>40</v>
      </c>
      <c r="B23" s="17" t="s">
        <v>41</v>
      </c>
      <c r="C23" s="392">
        <v>3.344188571628136</v>
      </c>
      <c r="D23" s="353">
        <v>1349.186778855458</v>
      </c>
      <c r="E23" s="355">
        <f t="shared" si="1"/>
        <v>4.5119350068402</v>
      </c>
      <c r="F23" s="354">
        <v>4.934015818580151</v>
      </c>
      <c r="G23" s="355"/>
      <c r="H23" s="354"/>
      <c r="I23" s="355"/>
      <c r="J23" s="354"/>
      <c r="K23" s="350">
        <f t="shared" si="0"/>
        <v>4.5119350068402</v>
      </c>
      <c r="L23" s="354">
        <f t="shared" si="0"/>
        <v>4.934015818580151</v>
      </c>
      <c r="N23" s="27"/>
    </row>
    <row r="24" spans="1:14" ht="15">
      <c r="A24" s="9">
        <v>13</v>
      </c>
      <c r="B24" s="17" t="s">
        <v>42</v>
      </c>
      <c r="C24" s="392"/>
      <c r="D24" s="353"/>
      <c r="E24" s="355"/>
      <c r="F24" s="354"/>
      <c r="G24" s="355"/>
      <c r="H24" s="354"/>
      <c r="I24" s="355"/>
      <c r="J24" s="354"/>
      <c r="K24" s="350"/>
      <c r="L24" s="354"/>
      <c r="N24" s="27"/>
    </row>
    <row r="25" spans="1:14" ht="15.75" thickBot="1">
      <c r="A25" s="9">
        <v>16</v>
      </c>
      <c r="B25" s="17" t="s">
        <v>26</v>
      </c>
      <c r="C25" s="392" t="s">
        <v>370</v>
      </c>
      <c r="D25" s="353"/>
      <c r="E25" s="355" t="s">
        <v>370</v>
      </c>
      <c r="F25" s="354"/>
      <c r="G25" s="355"/>
      <c r="H25" s="354"/>
      <c r="I25" s="355"/>
      <c r="J25" s="354"/>
      <c r="K25" s="350"/>
      <c r="L25" s="354"/>
      <c r="N25" s="27"/>
    </row>
    <row r="26" spans="1:12" ht="15.75" thickBot="1">
      <c r="A26" s="9">
        <v>17</v>
      </c>
      <c r="B26" s="21" t="s">
        <v>9</v>
      </c>
      <c r="C26" s="356">
        <f>SUM(C17:C25)</f>
        <v>49.94146500000001</v>
      </c>
      <c r="D26" s="357"/>
      <c r="E26" s="358">
        <f>SUM(E17:E25)</f>
        <v>67.3803642946726</v>
      </c>
      <c r="F26" s="358">
        <f>SUM(F17:F25)</f>
        <v>73.683637461</v>
      </c>
      <c r="G26" s="358">
        <v>0</v>
      </c>
      <c r="H26" s="359">
        <v>0</v>
      </c>
      <c r="I26" s="358">
        <v>0</v>
      </c>
      <c r="J26" s="359">
        <v>0</v>
      </c>
      <c r="K26" s="358">
        <f t="shared" si="0"/>
        <v>67.3803642946726</v>
      </c>
      <c r="L26" s="359">
        <f t="shared" si="0"/>
        <v>73.683637461</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380">
        <v>91.44549131458982</v>
      </c>
    </row>
    <row r="32" spans="2:3" ht="15.75" thickBot="1">
      <c r="B32" s="257" t="s">
        <v>374</v>
      </c>
      <c r="C32" s="381">
        <v>83.81181429810263</v>
      </c>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112</v>
      </c>
      <c r="I1" s="6"/>
    </row>
    <row r="2" ht="4.5" customHeight="1"/>
    <row r="3" spans="2:9" ht="15">
      <c r="B3" s="7" t="s">
        <v>426</v>
      </c>
      <c r="C3" s="28" t="s">
        <v>28</v>
      </c>
      <c r="I3" s="7"/>
    </row>
    <row r="4" spans="2:9" ht="15">
      <c r="B4" s="27" t="s">
        <v>113</v>
      </c>
      <c r="C4" s="4" t="s">
        <v>371</v>
      </c>
      <c r="I4" s="27"/>
    </row>
    <row r="5" spans="2:3" ht="14.25" customHeight="1">
      <c r="B5" s="279"/>
      <c r="C5" s="4" t="s">
        <v>372</v>
      </c>
    </row>
    <row r="6" ht="14.25" customHeight="1" thickBot="1"/>
    <row r="7" spans="2:4" ht="16.5" customHeight="1" thickBot="1">
      <c r="B7" s="111"/>
      <c r="C7" s="112" t="s">
        <v>3</v>
      </c>
      <c r="D7" s="8"/>
    </row>
    <row r="8" spans="1:4" ht="15">
      <c r="A8" s="9">
        <v>1</v>
      </c>
      <c r="B8" s="102" t="s">
        <v>0</v>
      </c>
      <c r="C8" s="374">
        <v>5.389984</v>
      </c>
      <c r="D8" s="49"/>
    </row>
    <row r="9" spans="1:3" ht="15">
      <c r="A9" s="9">
        <v>2</v>
      </c>
      <c r="B9" s="10" t="s">
        <v>8</v>
      </c>
      <c r="C9" s="379" t="s">
        <v>370</v>
      </c>
    </row>
    <row r="10" spans="1:3" ht="15">
      <c r="A10" s="9">
        <v>3</v>
      </c>
      <c r="B10" s="11" t="s">
        <v>2</v>
      </c>
      <c r="C10" s="391">
        <v>5.389984</v>
      </c>
    </row>
    <row r="11" spans="1:3" ht="15">
      <c r="A11" s="9">
        <v>7</v>
      </c>
      <c r="B11" s="10" t="s">
        <v>32</v>
      </c>
      <c r="C11" s="379" t="s">
        <v>370</v>
      </c>
    </row>
    <row r="12" spans="2:3" ht="15.75" thickBot="1">
      <c r="B12" s="12" t="s">
        <v>105</v>
      </c>
      <c r="C12" s="375">
        <f>IF(ISNUMBER(C11)=TRUE,C10-C11,C10)</f>
        <v>5.389984</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6</v>
      </c>
      <c r="B17" s="53" t="s">
        <v>104</v>
      </c>
      <c r="C17" s="348" t="s">
        <v>370</v>
      </c>
      <c r="D17" s="349"/>
      <c r="E17" s="350"/>
      <c r="F17" s="351"/>
      <c r="G17" s="350"/>
      <c r="H17" s="351"/>
      <c r="I17" s="350"/>
      <c r="J17" s="351"/>
      <c r="K17" s="350"/>
      <c r="L17" s="351"/>
      <c r="N17" s="27"/>
    </row>
    <row r="18" spans="1:14" ht="15">
      <c r="A18" s="9">
        <v>8</v>
      </c>
      <c r="B18" s="17" t="s">
        <v>33</v>
      </c>
      <c r="C18" s="352" t="s">
        <v>370</v>
      </c>
      <c r="D18" s="353"/>
      <c r="E18" s="355"/>
      <c r="F18" s="354"/>
      <c r="G18" s="355"/>
      <c r="H18" s="354"/>
      <c r="I18" s="355"/>
      <c r="J18" s="354"/>
      <c r="K18" s="350"/>
      <c r="L18" s="354"/>
      <c r="N18" s="27"/>
    </row>
    <row r="19" spans="1:14" ht="15">
      <c r="A19" s="9">
        <v>10</v>
      </c>
      <c r="B19" s="17" t="s">
        <v>34</v>
      </c>
      <c r="C19" s="352" t="s">
        <v>370</v>
      </c>
      <c r="D19" s="353"/>
      <c r="E19" s="355" t="s">
        <v>370</v>
      </c>
      <c r="F19" s="354"/>
      <c r="G19" s="355"/>
      <c r="H19" s="354"/>
      <c r="I19" s="355"/>
      <c r="J19" s="354"/>
      <c r="K19" s="350"/>
      <c r="L19" s="354"/>
      <c r="N19" s="27"/>
    </row>
    <row r="20" spans="1:14" ht="15">
      <c r="A20" s="9">
        <v>11</v>
      </c>
      <c r="B20" s="17" t="s">
        <v>35</v>
      </c>
      <c r="C20" s="352" t="s">
        <v>370</v>
      </c>
      <c r="D20" s="353"/>
      <c r="E20" s="355" t="s">
        <v>370</v>
      </c>
      <c r="F20" s="354"/>
      <c r="G20" s="355"/>
      <c r="H20" s="354"/>
      <c r="I20" s="355"/>
      <c r="J20" s="354"/>
      <c r="K20" s="350"/>
      <c r="L20" s="354"/>
      <c r="N20" s="27"/>
    </row>
    <row r="21" spans="1:14" ht="15">
      <c r="A21" s="9" t="s">
        <v>36</v>
      </c>
      <c r="B21" s="17" t="s">
        <v>37</v>
      </c>
      <c r="C21" s="352" t="s">
        <v>370</v>
      </c>
      <c r="D21" s="353"/>
      <c r="E21" s="355" t="s">
        <v>370</v>
      </c>
      <c r="F21" s="354"/>
      <c r="G21" s="355"/>
      <c r="H21" s="354"/>
      <c r="I21" s="355"/>
      <c r="J21" s="354"/>
      <c r="K21" s="350"/>
      <c r="L21" s="354"/>
      <c r="N21" s="27"/>
    </row>
    <row r="22" spans="1:14" ht="15">
      <c r="A22" s="9" t="s">
        <v>38</v>
      </c>
      <c r="B22" s="17" t="s">
        <v>39</v>
      </c>
      <c r="C22" s="352">
        <v>5.389984</v>
      </c>
      <c r="D22" s="353">
        <v>2860</v>
      </c>
      <c r="E22" s="402">
        <f>C22*D22/1000</f>
        <v>15.415354240000001</v>
      </c>
      <c r="F22" s="354">
        <v>15.415354240000001</v>
      </c>
      <c r="G22" s="355"/>
      <c r="H22" s="354"/>
      <c r="I22" s="355"/>
      <c r="J22" s="354"/>
      <c r="K22" s="350">
        <f aca="true" t="shared" si="0" ref="K22:L26">E22+G22-I22</f>
        <v>15.415354240000001</v>
      </c>
      <c r="L22" s="354">
        <f t="shared" si="0"/>
        <v>15.415354240000001</v>
      </c>
      <c r="N22" s="27"/>
    </row>
    <row r="23" spans="1:14" ht="15">
      <c r="A23" s="9" t="s">
        <v>40</v>
      </c>
      <c r="B23" s="17" t="s">
        <v>41</v>
      </c>
      <c r="C23" s="392" t="s">
        <v>370</v>
      </c>
      <c r="D23" s="353"/>
      <c r="E23" s="355" t="s">
        <v>370</v>
      </c>
      <c r="F23" s="354"/>
      <c r="G23" s="355"/>
      <c r="H23" s="354"/>
      <c r="I23" s="355"/>
      <c r="J23" s="354"/>
      <c r="K23" s="350"/>
      <c r="L23" s="354"/>
      <c r="N23" s="27"/>
    </row>
    <row r="24" spans="1:14" ht="15">
      <c r="A24" s="9">
        <v>13</v>
      </c>
      <c r="B24" s="17" t="s">
        <v>42</v>
      </c>
      <c r="C24" s="392"/>
      <c r="D24" s="353"/>
      <c r="E24" s="355"/>
      <c r="F24" s="354"/>
      <c r="G24" s="355"/>
      <c r="H24" s="354"/>
      <c r="I24" s="355"/>
      <c r="J24" s="354"/>
      <c r="K24" s="350"/>
      <c r="L24" s="354"/>
      <c r="N24" s="27"/>
    </row>
    <row r="25" spans="1:14" ht="15.75" thickBot="1">
      <c r="A25" s="9">
        <v>16</v>
      </c>
      <c r="B25" s="17" t="s">
        <v>26</v>
      </c>
      <c r="C25" s="392" t="s">
        <v>370</v>
      </c>
      <c r="D25" s="353"/>
      <c r="E25" s="355" t="s">
        <v>370</v>
      </c>
      <c r="F25" s="354"/>
      <c r="G25" s="355"/>
      <c r="H25" s="354"/>
      <c r="I25" s="355"/>
      <c r="J25" s="354"/>
      <c r="K25" s="350"/>
      <c r="L25" s="354"/>
      <c r="N25" s="27"/>
    </row>
    <row r="26" spans="1:12" ht="15.75" thickBot="1">
      <c r="A26" s="9">
        <v>17</v>
      </c>
      <c r="B26" s="21" t="s">
        <v>9</v>
      </c>
      <c r="C26" s="356">
        <f>SUM(C17:C25)</f>
        <v>5.389984</v>
      </c>
      <c r="D26" s="357"/>
      <c r="E26" s="403">
        <f>SUM(E17:E25)</f>
        <v>15.415354240000001</v>
      </c>
      <c r="F26" s="403">
        <f>SUM(F17:F25)</f>
        <v>15.415354240000001</v>
      </c>
      <c r="G26" s="358">
        <v>0</v>
      </c>
      <c r="H26" s="359">
        <v>0</v>
      </c>
      <c r="I26" s="358">
        <v>0</v>
      </c>
      <c r="J26" s="359">
        <v>0</v>
      </c>
      <c r="K26" s="358">
        <f t="shared" si="0"/>
        <v>15.415354240000001</v>
      </c>
      <c r="L26" s="359">
        <f t="shared" si="0"/>
        <v>15.415354240000001</v>
      </c>
    </row>
    <row r="27" spans="3:12" ht="15">
      <c r="C27" s="13"/>
      <c r="E27" s="13"/>
      <c r="F27" s="13"/>
      <c r="G27" s="13"/>
      <c r="H27" s="13"/>
      <c r="I27" s="13"/>
      <c r="J27" s="13"/>
      <c r="K27" s="13"/>
      <c r="L27" s="13"/>
    </row>
    <row r="28" spans="2:4" ht="15">
      <c r="B28" s="25"/>
      <c r="D28" s="5" t="s">
        <v>466</v>
      </c>
    </row>
    <row r="29" ht="15.75" thickBot="1"/>
    <row r="30" spans="2:3" ht="15.75" thickBot="1">
      <c r="B30" s="111"/>
      <c r="C30" s="113">
        <v>2020</v>
      </c>
    </row>
    <row r="31" spans="2:3" ht="15">
      <c r="B31" s="256" t="s">
        <v>373</v>
      </c>
      <c r="C31" s="380">
        <f>2860/2860*100</f>
        <v>100</v>
      </c>
    </row>
    <row r="32" spans="2:3" ht="15.75" thickBot="1">
      <c r="B32" s="257" t="s">
        <v>374</v>
      </c>
      <c r="C32" s="381">
        <f>15415354.24/11473450.56*100</f>
        <v>134.3567408896387</v>
      </c>
    </row>
    <row r="33" ht="15">
      <c r="D33" s="322"/>
    </row>
  </sheetData>
  <mergeCells count="7">
    <mergeCell ref="K15:L15"/>
    <mergeCell ref="B15:B16"/>
    <mergeCell ref="C15:C16"/>
    <mergeCell ref="D15:D16"/>
    <mergeCell ref="E15:F15"/>
    <mergeCell ref="G15:H15"/>
    <mergeCell ref="I15:J15"/>
  </mergeCells>
  <conditionalFormatting sqref="C28 N18:N25">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E8">
    <cfRule type="cellIs" priority="3" dxfId="1" operator="equal">
      <formula>FALSE</formula>
    </cfRule>
    <cfRule type="cellIs" priority="4" dxfId="0" operator="equal">
      <formula>TRUE</formula>
    </cfRule>
  </conditionalFormatting>
  <conditionalFormatting sqref="N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10" ht="18.75">
      <c r="B1" s="6" t="s">
        <v>114</v>
      </c>
      <c r="J1" s="6"/>
    </row>
    <row r="2" ht="4.5" customHeight="1"/>
    <row r="3" spans="2:10" ht="15">
      <c r="B3" s="7" t="s">
        <v>425</v>
      </c>
      <c r="C3" s="4" t="s">
        <v>372</v>
      </c>
      <c r="J3" s="7"/>
    </row>
    <row r="4" spans="2:10" ht="15">
      <c r="B4" s="27" t="s">
        <v>115</v>
      </c>
      <c r="C4" s="4"/>
      <c r="J4" s="27"/>
    </row>
    <row r="5" ht="14.25" customHeight="1">
      <c r="C5" s="4"/>
    </row>
    <row r="6" spans="2:12" ht="31.9" customHeight="1">
      <c r="B6" s="563" t="s">
        <v>367</v>
      </c>
      <c r="C6" s="563"/>
      <c r="D6" s="563"/>
      <c r="E6" s="563"/>
      <c r="F6" s="563"/>
      <c r="G6" s="563"/>
      <c r="H6" s="563"/>
      <c r="I6" s="563"/>
      <c r="J6" s="563"/>
      <c r="K6" s="563"/>
      <c r="L6" s="563"/>
    </row>
    <row r="7" ht="14.25" customHeight="1" thickBot="1">
      <c r="D7" s="5" t="s">
        <v>466</v>
      </c>
    </row>
    <row r="8" spans="2:4" ht="16.5" customHeight="1" thickBot="1">
      <c r="B8" s="111"/>
      <c r="C8" s="112" t="s">
        <v>3</v>
      </c>
      <c r="D8" s="8"/>
    </row>
    <row r="9" spans="1:4" ht="15">
      <c r="A9" s="9">
        <v>1</v>
      </c>
      <c r="B9" s="102" t="s">
        <v>0</v>
      </c>
      <c r="C9" s="345">
        <v>165.468992</v>
      </c>
      <c r="D9" s="49"/>
    </row>
    <row r="10" spans="1:3" ht="15">
      <c r="A10" s="9">
        <v>2</v>
      </c>
      <c r="B10" s="10" t="s">
        <v>8</v>
      </c>
      <c r="C10" s="346"/>
    </row>
    <row r="11" spans="1:3" ht="15.75" thickBot="1">
      <c r="A11" s="9">
        <v>3</v>
      </c>
      <c r="B11" s="250" t="s">
        <v>2</v>
      </c>
      <c r="C11" s="345">
        <v>165.468992</v>
      </c>
    </row>
    <row r="12" spans="2:3" ht="15">
      <c r="B12" s="13"/>
      <c r="C12" s="14"/>
    </row>
    <row r="13" spans="2:3" ht="15.75" thickBot="1">
      <c r="B13" s="15"/>
      <c r="C13" s="16"/>
    </row>
    <row r="14" spans="2:14" ht="16.5" customHeight="1">
      <c r="B14" s="555" t="s">
        <v>1</v>
      </c>
      <c r="C14" s="557" t="s">
        <v>3</v>
      </c>
      <c r="D14" s="559" t="s">
        <v>4</v>
      </c>
      <c r="E14" s="561" t="s">
        <v>5</v>
      </c>
      <c r="F14" s="562"/>
      <c r="G14" s="561" t="s">
        <v>6</v>
      </c>
      <c r="H14" s="562"/>
      <c r="I14" s="561" t="s">
        <v>12</v>
      </c>
      <c r="J14" s="562"/>
      <c r="K14" s="553" t="s">
        <v>7</v>
      </c>
      <c r="L14" s="554"/>
      <c r="N14" s="25"/>
    </row>
    <row r="15" spans="2:12" ht="15.75" thickBot="1">
      <c r="B15" s="556"/>
      <c r="C15" s="558"/>
      <c r="D15" s="560"/>
      <c r="E15" s="107" t="s">
        <v>10</v>
      </c>
      <c r="F15" s="108" t="s">
        <v>11</v>
      </c>
      <c r="G15" s="107" t="s">
        <v>10</v>
      </c>
      <c r="H15" s="108" t="s">
        <v>11</v>
      </c>
      <c r="I15" s="107" t="s">
        <v>10</v>
      </c>
      <c r="J15" s="108" t="s">
        <v>11</v>
      </c>
      <c r="K15" s="107" t="s">
        <v>10</v>
      </c>
      <c r="L15" s="109" t="s">
        <v>11</v>
      </c>
    </row>
    <row r="16" spans="1:14" ht="15">
      <c r="A16" s="9">
        <v>6</v>
      </c>
      <c r="B16" s="53" t="s">
        <v>104</v>
      </c>
      <c r="C16" s="103"/>
      <c r="D16" s="104"/>
      <c r="E16" s="364"/>
      <c r="F16" s="365"/>
      <c r="G16" s="364"/>
      <c r="H16" s="365"/>
      <c r="I16" s="364"/>
      <c r="J16" s="365"/>
      <c r="K16" s="364"/>
      <c r="L16" s="365"/>
      <c r="N16" s="27"/>
    </row>
    <row r="17" spans="1:14" ht="15">
      <c r="A17" s="9">
        <v>7</v>
      </c>
      <c r="B17" s="53" t="s">
        <v>32</v>
      </c>
      <c r="C17" s="103"/>
      <c r="D17" s="104"/>
      <c r="E17" s="364"/>
      <c r="F17" s="365"/>
      <c r="G17" s="364"/>
      <c r="H17" s="365"/>
      <c r="I17" s="364"/>
      <c r="J17" s="365"/>
      <c r="K17" s="364"/>
      <c r="L17" s="365"/>
      <c r="N17" s="27"/>
    </row>
    <row r="18" spans="1:14" ht="15">
      <c r="A18" s="9">
        <v>8</v>
      </c>
      <c r="B18" s="17" t="s">
        <v>33</v>
      </c>
      <c r="C18" s="31"/>
      <c r="D18" s="18"/>
      <c r="E18" s="369"/>
      <c r="F18" s="368"/>
      <c r="G18" s="369"/>
      <c r="H18" s="368"/>
      <c r="I18" s="369"/>
      <c r="J18" s="368"/>
      <c r="K18" s="369"/>
      <c r="L18" s="368"/>
      <c r="N18" s="27" t="str">
        <f aca="true" t="shared" si="0" ref="N18:N24">IF(AND(ISNUMBER(C18)=TRUE,C18&gt;0),ROUND(E18,5)=ROUND(C18*D18/10^3,5),"")</f>
        <v/>
      </c>
    </row>
    <row r="19" spans="1:14" ht="15">
      <c r="A19" s="9">
        <v>10</v>
      </c>
      <c r="B19" s="17" t="s">
        <v>34</v>
      </c>
      <c r="C19" s="31"/>
      <c r="D19" s="18"/>
      <c r="E19" s="369" t="s">
        <v>370</v>
      </c>
      <c r="F19" s="368"/>
      <c r="G19" s="369"/>
      <c r="H19" s="368"/>
      <c r="I19" s="369"/>
      <c r="J19" s="368"/>
      <c r="K19" s="369"/>
      <c r="L19" s="368"/>
      <c r="N19" s="27" t="str">
        <f t="shared" si="0"/>
        <v/>
      </c>
    </row>
    <row r="20" spans="1:14" ht="15">
      <c r="A20" s="9">
        <v>11</v>
      </c>
      <c r="B20" s="17" t="s">
        <v>35</v>
      </c>
      <c r="C20" s="31"/>
      <c r="D20" s="18"/>
      <c r="E20" s="369" t="s">
        <v>370</v>
      </c>
      <c r="F20" s="368"/>
      <c r="G20" s="369"/>
      <c r="H20" s="368"/>
      <c r="I20" s="369"/>
      <c r="J20" s="368"/>
      <c r="K20" s="369"/>
      <c r="L20" s="368"/>
      <c r="N20" s="27" t="str">
        <f t="shared" si="0"/>
        <v/>
      </c>
    </row>
    <row r="21" spans="1:14" ht="15">
      <c r="A21" s="9" t="s">
        <v>36</v>
      </c>
      <c r="B21" s="17" t="s">
        <v>37</v>
      </c>
      <c r="C21" s="31"/>
      <c r="D21" s="18"/>
      <c r="E21" s="369"/>
      <c r="F21" s="368"/>
      <c r="G21" s="369"/>
      <c r="H21" s="368"/>
      <c r="I21" s="369"/>
      <c r="J21" s="368"/>
      <c r="K21" s="369"/>
      <c r="L21" s="368"/>
      <c r="N21" s="27" t="str">
        <f>IF(AND(ISNUMBER(C21)=TRUE,C21&gt;0),ROUND(E21,5)=ROUND(C21*D21/10^3,5),"")</f>
        <v/>
      </c>
    </row>
    <row r="22" spans="1:14" ht="15">
      <c r="A22" s="9" t="s">
        <v>38</v>
      </c>
      <c r="B22" s="17" t="s">
        <v>39</v>
      </c>
      <c r="C22" s="31"/>
      <c r="D22" s="18"/>
      <c r="E22" s="369" t="s">
        <v>370</v>
      </c>
      <c r="F22" s="368"/>
      <c r="G22" s="369"/>
      <c r="H22" s="368"/>
      <c r="I22" s="369"/>
      <c r="J22" s="368"/>
      <c r="K22" s="369"/>
      <c r="L22" s="368"/>
      <c r="N22" s="27" t="str">
        <f t="shared" si="0"/>
        <v/>
      </c>
    </row>
    <row r="23" spans="1:14" ht="15">
      <c r="A23" s="9" t="s">
        <v>40</v>
      </c>
      <c r="B23" s="17" t="s">
        <v>41</v>
      </c>
      <c r="C23" s="39"/>
      <c r="D23" s="18"/>
      <c r="E23" s="369" t="s">
        <v>370</v>
      </c>
      <c r="F23" s="368"/>
      <c r="G23" s="369"/>
      <c r="H23" s="368"/>
      <c r="I23" s="369"/>
      <c r="J23" s="368"/>
      <c r="K23" s="369"/>
      <c r="L23" s="368"/>
      <c r="N23" s="27"/>
    </row>
    <row r="24" spans="1:14" ht="15">
      <c r="A24" s="9">
        <v>13</v>
      </c>
      <c r="B24" s="17" t="s">
        <v>42</v>
      </c>
      <c r="C24" s="39"/>
      <c r="D24" s="18"/>
      <c r="E24" s="369"/>
      <c r="F24" s="368"/>
      <c r="G24" s="369"/>
      <c r="H24" s="368"/>
      <c r="I24" s="369"/>
      <c r="J24" s="368"/>
      <c r="K24" s="369"/>
      <c r="L24" s="368"/>
      <c r="N24" s="27" t="str">
        <f t="shared" si="0"/>
        <v/>
      </c>
    </row>
    <row r="25" spans="1:14" ht="15.75" thickBot="1">
      <c r="A25" s="9">
        <v>16</v>
      </c>
      <c r="B25" s="17" t="s">
        <v>26</v>
      </c>
      <c r="C25" s="39"/>
      <c r="D25" s="18"/>
      <c r="E25" s="369"/>
      <c r="F25" s="368"/>
      <c r="G25" s="369"/>
      <c r="H25" s="368"/>
      <c r="I25" s="369"/>
      <c r="J25" s="368"/>
      <c r="K25" s="369"/>
      <c r="L25" s="368"/>
      <c r="N25" s="27" t="str">
        <f>IF(AND(ISNUMBER(C25)=TRUE,C25&lt;&gt;0),ROUND(E25,5)=ROUND(C25*D25/10^3,5),"")</f>
        <v/>
      </c>
    </row>
    <row r="26" spans="1:12" ht="15.75" thickBot="1">
      <c r="A26" s="9">
        <v>17</v>
      </c>
      <c r="B26" s="21" t="s">
        <v>9</v>
      </c>
      <c r="C26" s="32"/>
      <c r="D26" s="22"/>
      <c r="E26" s="371">
        <f>C9</f>
        <v>165.468992</v>
      </c>
      <c r="F26" s="372">
        <v>161.63158494990677</v>
      </c>
      <c r="G26" s="371">
        <v>0</v>
      </c>
      <c r="H26" s="372">
        <v>0</v>
      </c>
      <c r="I26" s="371">
        <v>0</v>
      </c>
      <c r="J26" s="372">
        <v>0</v>
      </c>
      <c r="K26" s="371">
        <f>E26+G26-I26</f>
        <v>165.468992</v>
      </c>
      <c r="L26" s="372">
        <f>F26+H26-J26</f>
        <v>161.63158494990677</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380">
        <f>165.468992/161.631584949907*100</f>
        <v>102.37416904083585</v>
      </c>
    </row>
    <row r="32" spans="2:3" ht="15.75" thickBot="1">
      <c r="B32" s="257" t="s">
        <v>374</v>
      </c>
      <c r="C32" s="381">
        <f>161.631584949907/136.214633*100</f>
        <v>118.65948715649881</v>
      </c>
    </row>
    <row r="35" ht="15">
      <c r="B35" s="5" t="s">
        <v>545</v>
      </c>
    </row>
  </sheetData>
  <mergeCells count="8">
    <mergeCell ref="B6:L6"/>
    <mergeCell ref="K14:L14"/>
    <mergeCell ref="B14:B15"/>
    <mergeCell ref="C14:C15"/>
    <mergeCell ref="D14:D15"/>
    <mergeCell ref="E14:F14"/>
    <mergeCell ref="G14:H14"/>
    <mergeCell ref="I14:J14"/>
  </mergeCells>
  <conditionalFormatting sqref="C28 N18:N25">
    <cfRule type="cellIs" priority="13" dxfId="1" operator="equal">
      <formula>FALSE</formula>
    </cfRule>
    <cfRule type="cellIs" priority="14" dxfId="0" operator="equal">
      <formula>TRUE</formula>
    </cfRule>
  </conditionalFormatting>
  <conditionalFormatting sqref="E9">
    <cfRule type="cellIs" priority="3" dxfId="1" operator="equal">
      <formula>FALSE</formula>
    </cfRule>
    <cfRule type="cellIs" priority="4" dxfId="0" operator="equal">
      <formula>TRUE</formula>
    </cfRule>
  </conditionalFormatting>
  <conditionalFormatting sqref="N16:N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4" width="20.710937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116</v>
      </c>
    </row>
    <row r="2" ht="4.5" customHeight="1"/>
    <row r="3" spans="2:10" ht="30">
      <c r="B3" s="62" t="s">
        <v>424</v>
      </c>
      <c r="C3" s="63" t="s">
        <v>372</v>
      </c>
      <c r="J3" s="6"/>
    </row>
    <row r="4" spans="2:3" ht="15">
      <c r="B4" s="27" t="s">
        <v>117</v>
      </c>
      <c r="C4" s="4"/>
    </row>
    <row r="5" spans="2:10" ht="15.75" thickBot="1">
      <c r="B5" s="27"/>
      <c r="C5" s="4"/>
      <c r="J5" s="62"/>
    </row>
    <row r="6" spans="2:10" ht="46.15" customHeight="1">
      <c r="B6" s="568"/>
      <c r="C6" s="64" t="s">
        <v>123</v>
      </c>
      <c r="D6" s="64" t="s">
        <v>437</v>
      </c>
      <c r="E6" s="65" t="s">
        <v>125</v>
      </c>
      <c r="J6" s="27"/>
    </row>
    <row r="7" spans="2:5" ht="15.75" thickBot="1">
      <c r="B7" s="569"/>
      <c r="C7" s="119" t="s">
        <v>379</v>
      </c>
      <c r="D7" s="119" t="s">
        <v>124</v>
      </c>
      <c r="E7" s="120" t="s">
        <v>380</v>
      </c>
    </row>
    <row r="8" spans="2:5" ht="25.5">
      <c r="B8" s="117" t="s">
        <v>118</v>
      </c>
      <c r="C8" s="138">
        <v>0</v>
      </c>
      <c r="D8" s="261">
        <v>0</v>
      </c>
      <c r="E8" s="118">
        <f>C8*D8/10^6</f>
        <v>0</v>
      </c>
    </row>
    <row r="9" spans="2:5" ht="25.5">
      <c r="B9" s="66" t="s">
        <v>119</v>
      </c>
      <c r="C9" s="138">
        <v>0</v>
      </c>
      <c r="D9" s="261">
        <v>0</v>
      </c>
      <c r="E9" s="67">
        <f>C9*D9/10^6</f>
        <v>0</v>
      </c>
    </row>
    <row r="10" spans="2:5" ht="15">
      <c r="B10" s="68" t="s">
        <v>120</v>
      </c>
      <c r="C10" s="138">
        <v>0</v>
      </c>
      <c r="D10" s="261">
        <v>0</v>
      </c>
      <c r="E10" s="67">
        <f>C10*D10/10^6</f>
        <v>0</v>
      </c>
    </row>
    <row r="11" spans="2:5" ht="15">
      <c r="B11" s="68" t="s">
        <v>121</v>
      </c>
      <c r="C11" s="138">
        <v>0</v>
      </c>
      <c r="D11" s="261">
        <v>0</v>
      </c>
      <c r="E11" s="67">
        <f>C11*D11/10^6</f>
        <v>0</v>
      </c>
    </row>
    <row r="12" spans="2:5" ht="15">
      <c r="B12" s="68" t="s">
        <v>122</v>
      </c>
      <c r="C12" s="138">
        <v>0</v>
      </c>
      <c r="D12" s="261">
        <v>0</v>
      </c>
      <c r="E12" s="67">
        <f>C12*D12/10^6</f>
        <v>0</v>
      </c>
    </row>
    <row r="13" spans="2:5" ht="15.75" thickBot="1">
      <c r="B13" s="69" t="s">
        <v>9</v>
      </c>
      <c r="C13" s="70"/>
      <c r="D13" s="71"/>
      <c r="E13" s="72">
        <f>SUM(E8:E12)</f>
        <v>0</v>
      </c>
    </row>
    <row r="14" spans="2:3" ht="15">
      <c r="B14" s="27"/>
      <c r="C14" s="4"/>
    </row>
    <row r="15" spans="2:3" ht="15">
      <c r="B15" s="27" t="s">
        <v>365</v>
      </c>
      <c r="C15" s="4"/>
    </row>
    <row r="16" spans="2:3" ht="15">
      <c r="B16" s="27"/>
      <c r="C16" s="4"/>
    </row>
    <row r="17" spans="2:3" ht="15.75" thickBot="1">
      <c r="B17" s="27"/>
      <c r="C17" s="4"/>
    </row>
    <row r="18" spans="2:4" ht="16.5" customHeight="1" thickBot="1">
      <c r="B18" s="111"/>
      <c r="C18" s="112" t="s">
        <v>3</v>
      </c>
      <c r="D18" s="8"/>
    </row>
    <row r="19" spans="1:4" ht="15">
      <c r="A19" s="9">
        <v>1</v>
      </c>
      <c r="B19" s="102" t="s">
        <v>0</v>
      </c>
      <c r="C19" s="345">
        <v>138.37661849999998</v>
      </c>
      <c r="D19" s="49"/>
    </row>
    <row r="20" spans="1:3" ht="15">
      <c r="A20" s="9">
        <v>2</v>
      </c>
      <c r="B20" s="251" t="s">
        <v>8</v>
      </c>
      <c r="C20" s="346"/>
    </row>
    <row r="21" spans="1:3" ht="15.75" thickBot="1">
      <c r="A21" s="9">
        <v>3</v>
      </c>
      <c r="B21" s="250" t="s">
        <v>2</v>
      </c>
      <c r="C21" s="347">
        <v>138.37661849999998</v>
      </c>
    </row>
    <row r="22" spans="2:3" ht="15">
      <c r="B22" s="13"/>
      <c r="C22" s="14"/>
    </row>
    <row r="23" spans="2:3" ht="15.75" thickBot="1">
      <c r="B23" s="15"/>
      <c r="C23" s="16"/>
    </row>
    <row r="24" spans="2:14" ht="16.5" customHeight="1">
      <c r="B24" s="555" t="s">
        <v>1</v>
      </c>
      <c r="C24" s="557" t="s">
        <v>3</v>
      </c>
      <c r="D24" s="559" t="s">
        <v>4</v>
      </c>
      <c r="E24" s="561" t="s">
        <v>5</v>
      </c>
      <c r="F24" s="562"/>
      <c r="G24" s="561" t="s">
        <v>6</v>
      </c>
      <c r="H24" s="562"/>
      <c r="I24" s="561" t="s">
        <v>12</v>
      </c>
      <c r="J24" s="562"/>
      <c r="K24" s="553" t="s">
        <v>7</v>
      </c>
      <c r="L24" s="554"/>
      <c r="N24" s="25"/>
    </row>
    <row r="25" spans="2:12" ht="15.75" thickBot="1">
      <c r="B25" s="556"/>
      <c r="C25" s="558"/>
      <c r="D25" s="560"/>
      <c r="E25" s="107" t="s">
        <v>10</v>
      </c>
      <c r="F25" s="108" t="s">
        <v>11</v>
      </c>
      <c r="G25" s="107" t="s">
        <v>10</v>
      </c>
      <c r="H25" s="108" t="s">
        <v>11</v>
      </c>
      <c r="I25" s="107" t="s">
        <v>10</v>
      </c>
      <c r="J25" s="108" t="s">
        <v>11</v>
      </c>
      <c r="K25" s="107" t="s">
        <v>10</v>
      </c>
      <c r="L25" s="109" t="s">
        <v>11</v>
      </c>
    </row>
    <row r="26" spans="1:14" ht="15">
      <c r="A26" s="9">
        <v>6</v>
      </c>
      <c r="B26" s="53" t="s">
        <v>104</v>
      </c>
      <c r="C26" s="103"/>
      <c r="D26" s="104"/>
      <c r="E26" s="364"/>
      <c r="F26" s="365"/>
      <c r="G26" s="364"/>
      <c r="H26" s="365"/>
      <c r="I26" s="364"/>
      <c r="J26" s="365"/>
      <c r="K26" s="364"/>
      <c r="L26" s="365"/>
      <c r="N26" s="27"/>
    </row>
    <row r="27" spans="1:14" ht="15">
      <c r="A27" s="9">
        <v>7</v>
      </c>
      <c r="B27" s="53" t="s">
        <v>32</v>
      </c>
      <c r="C27" s="103"/>
      <c r="D27" s="104"/>
      <c r="E27" s="364"/>
      <c r="F27" s="365"/>
      <c r="G27" s="364"/>
      <c r="H27" s="365"/>
      <c r="I27" s="364"/>
      <c r="J27" s="365"/>
      <c r="K27" s="364"/>
      <c r="L27" s="365"/>
      <c r="N27" s="27"/>
    </row>
    <row r="28" spans="1:14" ht="15">
      <c r="A28" s="9">
        <v>8</v>
      </c>
      <c r="B28" s="17" t="s">
        <v>33</v>
      </c>
      <c r="C28" s="31"/>
      <c r="D28" s="18"/>
      <c r="E28" s="369"/>
      <c r="F28" s="368"/>
      <c r="G28" s="369"/>
      <c r="H28" s="368"/>
      <c r="I28" s="369"/>
      <c r="J28" s="368"/>
      <c r="K28" s="369"/>
      <c r="L28" s="368"/>
      <c r="N28" s="27" t="str">
        <f>IF(AND(ISNUMBER(C28)=TRUE,C28&gt;0),ROUND(E28,5)=ROUND(C28*D28/10^3,5),"")</f>
        <v/>
      </c>
    </row>
    <row r="29" spans="1:14" ht="15">
      <c r="A29" s="9">
        <v>10</v>
      </c>
      <c r="B29" s="17" t="s">
        <v>34</v>
      </c>
      <c r="C29" s="31"/>
      <c r="D29" s="18"/>
      <c r="E29" s="369"/>
      <c r="F29" s="368"/>
      <c r="G29" s="369"/>
      <c r="H29" s="368"/>
      <c r="I29" s="369"/>
      <c r="J29" s="368"/>
      <c r="K29" s="369"/>
      <c r="L29" s="368"/>
      <c r="N29" s="27" t="str">
        <f>IF(AND(ISNUMBER(C29)=TRUE,C29&gt;0),ROUND(E29,5)=ROUND(C29*D29/10^3,5),"")</f>
        <v/>
      </c>
    </row>
    <row r="30" spans="1:14" ht="15">
      <c r="A30" s="9">
        <v>11</v>
      </c>
      <c r="B30" s="17" t="s">
        <v>35</v>
      </c>
      <c r="C30" s="31"/>
      <c r="D30" s="18"/>
      <c r="E30" s="369"/>
      <c r="F30" s="368"/>
      <c r="G30" s="369"/>
      <c r="H30" s="368"/>
      <c r="I30" s="369"/>
      <c r="J30" s="368"/>
      <c r="K30" s="369"/>
      <c r="L30" s="368"/>
      <c r="N30" s="27" t="str">
        <f>IF(AND(ISNUMBER(C30)=TRUE,C30&gt;0),ROUND(E30,5)=ROUND(C30*D30/10^3,5),"")</f>
        <v/>
      </c>
    </row>
    <row r="31" spans="1:14" ht="15">
      <c r="A31" s="9" t="s">
        <v>36</v>
      </c>
      <c r="B31" s="17" t="s">
        <v>37</v>
      </c>
      <c r="C31" s="31"/>
      <c r="D31" s="18"/>
      <c r="E31" s="369"/>
      <c r="F31" s="368"/>
      <c r="G31" s="369"/>
      <c r="H31" s="368"/>
      <c r="I31" s="369"/>
      <c r="J31" s="368"/>
      <c r="K31" s="369"/>
      <c r="L31" s="368"/>
      <c r="N31" s="27" t="str">
        <f>IF(AND(ISNUMBER(C31)=TRUE,C31&gt;0),ROUND(E31,5)=ROUND(C31*D31/10^3,5),"")</f>
        <v/>
      </c>
    </row>
    <row r="32" spans="1:14" ht="15">
      <c r="A32" s="9" t="s">
        <v>38</v>
      </c>
      <c r="B32" s="17" t="s">
        <v>39</v>
      </c>
      <c r="C32" s="31"/>
      <c r="D32" s="18"/>
      <c r="E32" s="369"/>
      <c r="F32" s="368"/>
      <c r="G32" s="369"/>
      <c r="H32" s="368"/>
      <c r="I32" s="369"/>
      <c r="J32" s="368"/>
      <c r="K32" s="369"/>
      <c r="L32" s="368"/>
      <c r="N32" s="27" t="str">
        <f>IF(AND(ISNUMBER(C32)=TRUE,C32&gt;0),ROUND(E32,5)=ROUND(C32*D32/10^3,5),"")</f>
        <v/>
      </c>
    </row>
    <row r="33" spans="1:14" ht="15">
      <c r="A33" s="9" t="s">
        <v>40</v>
      </c>
      <c r="B33" s="17" t="s">
        <v>41</v>
      </c>
      <c r="C33" s="39"/>
      <c r="D33" s="18"/>
      <c r="E33" s="369"/>
      <c r="F33" s="368"/>
      <c r="G33" s="369"/>
      <c r="H33" s="368"/>
      <c r="I33" s="369"/>
      <c r="J33" s="368"/>
      <c r="K33" s="369"/>
      <c r="L33" s="368"/>
      <c r="N33" s="27"/>
    </row>
    <row r="34" spans="1:14" ht="15">
      <c r="A34" s="9">
        <v>13</v>
      </c>
      <c r="B34" s="17" t="s">
        <v>42</v>
      </c>
      <c r="C34" s="39"/>
      <c r="D34" s="18"/>
      <c r="E34" s="369"/>
      <c r="F34" s="368"/>
      <c r="G34" s="369"/>
      <c r="H34" s="368"/>
      <c r="I34" s="369"/>
      <c r="J34" s="368"/>
      <c r="K34" s="369"/>
      <c r="L34" s="368"/>
      <c r="N34" s="27" t="str">
        <f>IF(AND(ISNUMBER(C34)=TRUE,C34&gt;0),ROUND(E34,5)=ROUND(C34*D34/10^3,5),"")</f>
        <v/>
      </c>
    </row>
    <row r="35" spans="1:14" ht="15.75" thickBot="1">
      <c r="A35" s="9">
        <v>16</v>
      </c>
      <c r="B35" s="17" t="s">
        <v>26</v>
      </c>
      <c r="C35" s="39"/>
      <c r="D35" s="18"/>
      <c r="E35" s="369"/>
      <c r="F35" s="368"/>
      <c r="G35" s="369"/>
      <c r="H35" s="368"/>
      <c r="I35" s="369"/>
      <c r="J35" s="368"/>
      <c r="K35" s="369"/>
      <c r="L35" s="368"/>
      <c r="N35" s="27" t="str">
        <f>IF(AND(ISNUMBER(C35)=TRUE,C35&lt;&gt;0),ROUND(E35,5)=ROUND(C35*D35/10^3,5),"")</f>
        <v/>
      </c>
    </row>
    <row r="36" spans="1:12" ht="15.75" thickBot="1">
      <c r="A36" s="9">
        <v>17</v>
      </c>
      <c r="B36" s="21" t="s">
        <v>9</v>
      </c>
      <c r="C36" s="32"/>
      <c r="D36" s="22"/>
      <c r="E36" s="371">
        <f>C21</f>
        <v>138.37661849999998</v>
      </c>
      <c r="F36" s="372">
        <v>135.16751324721668</v>
      </c>
      <c r="G36" s="371">
        <v>0</v>
      </c>
      <c r="H36" s="372">
        <v>0</v>
      </c>
      <c r="I36" s="371">
        <v>0</v>
      </c>
      <c r="J36" s="372">
        <v>0</v>
      </c>
      <c r="K36" s="371">
        <f>E36+G36-I36</f>
        <v>138.37661849999998</v>
      </c>
      <c r="L36" s="372">
        <f>F36+H36-J36</f>
        <v>135.16751324721668</v>
      </c>
    </row>
    <row r="37" spans="3:12" ht="15">
      <c r="C37" s="13"/>
      <c r="E37" s="13"/>
      <c r="F37" s="13"/>
      <c r="G37" s="13"/>
      <c r="H37" s="13"/>
      <c r="I37" s="13"/>
      <c r="J37" s="13"/>
      <c r="K37" s="13"/>
      <c r="L37" s="13"/>
    </row>
    <row r="38" ht="15">
      <c r="B38" s="25"/>
    </row>
    <row r="39" ht="15.75" thickBot="1"/>
    <row r="40" spans="2:4" ht="15.75" thickBot="1">
      <c r="B40" s="111"/>
      <c r="C40" s="113">
        <v>2020</v>
      </c>
      <c r="D40" s="5" t="s">
        <v>476</v>
      </c>
    </row>
    <row r="41" spans="2:3" ht="15">
      <c r="B41" s="256" t="s">
        <v>373</v>
      </c>
      <c r="C41" s="380">
        <v>102.37416904083578</v>
      </c>
    </row>
    <row r="42" spans="2:3" ht="15.75" thickBot="1">
      <c r="B42" s="257" t="s">
        <v>374</v>
      </c>
      <c r="C42" s="381">
        <v>86.74065169276452</v>
      </c>
    </row>
    <row r="45" ht="15">
      <c r="B45" s="5" t="s">
        <v>544</v>
      </c>
    </row>
    <row r="56" spans="2:6" ht="15">
      <c r="B56" s="287" t="s">
        <v>520</v>
      </c>
      <c r="C56"/>
      <c r="D56"/>
      <c r="E56"/>
      <c r="F56"/>
    </row>
    <row r="57" spans="2:6" ht="15.75" thickBot="1">
      <c r="B57"/>
      <c r="C57"/>
      <c r="D57"/>
      <c r="E57"/>
      <c r="F57"/>
    </row>
    <row r="58" spans="2:6" ht="15" customHeight="1">
      <c r="B58" s="564"/>
      <c r="C58" s="566" t="s">
        <v>481</v>
      </c>
      <c r="D58" s="288" t="s">
        <v>482</v>
      </c>
      <c r="E58" s="566" t="s">
        <v>483</v>
      </c>
      <c r="F58"/>
    </row>
    <row r="59" spans="2:6" ht="15.75" thickBot="1">
      <c r="B59" s="565"/>
      <c r="C59" s="567"/>
      <c r="D59" s="289" t="s">
        <v>484</v>
      </c>
      <c r="E59" s="567"/>
      <c r="F59"/>
    </row>
    <row r="60" spans="2:8" ht="26.25" thickBot="1">
      <c r="B60" s="290" t="s">
        <v>485</v>
      </c>
      <c r="C60" s="495">
        <f>C62+C73</f>
        <v>114.51661299999998</v>
      </c>
      <c r="D60" s="496" t="s">
        <v>486</v>
      </c>
      <c r="E60" s="497">
        <f>E73+E62</f>
        <v>138.3766185</v>
      </c>
      <c r="F60"/>
      <c r="H60" s="5" t="s">
        <v>466</v>
      </c>
    </row>
    <row r="61" spans="2:6" ht="15">
      <c r="B61" s="291" t="s">
        <v>487</v>
      </c>
      <c r="C61" s="498"/>
      <c r="D61" s="499"/>
      <c r="E61" s="500"/>
      <c r="F61"/>
    </row>
    <row r="62" spans="2:6" ht="15">
      <c r="B62" s="315" t="s">
        <v>488</v>
      </c>
      <c r="C62" s="501">
        <f>C63+C64+C67+C68+C71</f>
        <v>22.76466</v>
      </c>
      <c r="D62" s="502" t="s">
        <v>486</v>
      </c>
      <c r="E62" s="501">
        <f>E63+E64+E66+E67+E68+E71</f>
        <v>19.157736500000002</v>
      </c>
      <c r="F62"/>
    </row>
    <row r="63" spans="2:6" ht="15">
      <c r="B63" s="316" t="s">
        <v>521</v>
      </c>
      <c r="C63" s="503">
        <v>7.814722</v>
      </c>
      <c r="D63" s="502">
        <v>50</v>
      </c>
      <c r="E63" s="503">
        <f>C63/100*D63</f>
        <v>3.9073610000000003</v>
      </c>
      <c r="F63"/>
    </row>
    <row r="64" spans="2:6" ht="15">
      <c r="B64" s="316" t="s">
        <v>522</v>
      </c>
      <c r="C64" s="503">
        <v>3.45472</v>
      </c>
      <c r="D64" s="502">
        <v>40</v>
      </c>
      <c r="E64" s="503">
        <f aca="true" t="shared" si="0" ref="E64:E70">C64/100*D64</f>
        <v>1.381888</v>
      </c>
      <c r="F64"/>
    </row>
    <row r="65" spans="2:6" ht="15">
      <c r="B65" s="316" t="s">
        <v>523</v>
      </c>
      <c r="C65" s="503"/>
      <c r="D65" s="502">
        <v>30</v>
      </c>
      <c r="E65" s="503"/>
      <c r="F65"/>
    </row>
    <row r="66" spans="2:6" ht="15">
      <c r="B66" s="316" t="s">
        <v>524</v>
      </c>
      <c r="C66" s="503">
        <v>18.263533000000002</v>
      </c>
      <c r="D66" s="502">
        <v>30</v>
      </c>
      <c r="E66" s="503">
        <f t="shared" si="0"/>
        <v>5.4790599</v>
      </c>
      <c r="F66"/>
    </row>
    <row r="67" spans="2:6" ht="15">
      <c r="B67" s="316" t="s">
        <v>525</v>
      </c>
      <c r="C67" s="503">
        <v>10.209992</v>
      </c>
      <c r="D67" s="502">
        <v>40</v>
      </c>
      <c r="E67" s="503">
        <f t="shared" si="0"/>
        <v>4.0839967999999995</v>
      </c>
      <c r="F67"/>
    </row>
    <row r="68" spans="2:6" ht="15">
      <c r="B68" s="316" t="s">
        <v>526</v>
      </c>
      <c r="C68" s="503"/>
      <c r="D68" s="502">
        <v>10</v>
      </c>
      <c r="E68" s="503">
        <f>SUM(E69:E70)</f>
        <v>3.0202048</v>
      </c>
      <c r="F68"/>
    </row>
    <row r="69" spans="2:6" ht="15">
      <c r="B69" s="317" t="s">
        <v>489</v>
      </c>
      <c r="C69" s="503">
        <v>7.527236</v>
      </c>
      <c r="D69" s="502">
        <v>20</v>
      </c>
      <c r="E69" s="503">
        <f t="shared" si="0"/>
        <v>1.5054471999999999</v>
      </c>
      <c r="F69"/>
    </row>
    <row r="70" spans="2:6" ht="15">
      <c r="B70" s="318" t="s">
        <v>490</v>
      </c>
      <c r="C70" s="503">
        <v>15.147576</v>
      </c>
      <c r="D70" s="502">
        <v>10</v>
      </c>
      <c r="E70" s="503">
        <f t="shared" si="0"/>
        <v>1.5147576000000003</v>
      </c>
      <c r="F70"/>
    </row>
    <row r="71" spans="2:6" ht="15">
      <c r="B71" s="315" t="s">
        <v>491</v>
      </c>
      <c r="C71" s="503">
        <v>1.285226</v>
      </c>
      <c r="D71" s="502" t="s">
        <v>486</v>
      </c>
      <c r="E71" s="503">
        <v>1.285226</v>
      </c>
      <c r="F71"/>
    </row>
    <row r="72" spans="2:6" ht="15">
      <c r="B72" s="319"/>
      <c r="C72" s="504"/>
      <c r="D72" s="499"/>
      <c r="E72" s="504"/>
      <c r="F72"/>
    </row>
    <row r="73" spans="2:6" ht="25.5">
      <c r="B73" s="320" t="s">
        <v>492</v>
      </c>
      <c r="C73" s="503">
        <f>SUM(C74:C82)</f>
        <v>91.75195299999999</v>
      </c>
      <c r="D73" s="502" t="s">
        <v>486</v>
      </c>
      <c r="E73" s="503">
        <f>SUM(E74:E82)</f>
        <v>119.21888200000001</v>
      </c>
      <c r="F73"/>
    </row>
    <row r="74" spans="2:6" ht="15">
      <c r="B74" s="292" t="s">
        <v>493</v>
      </c>
      <c r="C74" s="503">
        <v>3.226393</v>
      </c>
      <c r="D74" s="502" t="s">
        <v>486</v>
      </c>
      <c r="E74" s="503">
        <v>4.192248271299751</v>
      </c>
      <c r="F74"/>
    </row>
    <row r="75" spans="2:6" ht="15">
      <c r="B75" s="292" t="s">
        <v>494</v>
      </c>
      <c r="C75" s="503">
        <v>2.750946</v>
      </c>
      <c r="D75" s="502" t="s">
        <v>486</v>
      </c>
      <c r="E75" s="503">
        <v>3.5744711239266156</v>
      </c>
      <c r="F75"/>
    </row>
    <row r="76" spans="2:6" ht="15">
      <c r="B76" s="292" t="s">
        <v>495</v>
      </c>
      <c r="C76" s="503">
        <v>0.661085</v>
      </c>
      <c r="D76" s="502" t="s">
        <v>486</v>
      </c>
      <c r="E76" s="503">
        <v>0.8589878692497152</v>
      </c>
      <c r="F76"/>
    </row>
    <row r="77" spans="2:6" ht="15">
      <c r="B77" s="292" t="s">
        <v>496</v>
      </c>
      <c r="C77" s="503">
        <v>5.804061</v>
      </c>
      <c r="D77" s="502" t="s">
        <v>486</v>
      </c>
      <c r="E77" s="503">
        <v>7.541568771618431</v>
      </c>
      <c r="F77"/>
    </row>
    <row r="78" spans="2:6" ht="15">
      <c r="B78" s="292" t="s">
        <v>497</v>
      </c>
      <c r="C78" s="503">
        <v>8.471044</v>
      </c>
      <c r="D78" s="502" t="s">
        <v>486</v>
      </c>
      <c r="E78" s="503">
        <v>11.00694167297788</v>
      </c>
      <c r="F78"/>
    </row>
    <row r="79" spans="2:6" ht="15">
      <c r="B79" s="292" t="s">
        <v>498</v>
      </c>
      <c r="C79" s="503">
        <v>13.570826</v>
      </c>
      <c r="D79" s="502" t="s">
        <v>486</v>
      </c>
      <c r="E79" s="503">
        <v>17.633397989212632</v>
      </c>
      <c r="F79"/>
    </row>
    <row r="80" spans="2:6" ht="15">
      <c r="B80" s="292" t="s">
        <v>499</v>
      </c>
      <c r="C80" s="503">
        <v>16.245397</v>
      </c>
      <c r="D80" s="502" t="s">
        <v>486</v>
      </c>
      <c r="E80" s="503">
        <v>21.108630439573904</v>
      </c>
      <c r="F80"/>
    </row>
    <row r="81" spans="2:6" ht="25.5">
      <c r="B81" s="292" t="s">
        <v>500</v>
      </c>
      <c r="C81" s="503">
        <v>16.306552</v>
      </c>
      <c r="D81" s="502" t="s">
        <v>486</v>
      </c>
      <c r="E81" s="503">
        <v>21.188092843264755</v>
      </c>
      <c r="F81"/>
    </row>
    <row r="82" spans="2:6" ht="15.75" thickBot="1">
      <c r="B82" s="293" t="s">
        <v>501</v>
      </c>
      <c r="C82" s="505">
        <v>24.715649</v>
      </c>
      <c r="D82" s="496" t="s">
        <v>486</v>
      </c>
      <c r="E82" s="505">
        <v>32.11454301887632</v>
      </c>
      <c r="F82"/>
    </row>
    <row r="84" ht="15">
      <c r="E84" s="280"/>
    </row>
  </sheetData>
  <mergeCells count="11">
    <mergeCell ref="K24:L24"/>
    <mergeCell ref="B24:B25"/>
    <mergeCell ref="C24:C25"/>
    <mergeCell ref="D24:D25"/>
    <mergeCell ref="E24:F24"/>
    <mergeCell ref="G24:H24"/>
    <mergeCell ref="B58:B59"/>
    <mergeCell ref="C58:C59"/>
    <mergeCell ref="E58:E59"/>
    <mergeCell ref="B6:B7"/>
    <mergeCell ref="I24:J24"/>
  </mergeCells>
  <conditionalFormatting sqref="C38 N28:N35">
    <cfRule type="cellIs" priority="13" dxfId="1" operator="equal">
      <formula>FALSE</formula>
    </cfRule>
    <cfRule type="cellIs" priority="14" dxfId="0" operator="equal">
      <formula>TRUE</formula>
    </cfRule>
  </conditionalFormatting>
  <conditionalFormatting sqref="E38">
    <cfRule type="cellIs" priority="11" dxfId="1" operator="equal">
      <formula>FALSE</formula>
    </cfRule>
    <cfRule type="cellIs" priority="12" dxfId="0" operator="equal">
      <formula>TRUE</formula>
    </cfRule>
  </conditionalFormatting>
  <conditionalFormatting sqref="F38">
    <cfRule type="cellIs" priority="9" dxfId="1" operator="equal">
      <formula>FALSE</formula>
    </cfRule>
    <cfRule type="cellIs" priority="10" dxfId="0" operator="equal">
      <formula>TRUE</formula>
    </cfRule>
  </conditionalFormatting>
  <conditionalFormatting sqref="K38">
    <cfRule type="cellIs" priority="7" dxfId="1" operator="equal">
      <formula>FALSE</formula>
    </cfRule>
    <cfRule type="cellIs" priority="8" dxfId="0" operator="equal">
      <formula>TRUE</formula>
    </cfRule>
  </conditionalFormatting>
  <conditionalFormatting sqref="L38">
    <cfRule type="cellIs" priority="5" dxfId="1" operator="equal">
      <formula>FALSE</formula>
    </cfRule>
    <cfRule type="cellIs" priority="6" dxfId="0" operator="equal">
      <formula>TRUE</formula>
    </cfRule>
  </conditionalFormatting>
  <conditionalFormatting sqref="E19">
    <cfRule type="cellIs" priority="3" dxfId="1" operator="equal">
      <formula>FALSE</formula>
    </cfRule>
    <cfRule type="cellIs" priority="4" dxfId="0" operator="equal">
      <formula>TRUE</formula>
    </cfRule>
  </conditionalFormatting>
  <conditionalFormatting sqref="N26:N2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6" width="20.7109375" style="5" customWidth="1"/>
    <col min="7"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126</v>
      </c>
    </row>
    <row r="2" ht="4.5" customHeight="1"/>
    <row r="3" spans="2:9" ht="30">
      <c r="B3" s="62" t="s">
        <v>423</v>
      </c>
      <c r="C3" s="63"/>
      <c r="F3" s="27"/>
      <c r="I3" s="6"/>
    </row>
    <row r="4" spans="2:6" ht="15">
      <c r="B4" s="27" t="s">
        <v>134</v>
      </c>
      <c r="C4" s="4"/>
      <c r="F4" s="27"/>
    </row>
    <row r="5" spans="2:9" ht="15.75" thickBot="1">
      <c r="B5" s="27"/>
      <c r="C5" s="4"/>
      <c r="F5" s="27"/>
      <c r="I5" s="62"/>
    </row>
    <row r="6" spans="2:9" ht="60" customHeight="1">
      <c r="B6" s="570"/>
      <c r="C6" s="92" t="s">
        <v>167</v>
      </c>
      <c r="D6" s="64" t="s">
        <v>437</v>
      </c>
      <c r="E6" s="65" t="s">
        <v>125</v>
      </c>
      <c r="I6" s="27"/>
    </row>
    <row r="7" spans="2:5" ht="15.75" thickBot="1">
      <c r="B7" s="571"/>
      <c r="C7" s="123" t="s">
        <v>379</v>
      </c>
      <c r="D7" s="119" t="s">
        <v>124</v>
      </c>
      <c r="E7" s="120" t="s">
        <v>380</v>
      </c>
    </row>
    <row r="8" spans="2:5" ht="30">
      <c r="B8" s="121" t="s">
        <v>133</v>
      </c>
      <c r="C8" s="410">
        <f>SUM(C9:C12)</f>
        <v>53.55889943503121</v>
      </c>
      <c r="D8" s="410">
        <f>SUM(D9:D12)</f>
        <v>1862653.72</v>
      </c>
      <c r="E8" s="411">
        <f>SUM(E9:E12)</f>
        <v>99.76168327176678</v>
      </c>
    </row>
    <row r="9" spans="2:5" ht="15">
      <c r="B9" s="252" t="s">
        <v>127</v>
      </c>
      <c r="C9" s="410">
        <v>53.55889943503121</v>
      </c>
      <c r="D9" s="412">
        <v>1862653.72</v>
      </c>
      <c r="E9" s="413">
        <f>C9*D9/10^6</f>
        <v>99.76168327176678</v>
      </c>
    </row>
    <row r="10" spans="2:5" ht="30">
      <c r="B10" s="252" t="s">
        <v>128</v>
      </c>
      <c r="C10" s="414">
        <v>0</v>
      </c>
      <c r="D10" s="404">
        <v>0</v>
      </c>
      <c r="E10" s="415">
        <f aca="true" t="shared" si="0" ref="E10:E12">C10*D10/10^6</f>
        <v>0</v>
      </c>
    </row>
    <row r="11" spans="2:5" ht="30">
      <c r="B11" s="253" t="s">
        <v>130</v>
      </c>
      <c r="C11" s="414">
        <v>0</v>
      </c>
      <c r="D11" s="404">
        <v>0</v>
      </c>
      <c r="E11" s="415">
        <f t="shared" si="0"/>
        <v>0</v>
      </c>
    </row>
    <row r="12" spans="2:5" ht="30.75" thickBot="1">
      <c r="B12" s="254" t="s">
        <v>129</v>
      </c>
      <c r="C12" s="416">
        <v>0</v>
      </c>
      <c r="D12" s="405">
        <v>0</v>
      </c>
      <c r="E12" s="417">
        <f t="shared" si="0"/>
        <v>0</v>
      </c>
    </row>
    <row r="13" spans="2:3" ht="15">
      <c r="B13" s="27"/>
      <c r="C13" s="4"/>
    </row>
    <row r="14" spans="2:3" ht="15.75" thickBot="1">
      <c r="B14" s="27"/>
      <c r="C14" s="4"/>
    </row>
    <row r="15" spans="2:6" ht="16.5" customHeight="1">
      <c r="B15" s="574"/>
      <c r="C15" s="561" t="s">
        <v>125</v>
      </c>
      <c r="D15" s="562"/>
      <c r="E15" s="557" t="s">
        <v>141</v>
      </c>
      <c r="F15" s="559" t="s">
        <v>142</v>
      </c>
    </row>
    <row r="16" spans="2:6" ht="15">
      <c r="B16" s="575"/>
      <c r="C16" s="73" t="s">
        <v>10</v>
      </c>
      <c r="D16" s="125" t="s">
        <v>11</v>
      </c>
      <c r="E16" s="572"/>
      <c r="F16" s="573"/>
    </row>
    <row r="17" spans="2:6" ht="15.75" thickBot="1">
      <c r="B17" s="576"/>
      <c r="C17" s="126" t="s">
        <v>380</v>
      </c>
      <c r="D17" s="123" t="s">
        <v>380</v>
      </c>
      <c r="E17" s="126" t="s">
        <v>438</v>
      </c>
      <c r="F17" s="120" t="s">
        <v>438</v>
      </c>
    </row>
    <row r="18" spans="1:6" ht="30">
      <c r="A18" s="9"/>
      <c r="B18" s="124" t="s">
        <v>131</v>
      </c>
      <c r="C18" s="364">
        <v>99.76168327176678</v>
      </c>
      <c r="D18" s="365">
        <v>97.44810063559383</v>
      </c>
      <c r="E18" s="364">
        <v>102.37416904083602</v>
      </c>
      <c r="F18" s="365">
        <v>94.31721086635304</v>
      </c>
    </row>
    <row r="19" spans="1:6" ht="30">
      <c r="A19" s="9"/>
      <c r="B19" s="74" t="s">
        <v>132</v>
      </c>
      <c r="C19" s="406"/>
      <c r="D19" s="407" t="s">
        <v>135</v>
      </c>
      <c r="E19" s="406" t="s">
        <v>135</v>
      </c>
      <c r="F19" s="407" t="s">
        <v>135</v>
      </c>
    </row>
    <row r="20" spans="1:6" ht="30.75" thickBot="1">
      <c r="A20" s="9"/>
      <c r="B20" s="76" t="s">
        <v>133</v>
      </c>
      <c r="C20" s="408">
        <v>99.76168327176678</v>
      </c>
      <c r="D20" s="409">
        <v>97.44810063559383</v>
      </c>
      <c r="E20" s="364">
        <v>102.37416904083602</v>
      </c>
      <c r="F20" s="365">
        <v>94.31721086635304</v>
      </c>
    </row>
    <row r="21" ht="15">
      <c r="C21" s="13"/>
    </row>
    <row r="22" ht="15">
      <c r="B22" s="25"/>
    </row>
  </sheetData>
  <mergeCells count="5">
    <mergeCell ref="B6:B7"/>
    <mergeCell ref="C15:D15"/>
    <mergeCell ref="E15:E16"/>
    <mergeCell ref="F15:F16"/>
    <mergeCell ref="B15:B17"/>
  </mergeCells>
  <conditionalFormatting sqref="C22">
    <cfRule type="cellIs" priority="14" dxfId="1" operator="equal">
      <formula>FALSE</formula>
    </cfRule>
    <cfRule type="cellIs" priority="15"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136</v>
      </c>
    </row>
    <row r="2" ht="4.5" customHeight="1"/>
    <row r="3" spans="2:11" ht="18.75">
      <c r="B3" s="62" t="s">
        <v>422</v>
      </c>
      <c r="C3" s="63"/>
      <c r="K3" s="6"/>
    </row>
    <row r="4" spans="2:3" ht="15">
      <c r="B4" s="27" t="s">
        <v>137</v>
      </c>
      <c r="C4" s="4"/>
    </row>
    <row r="5" spans="2:11" ht="15.75" thickBot="1">
      <c r="B5" s="27"/>
      <c r="C5" s="4"/>
      <c r="K5" s="62"/>
    </row>
    <row r="6" spans="2:11" ht="46.15" customHeight="1">
      <c r="B6" s="570"/>
      <c r="C6" s="92" t="s">
        <v>168</v>
      </c>
      <c r="D6" s="64" t="s">
        <v>437</v>
      </c>
      <c r="E6" s="65" t="s">
        <v>150</v>
      </c>
      <c r="F6" s="65" t="s">
        <v>153</v>
      </c>
      <c r="G6" s="65" t="s">
        <v>155</v>
      </c>
      <c r="K6" s="27"/>
    </row>
    <row r="7" spans="2:7" ht="15.75" thickBot="1">
      <c r="B7" s="571"/>
      <c r="C7" s="123" t="s">
        <v>379</v>
      </c>
      <c r="D7" s="119" t="s">
        <v>124</v>
      </c>
      <c r="E7" s="120" t="s">
        <v>380</v>
      </c>
      <c r="F7" s="127" t="s">
        <v>154</v>
      </c>
      <c r="G7" s="120" t="s">
        <v>380</v>
      </c>
    </row>
    <row r="8" spans="2:7" ht="15">
      <c r="B8" s="124" t="s">
        <v>139</v>
      </c>
      <c r="C8" s="441"/>
      <c r="D8" s="442"/>
      <c r="E8" s="444">
        <f>E9</f>
        <v>45.512746238943066</v>
      </c>
      <c r="F8" s="444">
        <v>0</v>
      </c>
      <c r="G8" s="411">
        <f>E8*(100-F8)/100</f>
        <v>45.512746238943066</v>
      </c>
    </row>
    <row r="9" spans="2:7" ht="15">
      <c r="B9" s="79" t="s">
        <v>151</v>
      </c>
      <c r="C9" s="485">
        <v>24.434357148758206</v>
      </c>
      <c r="D9" s="412">
        <v>1862653.72</v>
      </c>
      <c r="E9" s="413">
        <f>C9*D9/10^6</f>
        <v>45.512746238943066</v>
      </c>
      <c r="F9" s="415"/>
      <c r="G9" s="413"/>
    </row>
    <row r="10" spans="2:7" ht="15">
      <c r="B10" s="74" t="s">
        <v>140</v>
      </c>
      <c r="C10" s="485"/>
      <c r="D10" s="436"/>
      <c r="E10" s="413">
        <f>E11</f>
        <v>9.121502170757754</v>
      </c>
      <c r="F10" s="415">
        <v>0</v>
      </c>
      <c r="G10" s="486">
        <f>E10*(100-F10)/100</f>
        <v>9.121502170757754</v>
      </c>
    </row>
    <row r="11" spans="2:7" ht="15">
      <c r="B11" s="79" t="s">
        <v>152</v>
      </c>
      <c r="C11" s="485">
        <v>4.8970466559708985</v>
      </c>
      <c r="D11" s="412">
        <v>1862653.72</v>
      </c>
      <c r="E11" s="413">
        <f aca="true" t="shared" si="0" ref="E11:E18">C11*D11/10^6</f>
        <v>9.121502170757754</v>
      </c>
      <c r="F11" s="415"/>
      <c r="G11" s="413"/>
    </row>
    <row r="12" spans="2:7" ht="15">
      <c r="B12" s="74" t="s">
        <v>143</v>
      </c>
      <c r="C12" s="485">
        <v>82.33493297025392</v>
      </c>
      <c r="D12" s="412">
        <v>1862653.72</v>
      </c>
      <c r="E12" s="413">
        <f t="shared" si="0"/>
        <v>153.36146918299409</v>
      </c>
      <c r="F12" s="415">
        <v>0</v>
      </c>
      <c r="G12" s="486">
        <f>E12*(100-F12)/100</f>
        <v>153.36146918299409</v>
      </c>
    </row>
    <row r="13" spans="2:7" ht="15">
      <c r="B13" s="79" t="s">
        <v>145</v>
      </c>
      <c r="C13" s="414">
        <v>0</v>
      </c>
      <c r="D13" s="436">
        <v>0</v>
      </c>
      <c r="E13" s="415">
        <f t="shared" si="0"/>
        <v>0</v>
      </c>
      <c r="F13" s="415"/>
      <c r="G13" s="413"/>
    </row>
    <row r="14" spans="2:7" ht="15">
      <c r="B14" s="79" t="s">
        <v>146</v>
      </c>
      <c r="C14" s="414">
        <v>0</v>
      </c>
      <c r="D14" s="436">
        <v>0</v>
      </c>
      <c r="E14" s="415">
        <f t="shared" si="0"/>
        <v>0</v>
      </c>
      <c r="F14" s="415"/>
      <c r="G14" s="413"/>
    </row>
    <row r="15" spans="2:7" ht="15">
      <c r="B15" s="79" t="s">
        <v>147</v>
      </c>
      <c r="C15" s="414">
        <v>0</v>
      </c>
      <c r="D15" s="436">
        <v>0</v>
      </c>
      <c r="E15" s="415">
        <f t="shared" si="0"/>
        <v>0</v>
      </c>
      <c r="F15" s="415"/>
      <c r="G15" s="413"/>
    </row>
    <row r="16" spans="2:7" ht="15">
      <c r="B16" s="79" t="s">
        <v>148</v>
      </c>
      <c r="C16" s="414">
        <v>0</v>
      </c>
      <c r="D16" s="436">
        <v>0</v>
      </c>
      <c r="E16" s="415">
        <f t="shared" si="0"/>
        <v>0</v>
      </c>
      <c r="F16" s="415"/>
      <c r="G16" s="413"/>
    </row>
    <row r="17" spans="2:7" ht="15">
      <c r="B17" s="74" t="s">
        <v>144</v>
      </c>
      <c r="C17" s="487"/>
      <c r="D17" s="437"/>
      <c r="E17" s="461">
        <f>E18</f>
        <v>2.9824246177851226</v>
      </c>
      <c r="F17" s="415">
        <v>0</v>
      </c>
      <c r="G17" s="486">
        <f>E17*(100-F17)/100</f>
        <v>2.9824246177851226</v>
      </c>
    </row>
    <row r="18" spans="2:7" ht="15.75" thickBot="1">
      <c r="B18" s="80" t="s">
        <v>149</v>
      </c>
      <c r="C18" s="488">
        <v>1.6011696569049467</v>
      </c>
      <c r="D18" s="489">
        <v>1862653.72</v>
      </c>
      <c r="E18" s="489">
        <f t="shared" si="0"/>
        <v>2.9824246177851226</v>
      </c>
      <c r="F18" s="417"/>
      <c r="G18" s="417"/>
    </row>
    <row r="19" spans="2:5" ht="15">
      <c r="B19" s="27"/>
      <c r="C19" s="4"/>
      <c r="E19" s="59"/>
    </row>
    <row r="20" ht="14.25" customHeight="1" thickBot="1">
      <c r="C20" s="4"/>
    </row>
    <row r="21" spans="2:6" ht="16.5" customHeight="1">
      <c r="B21" s="574"/>
      <c r="C21" s="561" t="s">
        <v>125</v>
      </c>
      <c r="D21" s="562"/>
      <c r="E21" s="557" t="s">
        <v>141</v>
      </c>
      <c r="F21" s="559" t="s">
        <v>142</v>
      </c>
    </row>
    <row r="22" spans="2:6" ht="15">
      <c r="B22" s="575"/>
      <c r="C22" s="73" t="s">
        <v>10</v>
      </c>
      <c r="D22" s="125" t="s">
        <v>11</v>
      </c>
      <c r="E22" s="572"/>
      <c r="F22" s="573"/>
    </row>
    <row r="23" spans="2:6" ht="15.75" thickBot="1">
      <c r="B23" s="576"/>
      <c r="C23" s="126" t="s">
        <v>380</v>
      </c>
      <c r="D23" s="123" t="s">
        <v>380</v>
      </c>
      <c r="E23" s="126" t="s">
        <v>438</v>
      </c>
      <c r="F23" s="120" t="s">
        <v>438</v>
      </c>
    </row>
    <row r="24" spans="1:6" ht="15">
      <c r="A24" s="9"/>
      <c r="B24" s="121" t="s">
        <v>138</v>
      </c>
      <c r="C24" s="350">
        <v>210.97814221048003</v>
      </c>
      <c r="D24" s="424">
        <v>206.08532815179478</v>
      </c>
      <c r="E24" s="425">
        <v>102.37416904083602</v>
      </c>
      <c r="F24" s="426">
        <v>76.10358564071596</v>
      </c>
    </row>
    <row r="25" spans="1:6" ht="15">
      <c r="A25" s="9"/>
      <c r="B25" s="74" t="s">
        <v>139</v>
      </c>
      <c r="C25" s="427">
        <v>45.512746238943066</v>
      </c>
      <c r="D25" s="428">
        <v>44.4572558345148</v>
      </c>
      <c r="E25" s="425">
        <v>102.37416904083591</v>
      </c>
      <c r="F25" s="429">
        <v>101.33964392797132</v>
      </c>
    </row>
    <row r="26" spans="1:6" ht="15">
      <c r="A26" s="9"/>
      <c r="B26" s="74" t="s">
        <v>140</v>
      </c>
      <c r="C26" s="427">
        <v>9.121502170757754</v>
      </c>
      <c r="D26" s="428">
        <v>8.909964550842194</v>
      </c>
      <c r="E26" s="425">
        <v>102.37416904083602</v>
      </c>
      <c r="F26" s="430">
        <v>87.44684530427497</v>
      </c>
    </row>
    <row r="27" spans="1:6" ht="15">
      <c r="A27" s="9"/>
      <c r="B27" s="74" t="s">
        <v>143</v>
      </c>
      <c r="C27" s="431">
        <v>153.36146918299409</v>
      </c>
      <c r="D27" s="432">
        <v>149.80484884015976</v>
      </c>
      <c r="E27" s="425">
        <v>102.37416904083605</v>
      </c>
      <c r="F27" s="430">
        <v>70.14748598714252</v>
      </c>
    </row>
    <row r="28" spans="1:6" ht="15.75" thickBot="1">
      <c r="A28" s="9"/>
      <c r="B28" s="76" t="s">
        <v>144</v>
      </c>
      <c r="C28" s="433">
        <v>2.9824246177851226</v>
      </c>
      <c r="D28" s="434">
        <v>2.9132589262780355</v>
      </c>
      <c r="E28" s="434">
        <v>102.3741690408361</v>
      </c>
      <c r="F28" s="435">
        <v>91.60389776179055</v>
      </c>
    </row>
    <row r="29" ht="15">
      <c r="C29" s="13"/>
    </row>
    <row r="30" ht="15">
      <c r="B30" s="25"/>
    </row>
  </sheetData>
  <mergeCells count="5">
    <mergeCell ref="C21:D21"/>
    <mergeCell ref="E21:E22"/>
    <mergeCell ref="F21:F22"/>
    <mergeCell ref="B6:B7"/>
    <mergeCell ref="B21:B23"/>
  </mergeCells>
  <conditionalFormatting sqref="C30">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156</v>
      </c>
    </row>
    <row r="2" ht="4.5" customHeight="1"/>
    <row r="3" spans="2:10" ht="18.75">
      <c r="B3" s="62" t="s">
        <v>421</v>
      </c>
      <c r="C3" s="63"/>
      <c r="J3" s="6"/>
    </row>
    <row r="4" spans="2:3" ht="15">
      <c r="B4" s="27" t="s">
        <v>157</v>
      </c>
      <c r="C4" s="4"/>
    </row>
    <row r="5" spans="2:10" ht="15.75" thickBot="1">
      <c r="B5" s="27"/>
      <c r="C5" s="4"/>
      <c r="J5" s="62"/>
    </row>
    <row r="6" spans="2:10" ht="46.15" customHeight="1">
      <c r="B6" s="570"/>
      <c r="C6" s="92" t="s">
        <v>168</v>
      </c>
      <c r="D6" s="64" t="s">
        <v>437</v>
      </c>
      <c r="E6" s="65" t="s">
        <v>150</v>
      </c>
      <c r="F6" s="65" t="s">
        <v>153</v>
      </c>
      <c r="G6" s="65" t="s">
        <v>155</v>
      </c>
      <c r="J6" s="27"/>
    </row>
    <row r="7" spans="2:7" ht="15.75" thickBot="1">
      <c r="B7" s="571"/>
      <c r="C7" s="123" t="s">
        <v>379</v>
      </c>
      <c r="D7" s="119" t="s">
        <v>124</v>
      </c>
      <c r="E7" s="120" t="s">
        <v>380</v>
      </c>
      <c r="F7" s="127" t="s">
        <v>154</v>
      </c>
      <c r="G7" s="120" t="s">
        <v>380</v>
      </c>
    </row>
    <row r="8" spans="2:7" ht="30">
      <c r="B8" s="124" t="s">
        <v>160</v>
      </c>
      <c r="C8" s="441"/>
      <c r="D8" s="442"/>
      <c r="E8" s="444">
        <f>E9</f>
        <v>142.8142607075307</v>
      </c>
      <c r="F8" s="444">
        <v>0</v>
      </c>
      <c r="G8" s="476">
        <f>E8*(100-F8)/100</f>
        <v>142.8142607075307</v>
      </c>
    </row>
    <row r="9" spans="2:7" ht="15.75" thickBot="1">
      <c r="B9" s="80" t="s">
        <v>161</v>
      </c>
      <c r="C9" s="488">
        <v>76.67246959221745</v>
      </c>
      <c r="D9" s="489">
        <v>1862653.72</v>
      </c>
      <c r="E9" s="417">
        <f>C9*D9/10^6</f>
        <v>142.8142607075307</v>
      </c>
      <c r="F9" s="417"/>
      <c r="G9" s="417"/>
    </row>
    <row r="10" spans="2:3" ht="15">
      <c r="B10" s="27"/>
      <c r="C10" s="4"/>
    </row>
    <row r="11" ht="14.25" customHeight="1" thickBot="1">
      <c r="C11" s="4"/>
    </row>
    <row r="12" spans="2:6" ht="16.5" customHeight="1">
      <c r="B12" s="574"/>
      <c r="C12" s="561" t="s">
        <v>125</v>
      </c>
      <c r="D12" s="562"/>
      <c r="E12" s="557" t="s">
        <v>141</v>
      </c>
      <c r="F12" s="559" t="s">
        <v>142</v>
      </c>
    </row>
    <row r="13" spans="2:6" ht="15">
      <c r="B13" s="575"/>
      <c r="C13" s="73" t="s">
        <v>10</v>
      </c>
      <c r="D13" s="125" t="s">
        <v>11</v>
      </c>
      <c r="E13" s="572"/>
      <c r="F13" s="573"/>
    </row>
    <row r="14" spans="2:6" ht="15.75" thickBot="1">
      <c r="B14" s="576"/>
      <c r="C14" s="126" t="s">
        <v>380</v>
      </c>
      <c r="D14" s="123" t="s">
        <v>380</v>
      </c>
      <c r="E14" s="126" t="s">
        <v>438</v>
      </c>
      <c r="F14" s="120" t="s">
        <v>438</v>
      </c>
    </row>
    <row r="15" spans="1:6" ht="15">
      <c r="A15" s="9"/>
      <c r="B15" s="121" t="s">
        <v>158</v>
      </c>
      <c r="C15" s="364">
        <v>142.8142607075307</v>
      </c>
      <c r="D15" s="418">
        <v>139.5022416744246</v>
      </c>
      <c r="E15" s="419">
        <v>102.37416904083578</v>
      </c>
      <c r="F15" s="420">
        <v>97.13421864010418</v>
      </c>
    </row>
    <row r="16" spans="1:6" ht="30">
      <c r="A16" s="9"/>
      <c r="B16" s="74" t="s">
        <v>159</v>
      </c>
      <c r="C16" s="406"/>
      <c r="D16" s="422"/>
      <c r="E16" s="438" t="s">
        <v>370</v>
      </c>
      <c r="F16" s="421" t="s">
        <v>370</v>
      </c>
    </row>
    <row r="17" spans="1:6" ht="30.75" thickBot="1">
      <c r="A17" s="9"/>
      <c r="B17" s="76" t="s">
        <v>160</v>
      </c>
      <c r="C17" s="408">
        <v>142.8142607075307</v>
      </c>
      <c r="D17" s="423">
        <v>139.5022416744246</v>
      </c>
      <c r="E17" s="419">
        <v>102.37416904083578</v>
      </c>
      <c r="F17" s="420">
        <v>97.13421864010418</v>
      </c>
    </row>
    <row r="18" ht="15">
      <c r="C18" s="13"/>
    </row>
    <row r="19" ht="15">
      <c r="B19" s="25"/>
    </row>
  </sheetData>
  <mergeCells count="5">
    <mergeCell ref="C12:D12"/>
    <mergeCell ref="E12:E13"/>
    <mergeCell ref="F12:F13"/>
    <mergeCell ref="B6:B7"/>
    <mergeCell ref="B12:B14"/>
  </mergeCells>
  <conditionalFormatting sqref="C19">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162</v>
      </c>
    </row>
    <row r="2" ht="4.5" customHeight="1"/>
    <row r="3" spans="2:10" ht="29.45" customHeight="1">
      <c r="B3" s="62" t="s">
        <v>420</v>
      </c>
      <c r="C3" s="63"/>
      <c r="J3" s="6"/>
    </row>
    <row r="4" spans="2:3" ht="15">
      <c r="B4" s="27" t="s">
        <v>163</v>
      </c>
      <c r="C4" s="4"/>
    </row>
    <row r="5" spans="2:10" ht="15.75" thickBot="1">
      <c r="B5" s="27"/>
      <c r="C5" s="4"/>
      <c r="J5" s="62"/>
    </row>
    <row r="6" spans="2:10" ht="46.15" customHeight="1">
      <c r="B6" s="570"/>
      <c r="C6" s="65" t="s">
        <v>165</v>
      </c>
      <c r="D6" s="65" t="s">
        <v>166</v>
      </c>
      <c r="E6" s="65" t="s">
        <v>155</v>
      </c>
      <c r="J6" s="27"/>
    </row>
    <row r="7" spans="2:5" ht="15.75" thickBot="1">
      <c r="B7" s="571"/>
      <c r="C7" s="120" t="s">
        <v>380</v>
      </c>
      <c r="D7" s="127" t="s">
        <v>154</v>
      </c>
      <c r="E7" s="120" t="s">
        <v>380</v>
      </c>
    </row>
    <row r="8" spans="2:5" ht="30.75" thickBot="1">
      <c r="B8" s="129" t="s">
        <v>164</v>
      </c>
      <c r="C8" s="130">
        <v>0</v>
      </c>
      <c r="D8" s="131">
        <v>0</v>
      </c>
      <c r="E8" s="132">
        <f>C8*(100+D8)/100</f>
        <v>0</v>
      </c>
    </row>
    <row r="9" spans="2:3" ht="15">
      <c r="B9" s="27"/>
      <c r="C9" s="4"/>
    </row>
    <row r="10" ht="14.25" customHeight="1" thickBot="1">
      <c r="C10" s="4"/>
    </row>
    <row r="11" spans="2:6" ht="16.5" customHeight="1">
      <c r="B11" s="574"/>
      <c r="C11" s="561" t="s">
        <v>125</v>
      </c>
      <c r="D11" s="562"/>
      <c r="E11" s="557" t="s">
        <v>141</v>
      </c>
      <c r="F11" s="559" t="s">
        <v>142</v>
      </c>
    </row>
    <row r="12" spans="2:6" ht="15">
      <c r="B12" s="575"/>
      <c r="C12" s="73" t="s">
        <v>10</v>
      </c>
      <c r="D12" s="125" t="s">
        <v>11</v>
      </c>
      <c r="E12" s="572"/>
      <c r="F12" s="573"/>
    </row>
    <row r="13" spans="2:6" ht="15.75" thickBot="1">
      <c r="B13" s="576"/>
      <c r="C13" s="126" t="s">
        <v>380</v>
      </c>
      <c r="D13" s="123" t="s">
        <v>380</v>
      </c>
      <c r="E13" s="126" t="s">
        <v>438</v>
      </c>
      <c r="F13" s="120" t="s">
        <v>438</v>
      </c>
    </row>
    <row r="14" spans="1:6" ht="30.75" thickBot="1">
      <c r="A14" s="9"/>
      <c r="B14" s="136" t="s">
        <v>164</v>
      </c>
      <c r="C14" s="439">
        <v>140.4920262792097</v>
      </c>
      <c r="D14" s="321">
        <v>137.23386240445984</v>
      </c>
      <c r="E14" s="440">
        <v>102.37416904083578</v>
      </c>
      <c r="F14" s="378">
        <v>106.38839111024274</v>
      </c>
    </row>
    <row r="15" ht="15">
      <c r="C15" s="13"/>
    </row>
    <row r="16" ht="15">
      <c r="B16" s="25"/>
    </row>
  </sheetData>
  <mergeCells count="5">
    <mergeCell ref="C11:D11"/>
    <mergeCell ref="E11:E12"/>
    <mergeCell ref="F11:F12"/>
    <mergeCell ref="B6:B7"/>
    <mergeCell ref="B11:B13"/>
  </mergeCells>
  <conditionalFormatting sqref="C16">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5"/>
  <sheetViews>
    <sheetView zoomScale="90" zoomScaleNormal="90" workbookViewId="0" topLeftCell="A1">
      <selection activeCell="E6" sqref="E6"/>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4" width="9.7109375" style="5" bestFit="1" customWidth="1"/>
    <col min="15" max="16384" width="8.8515625" style="5" customWidth="1"/>
  </cols>
  <sheetData>
    <row r="1" ht="18.75">
      <c r="B1" s="6" t="s">
        <v>27</v>
      </c>
    </row>
    <row r="2" ht="4.5" customHeight="1"/>
    <row r="3" spans="2:3" ht="15">
      <c r="B3" s="284" t="s">
        <v>542</v>
      </c>
      <c r="C3" s="4" t="s">
        <v>28</v>
      </c>
    </row>
    <row r="4" spans="2:3" ht="15">
      <c r="B4" s="5" t="s">
        <v>29</v>
      </c>
      <c r="C4" s="28" t="s">
        <v>371</v>
      </c>
    </row>
    <row r="5" spans="2:3" ht="14.25" customHeight="1">
      <c r="B5" s="274" t="s">
        <v>468</v>
      </c>
      <c r="C5" s="4" t="s">
        <v>372</v>
      </c>
    </row>
    <row r="6" s="281" customFormat="1" ht="14.25" customHeight="1" thickBot="1"/>
    <row r="7" spans="2:4" s="281" customFormat="1" ht="16.5" customHeight="1" thickBot="1">
      <c r="B7" s="323"/>
      <c r="C7" s="324" t="s">
        <v>3</v>
      </c>
      <c r="D7" s="325"/>
    </row>
    <row r="8" spans="1:3" s="281" customFormat="1" ht="15">
      <c r="A8" s="326">
        <v>1</v>
      </c>
      <c r="B8" s="327" t="s">
        <v>0</v>
      </c>
      <c r="C8" s="345">
        <v>2133.3247</v>
      </c>
    </row>
    <row r="9" spans="1:3" s="281" customFormat="1" ht="15">
      <c r="A9" s="326">
        <v>2</v>
      </c>
      <c r="B9" s="328" t="s">
        <v>8</v>
      </c>
      <c r="C9" s="346">
        <v>0</v>
      </c>
    </row>
    <row r="10" spans="1:3" s="281" customFormat="1" ht="15">
      <c r="A10" s="326">
        <v>3</v>
      </c>
      <c r="B10" s="329" t="s">
        <v>2</v>
      </c>
      <c r="C10" s="345">
        <v>2133.3247</v>
      </c>
    </row>
    <row r="11" spans="1:3" s="281" customFormat="1" ht="15">
      <c r="A11" s="326">
        <v>6</v>
      </c>
      <c r="B11" s="328" t="s">
        <v>30</v>
      </c>
      <c r="C11" s="346">
        <v>106.666235</v>
      </c>
    </row>
    <row r="12" spans="2:5" s="281" customFormat="1" ht="15.75" thickBot="1">
      <c r="B12" s="330" t="s">
        <v>31</v>
      </c>
      <c r="C12" s="347">
        <f>IF(ISNUMBER(C11)=TRUE,C10-C11,C10)</f>
        <v>2026.6584650000002</v>
      </c>
      <c r="E12" s="331"/>
    </row>
    <row r="13" spans="2:5" s="281" customFormat="1" ht="15">
      <c r="B13" s="332"/>
      <c r="C13" s="333"/>
      <c r="E13" s="331"/>
    </row>
    <row r="14" spans="2:3" s="281" customFormat="1" ht="15.75" thickBot="1">
      <c r="B14" s="334"/>
      <c r="C14" s="335"/>
    </row>
    <row r="15" spans="2:12" s="281" customFormat="1" ht="16.5" customHeight="1">
      <c r="B15" s="545" t="s">
        <v>1</v>
      </c>
      <c r="C15" s="547" t="s">
        <v>3</v>
      </c>
      <c r="D15" s="549" t="s">
        <v>4</v>
      </c>
      <c r="E15" s="551" t="s">
        <v>5</v>
      </c>
      <c r="F15" s="552"/>
      <c r="G15" s="551" t="s">
        <v>6</v>
      </c>
      <c r="H15" s="552"/>
      <c r="I15" s="551" t="s">
        <v>12</v>
      </c>
      <c r="J15" s="552"/>
      <c r="K15" s="543" t="s">
        <v>7</v>
      </c>
      <c r="L15" s="544"/>
    </row>
    <row r="16" spans="2:12" s="281" customFormat="1" ht="15.75" thickBot="1">
      <c r="B16" s="546"/>
      <c r="C16" s="548"/>
      <c r="D16" s="550"/>
      <c r="E16" s="336" t="s">
        <v>10</v>
      </c>
      <c r="F16" s="337" t="s">
        <v>11</v>
      </c>
      <c r="G16" s="336" t="s">
        <v>10</v>
      </c>
      <c r="H16" s="337" t="s">
        <v>11</v>
      </c>
      <c r="I16" s="336" t="s">
        <v>10</v>
      </c>
      <c r="J16" s="337" t="s">
        <v>11</v>
      </c>
      <c r="K16" s="336" t="s">
        <v>10</v>
      </c>
      <c r="L16" s="338" t="s">
        <v>11</v>
      </c>
    </row>
    <row r="17" spans="1:12" s="281" customFormat="1" ht="15">
      <c r="A17" s="326">
        <v>7</v>
      </c>
      <c r="B17" s="327" t="s">
        <v>32</v>
      </c>
      <c r="C17" s="348">
        <v>85.332988</v>
      </c>
      <c r="D17" s="349">
        <v>148.69016221563786</v>
      </c>
      <c r="E17" s="350">
        <f>C17*D17/1000</f>
        <v>12.688175828065079</v>
      </c>
      <c r="F17" s="351">
        <v>13.159117305012817</v>
      </c>
      <c r="G17" s="350"/>
      <c r="H17" s="351"/>
      <c r="I17" s="350"/>
      <c r="J17" s="351"/>
      <c r="K17" s="350">
        <f>E17+G17-I17</f>
        <v>12.688175828065079</v>
      </c>
      <c r="L17" s="351">
        <f>F17+H17-J17</f>
        <v>13.159117305012817</v>
      </c>
    </row>
    <row r="18" spans="1:12" s="281" customFormat="1" ht="15">
      <c r="A18" s="326">
        <v>8</v>
      </c>
      <c r="B18" s="339" t="s">
        <v>33</v>
      </c>
      <c r="C18" s="352" t="s">
        <v>370</v>
      </c>
      <c r="D18" s="353"/>
      <c r="E18" s="350"/>
      <c r="F18" s="354"/>
      <c r="G18" s="355"/>
      <c r="H18" s="354"/>
      <c r="I18" s="355"/>
      <c r="J18" s="354"/>
      <c r="K18" s="350">
        <f aca="true" t="shared" si="0" ref="K18:K26">E18+G18-I18</f>
        <v>0</v>
      </c>
      <c r="L18" s="354">
        <f aca="true" t="shared" si="1" ref="L18:L26">F18+H18-J18</f>
        <v>0</v>
      </c>
    </row>
    <row r="19" spans="1:12" s="281" customFormat="1" ht="15">
      <c r="A19" s="326">
        <v>10</v>
      </c>
      <c r="B19" s="339" t="s">
        <v>34</v>
      </c>
      <c r="C19" s="352">
        <v>0</v>
      </c>
      <c r="D19" s="353">
        <v>148.69016221563786</v>
      </c>
      <c r="E19" s="350">
        <f aca="true" t="shared" si="2" ref="E19:E25">C19*D19/1000</f>
        <v>0</v>
      </c>
      <c r="F19" s="354"/>
      <c r="G19" s="355"/>
      <c r="H19" s="354"/>
      <c r="I19" s="355"/>
      <c r="J19" s="354"/>
      <c r="K19" s="350">
        <f t="shared" si="0"/>
        <v>0</v>
      </c>
      <c r="L19" s="354">
        <f t="shared" si="1"/>
        <v>0</v>
      </c>
    </row>
    <row r="20" spans="1:12" s="281" customFormat="1" ht="15">
      <c r="A20" s="326">
        <v>11</v>
      </c>
      <c r="B20" s="339" t="s">
        <v>35</v>
      </c>
      <c r="C20" s="352">
        <v>37.51157699999982</v>
      </c>
      <c r="D20" s="353">
        <v>148.69016221563786</v>
      </c>
      <c r="E20" s="350">
        <f t="shared" si="2"/>
        <v>5.577602469094363</v>
      </c>
      <c r="F20" s="354">
        <v>5.784623902294601</v>
      </c>
      <c r="G20" s="355"/>
      <c r="H20" s="354"/>
      <c r="I20" s="355"/>
      <c r="J20" s="354"/>
      <c r="K20" s="350">
        <f t="shared" si="0"/>
        <v>5.577602469094363</v>
      </c>
      <c r="L20" s="354">
        <f t="shared" si="1"/>
        <v>5.784623902294601</v>
      </c>
    </row>
    <row r="21" spans="1:12" s="281" customFormat="1" ht="15">
      <c r="A21" s="326" t="s">
        <v>36</v>
      </c>
      <c r="B21" s="339" t="s">
        <v>37</v>
      </c>
      <c r="C21" s="352">
        <v>141.83995000000002</v>
      </c>
      <c r="D21" s="353">
        <v>148.69016221563786</v>
      </c>
      <c r="E21" s="350">
        <f t="shared" si="2"/>
        <v>21.090205174157962</v>
      </c>
      <c r="F21" s="354">
        <v>21.873001102307033</v>
      </c>
      <c r="G21" s="355"/>
      <c r="H21" s="354"/>
      <c r="I21" s="355"/>
      <c r="J21" s="354"/>
      <c r="K21" s="350">
        <f t="shared" si="0"/>
        <v>21.090205174157962</v>
      </c>
      <c r="L21" s="354">
        <f t="shared" si="1"/>
        <v>21.873001102307033</v>
      </c>
    </row>
    <row r="22" spans="1:12" s="281" customFormat="1" ht="15">
      <c r="A22" s="326" t="s">
        <v>38</v>
      </c>
      <c r="B22" s="339" t="s">
        <v>39</v>
      </c>
      <c r="C22" s="352">
        <v>1716.81383</v>
      </c>
      <c r="D22" s="353">
        <v>148.69016221563786</v>
      </c>
      <c r="E22" s="350">
        <f t="shared" si="2"/>
        <v>255.2733268767505</v>
      </c>
      <c r="F22" s="354">
        <v>264.74819538533364</v>
      </c>
      <c r="G22" s="355"/>
      <c r="H22" s="354"/>
      <c r="I22" s="355"/>
      <c r="J22" s="354"/>
      <c r="K22" s="350">
        <f t="shared" si="0"/>
        <v>255.2733268767505</v>
      </c>
      <c r="L22" s="354">
        <f t="shared" si="1"/>
        <v>264.74819538533364</v>
      </c>
    </row>
    <row r="23" spans="1:12" s="281" customFormat="1" ht="15">
      <c r="A23" s="326" t="s">
        <v>40</v>
      </c>
      <c r="B23" s="339" t="s">
        <v>41</v>
      </c>
      <c r="C23" s="352">
        <v>95.87402</v>
      </c>
      <c r="D23" s="353">
        <v>148.69016221563786</v>
      </c>
      <c r="E23" s="350">
        <f t="shared" si="2"/>
        <v>14.255523586065308</v>
      </c>
      <c r="F23" s="354">
        <v>14.784639624750335</v>
      </c>
      <c r="G23" s="355"/>
      <c r="H23" s="354"/>
      <c r="I23" s="355"/>
      <c r="J23" s="354"/>
      <c r="K23" s="350">
        <f t="shared" si="0"/>
        <v>14.255523586065308</v>
      </c>
      <c r="L23" s="354">
        <f t="shared" si="1"/>
        <v>14.784639624750335</v>
      </c>
    </row>
    <row r="24" spans="1:14" s="281" customFormat="1" ht="15">
      <c r="A24" s="326">
        <v>13</v>
      </c>
      <c r="B24" s="339" t="s">
        <v>42</v>
      </c>
      <c r="C24" s="352" t="s">
        <v>370</v>
      </c>
      <c r="D24" s="353"/>
      <c r="E24" s="350"/>
      <c r="F24" s="354"/>
      <c r="G24" s="355"/>
      <c r="H24" s="354"/>
      <c r="I24" s="355"/>
      <c r="J24" s="354"/>
      <c r="K24" s="350">
        <f t="shared" si="0"/>
        <v>0</v>
      </c>
      <c r="L24" s="354">
        <f t="shared" si="1"/>
        <v>0</v>
      </c>
      <c r="N24" s="281" t="str">
        <f aca="true" t="shared" si="3" ref="N24:N25">IF(AND(ISNUMBER(C24)=TRUE,C24&gt;0),ROUND(E24,5)=ROUND(C24*D24/10^3,5),"")</f>
        <v/>
      </c>
    </row>
    <row r="25" spans="1:14" s="281" customFormat="1" ht="15.75" thickBot="1">
      <c r="A25" s="326">
        <v>16</v>
      </c>
      <c r="B25" s="339" t="s">
        <v>26</v>
      </c>
      <c r="C25" s="352">
        <v>-50.713900000000024</v>
      </c>
      <c r="D25" s="353">
        <v>148.69016221563786</v>
      </c>
      <c r="E25" s="350">
        <f t="shared" si="2"/>
        <v>-7.540658017587639</v>
      </c>
      <c r="F25" s="354">
        <v>-7.820541325644072</v>
      </c>
      <c r="G25" s="355"/>
      <c r="H25" s="354"/>
      <c r="I25" s="355"/>
      <c r="J25" s="354"/>
      <c r="K25" s="350">
        <f t="shared" si="0"/>
        <v>-7.540658017587639</v>
      </c>
      <c r="L25" s="354">
        <f t="shared" si="1"/>
        <v>-7.820541325644072</v>
      </c>
      <c r="N25" s="281" t="str">
        <f t="shared" si="3"/>
        <v/>
      </c>
    </row>
    <row r="26" spans="1:12" s="281" customFormat="1" ht="15.75" thickBot="1">
      <c r="A26" s="326">
        <v>17</v>
      </c>
      <c r="B26" s="340" t="s">
        <v>9</v>
      </c>
      <c r="C26" s="356">
        <f>SUM(C17:C25)</f>
        <v>2026.6584650000002</v>
      </c>
      <c r="D26" s="357"/>
      <c r="E26" s="358">
        <f>SUM(E17:E25)</f>
        <v>301.34417591654557</v>
      </c>
      <c r="F26" s="358">
        <f>SUM(F17:F25)</f>
        <v>312.52903599405437</v>
      </c>
      <c r="G26" s="358">
        <v>0</v>
      </c>
      <c r="H26" s="359">
        <v>0</v>
      </c>
      <c r="I26" s="358">
        <v>0</v>
      </c>
      <c r="J26" s="359">
        <v>0</v>
      </c>
      <c r="K26" s="358">
        <f t="shared" si="0"/>
        <v>301.34417591654557</v>
      </c>
      <c r="L26" s="359">
        <f t="shared" si="1"/>
        <v>312.52903599405437</v>
      </c>
    </row>
    <row r="27" spans="3:12" s="281" customFormat="1" ht="15">
      <c r="C27" s="332"/>
      <c r="E27" s="332"/>
      <c r="F27" s="332"/>
      <c r="G27" s="332"/>
      <c r="H27" s="332"/>
      <c r="I27" s="332"/>
      <c r="J27" s="332"/>
      <c r="K27" s="332"/>
      <c r="L27" s="332"/>
    </row>
    <row r="28" s="281" customFormat="1" ht="15">
      <c r="B28" s="341"/>
    </row>
    <row r="29" spans="3:12" s="281" customFormat="1" ht="15.75" thickBot="1">
      <c r="C29" s="332"/>
      <c r="E29" s="332"/>
      <c r="F29" s="332"/>
      <c r="G29" s="332"/>
      <c r="H29" s="332"/>
      <c r="I29" s="332"/>
      <c r="J29" s="332"/>
      <c r="K29" s="332"/>
      <c r="L29" s="332"/>
    </row>
    <row r="30" spans="2:3" s="281" customFormat="1" ht="15.75" thickBot="1">
      <c r="B30" s="323"/>
      <c r="C30" s="342">
        <v>2020</v>
      </c>
    </row>
    <row r="31" spans="2:3" s="281" customFormat="1" ht="15">
      <c r="B31" s="343" t="s">
        <v>373</v>
      </c>
      <c r="C31" s="360">
        <v>96.42117730215585</v>
      </c>
    </row>
    <row r="32" spans="2:3" s="281" customFormat="1" ht="15.75" thickBot="1">
      <c r="B32" s="344" t="s">
        <v>374</v>
      </c>
      <c r="C32" s="361">
        <v>110.01437962519944</v>
      </c>
    </row>
    <row r="33" s="281" customFormat="1" ht="15"/>
    <row r="34" s="281" customFormat="1" ht="15"/>
    <row r="35" s="281" customFormat="1" ht="15">
      <c r="B35" s="281" t="s">
        <v>469</v>
      </c>
    </row>
    <row r="36" s="281" customFormat="1" ht="15"/>
  </sheetData>
  <mergeCells count="7">
    <mergeCell ref="K15:L15"/>
    <mergeCell ref="B15:B16"/>
    <mergeCell ref="C15:C16"/>
    <mergeCell ref="D15:D16"/>
    <mergeCell ref="E15:F15"/>
    <mergeCell ref="G15:H15"/>
    <mergeCell ref="I15:J15"/>
  </mergeCells>
  <conditionalFormatting sqref="C28">
    <cfRule type="cellIs" priority="11" dxfId="1" operator="equal">
      <formula>FALSE</formula>
    </cfRule>
    <cfRule type="cellIs" priority="12" dxfId="0" operator="equal">
      <formula>TRUE</formula>
    </cfRule>
  </conditionalFormatting>
  <conditionalFormatting sqref="E28">
    <cfRule type="cellIs" priority="9" dxfId="1" operator="equal">
      <formula>FALSE</formula>
    </cfRule>
    <cfRule type="cellIs" priority="10" dxfId="0" operator="equal">
      <formula>TRUE</formula>
    </cfRule>
  </conditionalFormatting>
  <conditionalFormatting sqref="F28">
    <cfRule type="cellIs" priority="7" dxfId="1" operator="equal">
      <formula>FALSE</formula>
    </cfRule>
    <cfRule type="cellIs" priority="8" dxfId="0" operator="equal">
      <formula>TRUE</formula>
    </cfRule>
  </conditionalFormatting>
  <conditionalFormatting sqref="K28">
    <cfRule type="cellIs" priority="5" dxfId="1" operator="equal">
      <formula>FALSE</formula>
    </cfRule>
    <cfRule type="cellIs" priority="6" dxfId="0" operator="equal">
      <formula>TRUE</formula>
    </cfRule>
  </conditionalFormatting>
  <conditionalFormatting sqref="L28">
    <cfRule type="cellIs" priority="3" dxfId="1" operator="equal">
      <formula>FALSE</formula>
    </cfRule>
    <cfRule type="cellIs" priority="4" dxfId="0" operator="equal">
      <formula>TRUE</formula>
    </cfRule>
  </conditionalFormatting>
  <conditionalFormatting sqref="N24:N26">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169</v>
      </c>
    </row>
    <row r="2" ht="4.5" customHeight="1"/>
    <row r="3" spans="2:9" ht="18.75">
      <c r="B3" s="62" t="s">
        <v>419</v>
      </c>
      <c r="C3" s="63"/>
      <c r="I3" s="6"/>
    </row>
    <row r="4" spans="2:3" ht="15">
      <c r="B4" s="27" t="s">
        <v>170</v>
      </c>
      <c r="C4" s="4"/>
    </row>
    <row r="5" spans="2:9" ht="15.75" thickBot="1">
      <c r="B5" s="27"/>
      <c r="C5" s="4"/>
      <c r="I5" s="62"/>
    </row>
    <row r="6" spans="2:9" ht="46.15" customHeight="1">
      <c r="B6" s="570"/>
      <c r="C6" s="92" t="s">
        <v>168</v>
      </c>
      <c r="D6" s="64" t="s">
        <v>437</v>
      </c>
      <c r="E6" s="65" t="s">
        <v>150</v>
      </c>
      <c r="I6" s="27"/>
    </row>
    <row r="7" spans="2:5" ht="15.75" thickBot="1">
      <c r="B7" s="571"/>
      <c r="C7" s="123" t="s">
        <v>379</v>
      </c>
      <c r="D7" s="119" t="s">
        <v>124</v>
      </c>
      <c r="E7" s="120" t="s">
        <v>380</v>
      </c>
    </row>
    <row r="8" spans="2:5" ht="15">
      <c r="B8" s="124" t="s">
        <v>171</v>
      </c>
      <c r="C8" s="441"/>
      <c r="D8" s="442"/>
      <c r="E8" s="444">
        <f>E9</f>
        <v>43.27073565613861</v>
      </c>
    </row>
    <row r="9" spans="2:5" ht="15.75" thickBot="1">
      <c r="B9" s="80" t="s">
        <v>172</v>
      </c>
      <c r="C9" s="488">
        <v>23.230692420993105</v>
      </c>
      <c r="D9" s="405">
        <v>1862653.72</v>
      </c>
      <c r="E9" s="417">
        <f>C9*D9/10^6</f>
        <v>43.27073565613861</v>
      </c>
    </row>
    <row r="10" spans="2:3" ht="15">
      <c r="B10" s="27"/>
      <c r="C10" s="4"/>
    </row>
    <row r="11" ht="14.25" customHeight="1" thickBot="1">
      <c r="C11" s="4"/>
    </row>
    <row r="12" spans="2:6" ht="16.5" customHeight="1">
      <c r="B12" s="574"/>
      <c r="C12" s="561" t="s">
        <v>125</v>
      </c>
      <c r="D12" s="562"/>
      <c r="E12" s="557" t="s">
        <v>141</v>
      </c>
      <c r="F12" s="559" t="s">
        <v>142</v>
      </c>
    </row>
    <row r="13" spans="2:6" ht="15">
      <c r="B13" s="575"/>
      <c r="C13" s="73" t="s">
        <v>10</v>
      </c>
      <c r="D13" s="125" t="s">
        <v>11</v>
      </c>
      <c r="E13" s="572"/>
      <c r="F13" s="573"/>
    </row>
    <row r="14" spans="2:6" ht="15.75" thickBot="1">
      <c r="B14" s="576"/>
      <c r="C14" s="126" t="s">
        <v>380</v>
      </c>
      <c r="D14" s="123" t="s">
        <v>380</v>
      </c>
      <c r="E14" s="126" t="s">
        <v>438</v>
      </c>
      <c r="F14" s="120" t="s">
        <v>438</v>
      </c>
    </row>
    <row r="15" spans="1:6" ht="15.75" thickBot="1">
      <c r="A15" s="9"/>
      <c r="B15" s="136" t="s">
        <v>171</v>
      </c>
      <c r="C15" s="439">
        <v>43.27073565613861</v>
      </c>
      <c r="D15" s="321">
        <v>42.26723993127442</v>
      </c>
      <c r="E15" s="440">
        <v>102.37416904083601</v>
      </c>
      <c r="F15" s="378">
        <v>94.8897204308741</v>
      </c>
    </row>
    <row r="16" ht="15">
      <c r="C16" s="13"/>
    </row>
    <row r="17" ht="15">
      <c r="B17" s="25"/>
    </row>
  </sheetData>
  <mergeCells count="5">
    <mergeCell ref="C12:D12"/>
    <mergeCell ref="E12:E13"/>
    <mergeCell ref="F12:F13"/>
    <mergeCell ref="B6:B7"/>
    <mergeCell ref="B12:B14"/>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173</v>
      </c>
    </row>
    <row r="2" ht="4.5" customHeight="1"/>
    <row r="3" spans="2:10" ht="18.75">
      <c r="B3" s="62" t="s">
        <v>418</v>
      </c>
      <c r="C3" s="63"/>
      <c r="J3" s="6"/>
    </row>
    <row r="4" spans="2:3" ht="15">
      <c r="B4" s="27" t="s">
        <v>174</v>
      </c>
      <c r="C4" s="4"/>
    </row>
    <row r="5" spans="2:10" ht="15.75" thickBot="1">
      <c r="B5" s="27"/>
      <c r="C5" s="4"/>
      <c r="J5" s="62"/>
    </row>
    <row r="6" spans="2:10" ht="46.15" customHeight="1">
      <c r="B6" s="570"/>
      <c r="C6" s="92" t="s">
        <v>167</v>
      </c>
      <c r="D6" s="64" t="s">
        <v>437</v>
      </c>
      <c r="E6" s="65" t="s">
        <v>150</v>
      </c>
      <c r="F6" s="65" t="s">
        <v>179</v>
      </c>
      <c r="G6" s="65" t="s">
        <v>155</v>
      </c>
      <c r="J6" s="27"/>
    </row>
    <row r="7" spans="2:7" ht="15.75" thickBot="1">
      <c r="B7" s="571"/>
      <c r="C7" s="123" t="s">
        <v>379</v>
      </c>
      <c r="D7" s="119" t="s">
        <v>124</v>
      </c>
      <c r="E7" s="120" t="s">
        <v>380</v>
      </c>
      <c r="F7" s="127" t="s">
        <v>154</v>
      </c>
      <c r="G7" s="120" t="s">
        <v>380</v>
      </c>
    </row>
    <row r="8" spans="2:7" ht="30">
      <c r="B8" s="124" t="s">
        <v>177</v>
      </c>
      <c r="C8" s="441"/>
      <c r="D8" s="442"/>
      <c r="E8" s="443">
        <f>SUM(E9:E11)</f>
        <v>430.79760930203713</v>
      </c>
      <c r="F8" s="444">
        <v>0</v>
      </c>
      <c r="G8" s="411">
        <f>E8-F8</f>
        <v>430.79760930203713</v>
      </c>
    </row>
    <row r="9" spans="2:7" ht="15">
      <c r="B9" s="85" t="s">
        <v>180</v>
      </c>
      <c r="C9" s="445">
        <v>0</v>
      </c>
      <c r="D9" s="445">
        <v>0</v>
      </c>
      <c r="E9" s="446">
        <f>C9*D9/10^6</f>
        <v>0</v>
      </c>
      <c r="F9" s="446"/>
      <c r="G9" s="447"/>
    </row>
    <row r="10" spans="2:7" ht="15">
      <c r="B10" s="85" t="s">
        <v>181</v>
      </c>
      <c r="C10" s="448">
        <v>114.3584599004949</v>
      </c>
      <c r="D10" s="449">
        <v>1862653.72</v>
      </c>
      <c r="E10" s="450">
        <f aca="true" t="shared" si="0" ref="E10:E11">C10*D10/10^6</f>
        <v>213.01021074712764</v>
      </c>
      <c r="F10" s="446"/>
      <c r="G10" s="447"/>
    </row>
    <row r="11" spans="2:7" ht="15.75" thickBot="1">
      <c r="B11" s="83" t="s">
        <v>182</v>
      </c>
      <c r="C11" s="451">
        <v>116.92318127435381</v>
      </c>
      <c r="D11" s="452">
        <v>1862653.72</v>
      </c>
      <c r="E11" s="452">
        <f t="shared" si="0"/>
        <v>217.78739855490946</v>
      </c>
      <c r="F11" s="453"/>
      <c r="G11" s="454"/>
    </row>
    <row r="12" spans="2:3" ht="15">
      <c r="B12" s="27"/>
      <c r="C12" s="4"/>
    </row>
    <row r="13" ht="14.25" customHeight="1" thickBot="1">
      <c r="C13" s="4"/>
    </row>
    <row r="14" spans="2:6" ht="16.5" customHeight="1">
      <c r="B14" s="574"/>
      <c r="C14" s="561" t="s">
        <v>125</v>
      </c>
      <c r="D14" s="562"/>
      <c r="E14" s="557" t="s">
        <v>141</v>
      </c>
      <c r="F14" s="559" t="s">
        <v>142</v>
      </c>
    </row>
    <row r="15" spans="2:6" ht="15">
      <c r="B15" s="575"/>
      <c r="C15" s="73" t="s">
        <v>10</v>
      </c>
      <c r="D15" s="125" t="s">
        <v>11</v>
      </c>
      <c r="E15" s="572"/>
      <c r="F15" s="573"/>
    </row>
    <row r="16" spans="2:6" ht="15.75" thickBot="1">
      <c r="B16" s="576"/>
      <c r="C16" s="126" t="s">
        <v>380</v>
      </c>
      <c r="D16" s="123" t="s">
        <v>380</v>
      </c>
      <c r="E16" s="126" t="s">
        <v>438</v>
      </c>
      <c r="F16" s="120" t="s">
        <v>438</v>
      </c>
    </row>
    <row r="17" spans="1:6" ht="15">
      <c r="A17" s="9"/>
      <c r="B17" s="121" t="s">
        <v>175</v>
      </c>
      <c r="C17" s="350">
        <v>430.79760930203713</v>
      </c>
      <c r="D17" s="424">
        <v>396.38167101006013</v>
      </c>
      <c r="E17" s="425">
        <v>108.68252515417231</v>
      </c>
      <c r="F17" s="426">
        <v>94.95268227707628</v>
      </c>
    </row>
    <row r="18" spans="1:6" ht="30">
      <c r="A18" s="9"/>
      <c r="B18" s="74" t="s">
        <v>176</v>
      </c>
      <c r="C18" s="431" t="s">
        <v>370</v>
      </c>
      <c r="D18" s="432">
        <v>0</v>
      </c>
      <c r="E18" s="425" t="e">
        <v>#VALUE!</v>
      </c>
      <c r="F18" s="429">
        <v>0</v>
      </c>
    </row>
    <row r="19" spans="1:6" ht="30">
      <c r="A19" s="9"/>
      <c r="B19" s="81" t="s">
        <v>177</v>
      </c>
      <c r="C19" s="455">
        <v>213.01021074712764</v>
      </c>
      <c r="D19" s="456">
        <v>208.07027079473576</v>
      </c>
      <c r="E19" s="425">
        <v>102.37416904083582</v>
      </c>
      <c r="F19" s="457">
        <v>88.02565280385227</v>
      </c>
    </row>
    <row r="20" spans="1:6" ht="30.75" thickBot="1">
      <c r="A20" s="9"/>
      <c r="B20" s="76" t="s">
        <v>178</v>
      </c>
      <c r="C20" s="433">
        <v>217.78739855490946</v>
      </c>
      <c r="D20" s="434">
        <v>188.31140021532434</v>
      </c>
      <c r="E20" s="425">
        <v>115.65279547912704</v>
      </c>
      <c r="F20" s="435">
        <v>103.99508886693327</v>
      </c>
    </row>
    <row r="21" ht="15">
      <c r="C21" s="13"/>
    </row>
    <row r="22" spans="2:4" ht="15">
      <c r="B22" s="25"/>
      <c r="D22" s="59"/>
    </row>
    <row r="23" ht="15">
      <c r="D23" s="59"/>
    </row>
    <row r="24" ht="15">
      <c r="D24" s="59"/>
    </row>
    <row r="25" ht="15">
      <c r="D25" s="59"/>
    </row>
  </sheetData>
  <mergeCells count="5">
    <mergeCell ref="C14:D14"/>
    <mergeCell ref="E14:E15"/>
    <mergeCell ref="F14:F15"/>
    <mergeCell ref="B6:B7"/>
    <mergeCell ref="B14:B16"/>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3"/>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183</v>
      </c>
    </row>
    <row r="2" ht="4.5" customHeight="1"/>
    <row r="3" spans="2:11" ht="18.75">
      <c r="B3" s="62" t="s">
        <v>417</v>
      </c>
      <c r="C3" s="63"/>
      <c r="K3" s="6"/>
    </row>
    <row r="4" spans="2:3" ht="15">
      <c r="B4" s="27" t="s">
        <v>184</v>
      </c>
      <c r="C4" s="4"/>
    </row>
    <row r="5" spans="2:11" ht="15.75" thickBot="1">
      <c r="B5" s="27"/>
      <c r="C5" s="4"/>
      <c r="K5" s="62"/>
    </row>
    <row r="6" spans="2:11" ht="46.15" customHeight="1">
      <c r="B6" s="570"/>
      <c r="C6" s="92" t="s">
        <v>168</v>
      </c>
      <c r="D6" s="64" t="s">
        <v>437</v>
      </c>
      <c r="E6" s="65" t="s">
        <v>150</v>
      </c>
      <c r="F6" s="65" t="s">
        <v>153</v>
      </c>
      <c r="G6" s="65" t="s">
        <v>155</v>
      </c>
      <c r="K6" s="27"/>
    </row>
    <row r="7" spans="2:7" ht="15.75" thickBot="1">
      <c r="B7" s="571"/>
      <c r="C7" s="123" t="s">
        <v>379</v>
      </c>
      <c r="D7" s="119" t="s">
        <v>124</v>
      </c>
      <c r="E7" s="120" t="s">
        <v>380</v>
      </c>
      <c r="F7" s="127" t="s">
        <v>154</v>
      </c>
      <c r="G7" s="120" t="s">
        <v>380</v>
      </c>
    </row>
    <row r="8" spans="2:7" ht="15">
      <c r="B8" s="124" t="s">
        <v>185</v>
      </c>
      <c r="C8" s="458"/>
      <c r="D8" s="459"/>
      <c r="E8" s="443">
        <f>SUM(E9:E10)</f>
        <v>28.90494536824759</v>
      </c>
      <c r="F8" s="444">
        <v>0</v>
      </c>
      <c r="G8" s="411">
        <f>E8*(100-F8)/100</f>
        <v>28.904945368247592</v>
      </c>
    </row>
    <row r="9" spans="2:7" ht="15">
      <c r="B9" s="86" t="s">
        <v>186</v>
      </c>
      <c r="C9" s="460">
        <v>15.51815297598503</v>
      </c>
      <c r="D9" s="449">
        <v>1862653.72</v>
      </c>
      <c r="E9" s="461">
        <f>C9*D9/10^6</f>
        <v>28.90494536824759</v>
      </c>
      <c r="F9" s="462"/>
      <c r="G9" s="463"/>
    </row>
    <row r="10" spans="2:7" ht="30.75" thickBot="1">
      <c r="B10" s="255" t="s">
        <v>187</v>
      </c>
      <c r="C10" s="416">
        <v>0</v>
      </c>
      <c r="D10" s="405">
        <v>0</v>
      </c>
      <c r="E10" s="417">
        <f>C10*D10/10^6</f>
        <v>0</v>
      </c>
      <c r="F10" s="417"/>
      <c r="G10" s="417"/>
    </row>
    <row r="11" spans="2:3" ht="15">
      <c r="B11" s="27"/>
      <c r="C11" s="4"/>
    </row>
    <row r="12" ht="14.25" customHeight="1" thickBot="1">
      <c r="C12" s="4"/>
    </row>
    <row r="13" spans="2:6" ht="16.5" customHeight="1">
      <c r="B13" s="574"/>
      <c r="C13" s="561" t="s">
        <v>125</v>
      </c>
      <c r="D13" s="562"/>
      <c r="E13" s="557" t="s">
        <v>141</v>
      </c>
      <c r="F13" s="559" t="s">
        <v>142</v>
      </c>
    </row>
    <row r="14" spans="2:6" ht="15">
      <c r="B14" s="575"/>
      <c r="C14" s="73" t="s">
        <v>10</v>
      </c>
      <c r="D14" s="125" t="s">
        <v>11</v>
      </c>
      <c r="E14" s="572"/>
      <c r="F14" s="573"/>
    </row>
    <row r="15" spans="2:6" ht="15.75" thickBot="1">
      <c r="B15" s="576"/>
      <c r="C15" s="126" t="s">
        <v>380</v>
      </c>
      <c r="D15" s="123" t="s">
        <v>380</v>
      </c>
      <c r="E15" s="126" t="s">
        <v>438</v>
      </c>
      <c r="F15" s="120" t="s">
        <v>438</v>
      </c>
    </row>
    <row r="16" spans="1:6" ht="15.75" thickBot="1">
      <c r="A16" s="9"/>
      <c r="B16" s="136" t="s">
        <v>185</v>
      </c>
      <c r="C16" s="464">
        <v>28.90494536824759</v>
      </c>
      <c r="D16" s="465">
        <v>28.234608045236214</v>
      </c>
      <c r="E16" s="466">
        <v>102.37416904083594</v>
      </c>
      <c r="F16" s="381">
        <v>96.86917933490558</v>
      </c>
    </row>
    <row r="17" ht="15">
      <c r="C17" s="13"/>
    </row>
    <row r="18" ht="15">
      <c r="B18" s="25"/>
    </row>
  </sheetData>
  <mergeCells count="5">
    <mergeCell ref="C13:D13"/>
    <mergeCell ref="E13:E14"/>
    <mergeCell ref="F13:F14"/>
    <mergeCell ref="B6:B7"/>
    <mergeCell ref="B13:B15"/>
  </mergeCells>
  <conditionalFormatting sqref="C18">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188</v>
      </c>
    </row>
    <row r="2" ht="4.5" customHeight="1"/>
    <row r="3" spans="2:11" ht="18.75">
      <c r="B3" s="62" t="s">
        <v>416</v>
      </c>
      <c r="C3" s="63"/>
      <c r="K3" s="6"/>
    </row>
    <row r="4" spans="2:3" ht="15">
      <c r="B4" s="27" t="s">
        <v>184</v>
      </c>
      <c r="C4" s="4"/>
    </row>
    <row r="5" spans="2:11" ht="15.75" thickBot="1">
      <c r="B5" s="27"/>
      <c r="C5" s="4"/>
      <c r="K5" s="62"/>
    </row>
    <row r="6" spans="2:11" ht="46.15" customHeight="1">
      <c r="B6" s="570"/>
      <c r="C6" s="92" t="s">
        <v>168</v>
      </c>
      <c r="D6" s="64" t="s">
        <v>437</v>
      </c>
      <c r="E6" s="65" t="s">
        <v>150</v>
      </c>
      <c r="F6" s="65" t="s">
        <v>153</v>
      </c>
      <c r="G6" s="65" t="s">
        <v>155</v>
      </c>
      <c r="K6" s="27"/>
    </row>
    <row r="7" spans="2:7" ht="15.75" thickBot="1">
      <c r="B7" s="571"/>
      <c r="C7" s="123" t="s">
        <v>379</v>
      </c>
      <c r="D7" s="119" t="s">
        <v>124</v>
      </c>
      <c r="E7" s="120" t="s">
        <v>380</v>
      </c>
      <c r="F7" s="127" t="s">
        <v>154</v>
      </c>
      <c r="G7" s="120" t="s">
        <v>380</v>
      </c>
    </row>
    <row r="8" spans="2:7" ht="15">
      <c r="B8" s="124" t="s">
        <v>189</v>
      </c>
      <c r="C8" s="458"/>
      <c r="D8" s="459"/>
      <c r="E8" s="443">
        <f>SUM(E9:E9)</f>
        <v>53.401787545153375</v>
      </c>
      <c r="F8" s="444">
        <v>0</v>
      </c>
      <c r="G8" s="411">
        <f>E8*(100-F8)/100</f>
        <v>53.401787545153375</v>
      </c>
    </row>
    <row r="9" spans="2:7" ht="30.75" thickBot="1">
      <c r="B9" s="87" t="s">
        <v>190</v>
      </c>
      <c r="C9" s="451">
        <v>28.669734460978272</v>
      </c>
      <c r="D9" s="452">
        <v>1862653.72</v>
      </c>
      <c r="E9" s="452">
        <f>C9*D9/10^6</f>
        <v>53.401787545153375</v>
      </c>
      <c r="F9" s="453"/>
      <c r="G9" s="454"/>
    </row>
    <row r="10" spans="2:3" ht="15">
      <c r="B10" s="27"/>
      <c r="C10" s="4"/>
    </row>
    <row r="11" ht="14.25" customHeight="1" thickBot="1">
      <c r="C11" s="4"/>
    </row>
    <row r="12" spans="2:6" ht="16.5" customHeight="1">
      <c r="B12" s="574"/>
      <c r="C12" s="561" t="s">
        <v>125</v>
      </c>
      <c r="D12" s="562"/>
      <c r="E12" s="557" t="s">
        <v>141</v>
      </c>
      <c r="F12" s="559" t="s">
        <v>142</v>
      </c>
    </row>
    <row r="13" spans="2:6" ht="15">
      <c r="B13" s="575"/>
      <c r="C13" s="73" t="s">
        <v>10</v>
      </c>
      <c r="D13" s="125" t="s">
        <v>11</v>
      </c>
      <c r="E13" s="572"/>
      <c r="F13" s="573"/>
    </row>
    <row r="14" spans="2:6" ht="15.75" thickBot="1">
      <c r="B14" s="576"/>
      <c r="C14" s="126" t="s">
        <v>380</v>
      </c>
      <c r="D14" s="123" t="s">
        <v>380</v>
      </c>
      <c r="E14" s="126" t="s">
        <v>438</v>
      </c>
      <c r="F14" s="120" t="s">
        <v>438</v>
      </c>
    </row>
    <row r="15" spans="1:6" ht="15.75" thickBot="1">
      <c r="A15" s="9"/>
      <c r="B15" s="136" t="s">
        <v>189</v>
      </c>
      <c r="C15" s="464">
        <v>53.40178754515337</v>
      </c>
      <c r="D15" s="465">
        <v>52.16334163733429</v>
      </c>
      <c r="E15" s="466">
        <v>102.37416904083594</v>
      </c>
      <c r="F15" s="381">
        <v>97.47881251509723</v>
      </c>
    </row>
    <row r="16" ht="15">
      <c r="C16" s="13"/>
    </row>
    <row r="17" ht="15">
      <c r="B17" s="25"/>
    </row>
  </sheetData>
  <mergeCells count="5">
    <mergeCell ref="B6:B7"/>
    <mergeCell ref="C12:D12"/>
    <mergeCell ref="E12:E13"/>
    <mergeCell ref="F12:F13"/>
    <mergeCell ref="B12:B14"/>
  </mergeCells>
  <conditionalFormatting sqref="C17">
    <cfRule type="cellIs" priority="1" dxfId="1" operator="equal">
      <formula>FALSE</formula>
    </cfRule>
    <cfRule type="cellIs" priority="2" dxfId="0" operator="equal">
      <formula>TRUE</formula>
    </cfRule>
  </conditionalFormatting>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7" width="20.7109375" style="5" customWidth="1"/>
    <col min="8" max="8" width="16.421875" style="5" customWidth="1"/>
    <col min="9" max="10" width="17.140625" style="5"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191</v>
      </c>
    </row>
    <row r="2" ht="4.5" customHeight="1"/>
    <row r="3" spans="2:11" ht="18.75">
      <c r="B3" s="62" t="s">
        <v>415</v>
      </c>
      <c r="C3" s="63"/>
      <c r="K3" s="6"/>
    </row>
    <row r="4" spans="2:3" ht="15">
      <c r="B4" s="27" t="s">
        <v>192</v>
      </c>
      <c r="C4" s="4"/>
    </row>
    <row r="5" spans="2:11" ht="15.75" thickBot="1">
      <c r="B5" s="27"/>
      <c r="C5" s="4"/>
      <c r="K5" s="62"/>
    </row>
    <row r="6" spans="2:11" ht="15">
      <c r="B6" s="570"/>
      <c r="C6" s="580" t="s">
        <v>168</v>
      </c>
      <c r="D6" s="582" t="s">
        <v>437</v>
      </c>
      <c r="E6" s="582" t="s">
        <v>150</v>
      </c>
      <c r="F6" s="273" t="s">
        <v>197</v>
      </c>
      <c r="G6" s="577" t="s">
        <v>155</v>
      </c>
      <c r="K6" s="27"/>
    </row>
    <row r="7" spans="2:7" ht="96">
      <c r="B7" s="579"/>
      <c r="C7" s="581"/>
      <c r="D7" s="583"/>
      <c r="E7" s="583"/>
      <c r="F7" s="137" t="s">
        <v>196</v>
      </c>
      <c r="G7" s="578"/>
    </row>
    <row r="8" spans="2:7" ht="15.75" thickBot="1">
      <c r="B8" s="571"/>
      <c r="C8" s="123" t="s">
        <v>379</v>
      </c>
      <c r="D8" s="119" t="s">
        <v>124</v>
      </c>
      <c r="E8" s="140" t="s">
        <v>380</v>
      </c>
      <c r="F8" s="119" t="s">
        <v>380</v>
      </c>
      <c r="G8" s="141" t="s">
        <v>380</v>
      </c>
    </row>
    <row r="9" spans="2:7" ht="15">
      <c r="B9" s="124" t="s">
        <v>193</v>
      </c>
      <c r="C9" s="518"/>
      <c r="D9" s="519"/>
      <c r="E9" s="531">
        <f>E10</f>
        <v>0</v>
      </c>
      <c r="F9" s="532">
        <v>0</v>
      </c>
      <c r="G9" s="536">
        <v>165.468992</v>
      </c>
    </row>
    <row r="10" spans="2:7" ht="15.75" thickBot="1">
      <c r="B10" s="87" t="s">
        <v>195</v>
      </c>
      <c r="C10" s="528"/>
      <c r="D10" s="533"/>
      <c r="E10" s="534">
        <f>C10*D10/10^6</f>
        <v>0</v>
      </c>
      <c r="F10" s="535"/>
      <c r="G10" s="537"/>
    </row>
    <row r="11" spans="2:3" ht="15">
      <c r="B11" s="27"/>
      <c r="C11" s="4"/>
    </row>
    <row r="12" ht="14.25" customHeight="1" thickBot="1">
      <c r="C12" s="4"/>
    </row>
    <row r="13" spans="2:6" ht="16.5" customHeight="1">
      <c r="B13" s="574"/>
      <c r="C13" s="561" t="s">
        <v>125</v>
      </c>
      <c r="D13" s="562"/>
      <c r="E13" s="557" t="s">
        <v>141</v>
      </c>
      <c r="F13" s="559" t="s">
        <v>198</v>
      </c>
    </row>
    <row r="14" spans="2:6" ht="15">
      <c r="B14" s="575"/>
      <c r="C14" s="73" t="s">
        <v>10</v>
      </c>
      <c r="D14" s="125" t="s">
        <v>11</v>
      </c>
      <c r="E14" s="572"/>
      <c r="F14" s="573"/>
    </row>
    <row r="15" spans="2:6" ht="15.75" thickBot="1">
      <c r="B15" s="576"/>
      <c r="C15" s="126" t="s">
        <v>380</v>
      </c>
      <c r="D15" s="123" t="s">
        <v>380</v>
      </c>
      <c r="E15" s="126" t="s">
        <v>438</v>
      </c>
      <c r="F15" s="120" t="s">
        <v>438</v>
      </c>
    </row>
    <row r="16" spans="1:6" ht="15.75" thickBot="1">
      <c r="A16" s="9"/>
      <c r="B16" s="136" t="s">
        <v>194</v>
      </c>
      <c r="C16" s="464">
        <v>165.468992</v>
      </c>
      <c r="D16" s="465">
        <v>161.63158494990677</v>
      </c>
      <c r="E16" s="466">
        <v>102.37416904083601</v>
      </c>
      <c r="F16" s="381">
        <v>118.65948715649866</v>
      </c>
    </row>
    <row r="17" ht="15">
      <c r="C17" s="13"/>
    </row>
    <row r="18" ht="15">
      <c r="B18" s="25"/>
    </row>
    <row r="19" ht="15">
      <c r="B19" s="5" t="s">
        <v>555</v>
      </c>
    </row>
    <row r="22" ht="15.75" thickBot="1"/>
    <row r="23" spans="2:10" ht="15.75" thickBot="1">
      <c r="B23" s="511" t="s">
        <v>554</v>
      </c>
      <c r="C23" s="512" t="s">
        <v>546</v>
      </c>
      <c r="D23" s="513" t="s">
        <v>547</v>
      </c>
      <c r="E23" s="513" t="s">
        <v>548</v>
      </c>
      <c r="F23" s="514" t="s">
        <v>549</v>
      </c>
      <c r="G23" s="512" t="s">
        <v>550</v>
      </c>
      <c r="H23" s="512" t="s">
        <v>551</v>
      </c>
      <c r="I23" s="513" t="s">
        <v>552</v>
      </c>
      <c r="J23" s="515" t="s">
        <v>553</v>
      </c>
    </row>
    <row r="24" spans="2:10" ht="15.75" thickBot="1">
      <c r="B24" s="516">
        <f>SUM(C24:J24)</f>
        <v>165.468992</v>
      </c>
      <c r="C24" s="507">
        <v>13.668844395704005</v>
      </c>
      <c r="D24" s="508">
        <v>3.457242799783036</v>
      </c>
      <c r="E24" s="509">
        <v>26.552119013046326</v>
      </c>
      <c r="F24" s="510">
        <v>5.531990278267074</v>
      </c>
      <c r="G24" s="506">
        <v>37.83653895519585</v>
      </c>
      <c r="H24" s="507">
        <v>6.488691392390347</v>
      </c>
      <c r="I24" s="508">
        <v>41.63367920622509</v>
      </c>
      <c r="J24" s="517">
        <v>30.299885959388273</v>
      </c>
    </row>
  </sheetData>
  <mergeCells count="9">
    <mergeCell ref="G6:G7"/>
    <mergeCell ref="C13:D13"/>
    <mergeCell ref="E13:E14"/>
    <mergeCell ref="F13:F14"/>
    <mergeCell ref="B13:B15"/>
    <mergeCell ref="B6:B8"/>
    <mergeCell ref="C6:C7"/>
    <mergeCell ref="D6:D7"/>
    <mergeCell ref="E6:E7"/>
  </mergeCells>
  <conditionalFormatting sqref="C18">
    <cfRule type="cellIs" priority="9" dxfId="1" operator="equal">
      <formula>FALSE</formula>
    </cfRule>
    <cfRule type="cellIs" priority="10" dxfId="0" operator="equal">
      <formula>TRUE</formula>
    </cfRule>
  </conditionalFormatting>
  <conditionalFormatting sqref="B21">
    <cfRule type="cellIs" priority="7" dxfId="1" operator="equal">
      <formula>FALSE</formula>
    </cfRule>
    <cfRule type="cellIs" priority="8" dxfId="0" operator="equal">
      <formula>TRUE</formula>
    </cfRule>
  </conditionalFormatting>
  <conditionalFormatting sqref="C21">
    <cfRule type="cellIs" priority="5" dxfId="1" operator="equal">
      <formula>FALSE</formula>
    </cfRule>
    <cfRule type="cellIs" priority="6" dxfId="0" operator="equal">
      <formula>TRUE</formula>
    </cfRule>
  </conditionalFormatting>
  <conditionalFormatting sqref="H21">
    <cfRule type="cellIs" priority="3" dxfId="1" operator="equal">
      <formula>FALSE</formula>
    </cfRule>
    <cfRule type="cellIs" priority="4" dxfId="0" operator="equal">
      <formula>TRUE</formula>
    </cfRule>
  </conditionalFormatting>
  <conditionalFormatting sqref="I21">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199</v>
      </c>
    </row>
    <row r="2" ht="4.5" customHeight="1"/>
    <row r="3" spans="2:3" ht="15">
      <c r="B3" s="62" t="s">
        <v>414</v>
      </c>
      <c r="C3" s="63"/>
    </row>
    <row r="4" spans="2:9" ht="18.75">
      <c r="B4" s="27" t="s">
        <v>200</v>
      </c>
      <c r="C4" s="4"/>
      <c r="I4" s="6"/>
    </row>
    <row r="5" spans="2:3" ht="15.75" thickBot="1">
      <c r="B5" s="27"/>
      <c r="C5" s="4"/>
    </row>
    <row r="6" spans="2:9" ht="27.6" customHeight="1">
      <c r="B6" s="93" t="s">
        <v>202</v>
      </c>
      <c r="C6" s="94"/>
      <c r="I6" s="62"/>
    </row>
    <row r="7" spans="2:9" ht="14.25" customHeight="1">
      <c r="B7" s="55" t="s">
        <v>203</v>
      </c>
      <c r="C7" s="263">
        <v>0</v>
      </c>
      <c r="I7" s="27"/>
    </row>
    <row r="8" spans="2:3" ht="14.25" customHeight="1">
      <c r="B8" s="55" t="s">
        <v>204</v>
      </c>
      <c r="C8" s="263">
        <v>0</v>
      </c>
    </row>
    <row r="9" spans="2:3" ht="14.25" customHeight="1">
      <c r="B9" s="34" t="s">
        <v>381</v>
      </c>
      <c r="C9" s="29"/>
    </row>
    <row r="10" spans="2:3" ht="14.25" customHeight="1">
      <c r="B10" s="55" t="s">
        <v>24</v>
      </c>
      <c r="C10" s="259">
        <v>0</v>
      </c>
    </row>
    <row r="11" spans="2:3" ht="14.25" customHeight="1">
      <c r="B11" s="55" t="s">
        <v>25</v>
      </c>
      <c r="C11" s="259">
        <v>0</v>
      </c>
    </row>
    <row r="12" spans="2:3" ht="14.25" customHeight="1">
      <c r="B12" s="34" t="s">
        <v>382</v>
      </c>
      <c r="C12" s="142">
        <f>SUM(C13:C14)</f>
        <v>0</v>
      </c>
    </row>
    <row r="13" spans="2:3" ht="14.25" customHeight="1">
      <c r="B13" s="40" t="s">
        <v>203</v>
      </c>
      <c r="C13" s="143">
        <f>C7*C10</f>
        <v>0</v>
      </c>
    </row>
    <row r="14" spans="2:3" ht="14.25" customHeight="1" thickBot="1">
      <c r="B14" s="95" t="s">
        <v>204</v>
      </c>
      <c r="C14" s="144">
        <f aca="true" t="shared" si="0" ref="C14">C8*C11</f>
        <v>0</v>
      </c>
    </row>
    <row r="15" spans="2:3" ht="15">
      <c r="B15" s="27"/>
      <c r="C15" s="4"/>
    </row>
    <row r="16" ht="14.25" customHeight="1" thickBot="1">
      <c r="C16" s="4"/>
    </row>
    <row r="17" spans="2:7" ht="16.5" customHeight="1">
      <c r="B17" s="574"/>
      <c r="C17" s="561" t="s">
        <v>125</v>
      </c>
      <c r="D17" s="562"/>
      <c r="E17" s="557" t="s">
        <v>141</v>
      </c>
      <c r="F17" s="559" t="s">
        <v>198</v>
      </c>
      <c r="G17" s="88"/>
    </row>
    <row r="18" spans="2:7" ht="15">
      <c r="B18" s="575"/>
      <c r="C18" s="73" t="s">
        <v>10</v>
      </c>
      <c r="D18" s="125" t="s">
        <v>11</v>
      </c>
      <c r="E18" s="572"/>
      <c r="F18" s="573"/>
      <c r="G18" s="88"/>
    </row>
    <row r="19" spans="2:7" ht="15.75" thickBot="1">
      <c r="B19" s="576"/>
      <c r="C19" s="126" t="s">
        <v>380</v>
      </c>
      <c r="D19" s="123" t="s">
        <v>380</v>
      </c>
      <c r="E19" s="126" t="s">
        <v>438</v>
      </c>
      <c r="F19" s="120" t="s">
        <v>438</v>
      </c>
      <c r="G19" s="89"/>
    </row>
    <row r="20" spans="1:7" ht="15.75" thickBot="1">
      <c r="A20" s="9"/>
      <c r="B20" s="136" t="s">
        <v>201</v>
      </c>
      <c r="C20" s="464">
        <v>18.77</v>
      </c>
      <c r="D20" s="465">
        <v>18.334703153988816</v>
      </c>
      <c r="E20" s="466">
        <v>102.37416904083601</v>
      </c>
      <c r="F20" s="381">
        <v>159.73778667005416</v>
      </c>
      <c r="G20" s="59"/>
    </row>
    <row r="21" ht="15">
      <c r="C21" s="13"/>
    </row>
    <row r="22" ht="15">
      <c r="B22" s="25"/>
    </row>
    <row r="24" ht="15">
      <c r="B24" s="5" t="s">
        <v>477</v>
      </c>
    </row>
  </sheetData>
  <mergeCells count="4">
    <mergeCell ref="C17:D17"/>
    <mergeCell ref="E17:E18"/>
    <mergeCell ref="F17:F18"/>
    <mergeCell ref="B17:B19"/>
  </mergeCells>
  <conditionalFormatting sqref="C22">
    <cfRule type="cellIs" priority="1" dxfId="1" operator="equal">
      <formula>FALSE</formula>
    </cfRule>
    <cfRule type="cellIs" priority="2" dxfId="0" operator="equal">
      <formula>TRUE</formula>
    </cfRule>
  </conditionalFormatting>
  <printOptions/>
  <pageMargins left="0.7" right="0.7" top="0.787401575" bottom="0.7874015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90" zoomScaleNormal="90" workbookViewId="0" topLeftCell="A22">
      <selection activeCell="O22" sqref="O22"/>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205</v>
      </c>
    </row>
    <row r="2" ht="4.5" customHeight="1"/>
    <row r="3" spans="2:9" ht="18.75">
      <c r="B3" s="62" t="s">
        <v>413</v>
      </c>
      <c r="C3" s="63"/>
      <c r="I3" s="6"/>
    </row>
    <row r="4" spans="2:3" ht="15">
      <c r="B4" s="27" t="s">
        <v>206</v>
      </c>
      <c r="C4" s="4"/>
    </row>
    <row r="5" spans="2:9" ht="15.75" thickBot="1">
      <c r="B5" s="27"/>
      <c r="C5" s="4"/>
      <c r="I5" s="62"/>
    </row>
    <row r="6" spans="2:9" ht="16.5" customHeight="1">
      <c r="B6" s="584" t="s">
        <v>238</v>
      </c>
      <c r="C6" s="561" t="s">
        <v>125</v>
      </c>
      <c r="D6" s="562"/>
      <c r="E6" s="557" t="s">
        <v>141</v>
      </c>
      <c r="F6" s="559" t="s">
        <v>198</v>
      </c>
      <c r="G6" s="88"/>
      <c r="I6" s="27"/>
    </row>
    <row r="7" spans="2:7" ht="15">
      <c r="B7" s="585"/>
      <c r="C7" s="73" t="s">
        <v>10</v>
      </c>
      <c r="D7" s="125" t="s">
        <v>11</v>
      </c>
      <c r="E7" s="572"/>
      <c r="F7" s="573"/>
      <c r="G7" s="88"/>
    </row>
    <row r="8" spans="2:7" ht="15.75" thickBot="1">
      <c r="B8" s="586"/>
      <c r="C8" s="126" t="s">
        <v>380</v>
      </c>
      <c r="D8" s="123" t="s">
        <v>380</v>
      </c>
      <c r="E8" s="126" t="s">
        <v>438</v>
      </c>
      <c r="F8" s="120" t="s">
        <v>438</v>
      </c>
      <c r="G8" s="89"/>
    </row>
    <row r="9" spans="2:6" ht="15">
      <c r="B9" s="124" t="s">
        <v>209</v>
      </c>
      <c r="C9" s="105">
        <v>0</v>
      </c>
      <c r="D9" s="133">
        <v>0</v>
      </c>
      <c r="E9" s="134">
        <v>0</v>
      </c>
      <c r="F9" s="135">
        <v>0</v>
      </c>
    </row>
    <row r="10" spans="2:6" ht="15">
      <c r="B10" s="96" t="s">
        <v>210</v>
      </c>
      <c r="C10" s="75">
        <v>0</v>
      </c>
      <c r="D10" s="77">
        <v>0</v>
      </c>
      <c r="E10" s="78">
        <v>0</v>
      </c>
      <c r="F10" s="97">
        <v>0</v>
      </c>
    </row>
    <row r="11" spans="2:6" ht="15">
      <c r="B11" s="96" t="s">
        <v>211</v>
      </c>
      <c r="C11" s="75">
        <v>0</v>
      </c>
      <c r="D11" s="77">
        <v>0</v>
      </c>
      <c r="E11" s="78">
        <v>0</v>
      </c>
      <c r="F11" s="97">
        <v>0</v>
      </c>
    </row>
    <row r="12" spans="2:6" ht="15">
      <c r="B12" s="96" t="s">
        <v>212</v>
      </c>
      <c r="C12" s="75">
        <v>0</v>
      </c>
      <c r="D12" s="77">
        <v>0</v>
      </c>
      <c r="E12" s="78">
        <v>0</v>
      </c>
      <c r="F12" s="97">
        <v>0</v>
      </c>
    </row>
    <row r="13" spans="2:6" ht="15">
      <c r="B13" s="96" t="s">
        <v>456</v>
      </c>
      <c r="C13" s="75">
        <v>0</v>
      </c>
      <c r="D13" s="77">
        <v>0</v>
      </c>
      <c r="E13" s="78">
        <v>0</v>
      </c>
      <c r="F13" s="97">
        <v>0</v>
      </c>
    </row>
    <row r="14" spans="2:6" ht="15">
      <c r="B14" s="96" t="s">
        <v>213</v>
      </c>
      <c r="C14" s="75">
        <v>0</v>
      </c>
      <c r="D14" s="77">
        <v>0</v>
      </c>
      <c r="E14" s="78">
        <v>0</v>
      </c>
      <c r="F14" s="97">
        <v>0</v>
      </c>
    </row>
    <row r="15" spans="2:6" ht="15">
      <c r="B15" s="96" t="s">
        <v>214</v>
      </c>
      <c r="C15" s="75">
        <v>0</v>
      </c>
      <c r="D15" s="77">
        <v>0</v>
      </c>
      <c r="E15" s="78">
        <v>0</v>
      </c>
      <c r="F15" s="97">
        <v>0</v>
      </c>
    </row>
    <row r="16" spans="2:6" ht="15">
      <c r="B16" s="96" t="s">
        <v>215</v>
      </c>
      <c r="C16" s="75">
        <v>0</v>
      </c>
      <c r="D16" s="77">
        <v>0</v>
      </c>
      <c r="E16" s="78">
        <v>0</v>
      </c>
      <c r="F16" s="97">
        <v>0</v>
      </c>
    </row>
    <row r="17" spans="2:6" ht="15">
      <c r="B17" s="96" t="s">
        <v>216</v>
      </c>
      <c r="C17" s="75">
        <v>0</v>
      </c>
      <c r="D17" s="77">
        <v>0</v>
      </c>
      <c r="E17" s="78">
        <v>0</v>
      </c>
      <c r="F17" s="97">
        <v>0</v>
      </c>
    </row>
    <row r="18" spans="2:6" ht="15">
      <c r="B18" s="96" t="s">
        <v>207</v>
      </c>
      <c r="C18" s="75">
        <v>0</v>
      </c>
      <c r="D18" s="77">
        <v>0</v>
      </c>
      <c r="E18" s="78">
        <v>0</v>
      </c>
      <c r="F18" s="97">
        <v>0</v>
      </c>
    </row>
    <row r="19" spans="2:6" ht="15">
      <c r="B19" s="96" t="s">
        <v>218</v>
      </c>
      <c r="C19" s="75">
        <v>0</v>
      </c>
      <c r="D19" s="77">
        <v>0</v>
      </c>
      <c r="E19" s="78">
        <v>0</v>
      </c>
      <c r="F19" s="97">
        <v>0</v>
      </c>
    </row>
    <row r="20" spans="2:6" ht="15">
      <c r="B20" s="96" t="s">
        <v>219</v>
      </c>
      <c r="C20" s="75">
        <v>0</v>
      </c>
      <c r="D20" s="77">
        <v>0</v>
      </c>
      <c r="E20" s="78">
        <v>0</v>
      </c>
      <c r="F20" s="97">
        <v>0</v>
      </c>
    </row>
    <row r="21" spans="2:6" ht="15">
      <c r="B21" s="96" t="s">
        <v>220</v>
      </c>
      <c r="C21" s="75">
        <v>0</v>
      </c>
      <c r="D21" s="77">
        <v>0</v>
      </c>
      <c r="E21" s="78">
        <v>0</v>
      </c>
      <c r="F21" s="97">
        <v>0</v>
      </c>
    </row>
    <row r="22" spans="2:6" ht="30">
      <c r="B22" s="96" t="s">
        <v>221</v>
      </c>
      <c r="C22" s="75">
        <v>0</v>
      </c>
      <c r="D22" s="77">
        <v>0</v>
      </c>
      <c r="E22" s="78">
        <v>0</v>
      </c>
      <c r="F22" s="97">
        <v>0</v>
      </c>
    </row>
    <row r="23" spans="2:6" ht="15">
      <c r="B23" s="96" t="s">
        <v>225</v>
      </c>
      <c r="C23" s="75">
        <v>0</v>
      </c>
      <c r="D23" s="77">
        <v>0</v>
      </c>
      <c r="E23" s="78">
        <v>0</v>
      </c>
      <c r="F23" s="97">
        <v>0</v>
      </c>
    </row>
    <row r="24" spans="2:6" ht="15">
      <c r="B24" s="96" t="s">
        <v>222</v>
      </c>
      <c r="C24" s="75">
        <v>0</v>
      </c>
      <c r="D24" s="77">
        <v>0</v>
      </c>
      <c r="E24" s="78">
        <v>0</v>
      </c>
      <c r="F24" s="97">
        <v>0</v>
      </c>
    </row>
    <row r="25" spans="2:6" ht="15">
      <c r="B25" s="96" t="s">
        <v>223</v>
      </c>
      <c r="C25" s="75">
        <v>0</v>
      </c>
      <c r="D25" s="77">
        <v>0</v>
      </c>
      <c r="E25" s="78">
        <v>0</v>
      </c>
      <c r="F25" s="97">
        <v>0</v>
      </c>
    </row>
    <row r="26" spans="2:6" ht="30">
      <c r="B26" s="96" t="s">
        <v>224</v>
      </c>
      <c r="C26" s="75">
        <v>0</v>
      </c>
      <c r="D26" s="77">
        <v>0</v>
      </c>
      <c r="E26" s="78">
        <v>0</v>
      </c>
      <c r="F26" s="97">
        <v>0</v>
      </c>
    </row>
    <row r="27" spans="2:6" ht="30">
      <c r="B27" s="96" t="s">
        <v>226</v>
      </c>
      <c r="C27" s="75">
        <v>0</v>
      </c>
      <c r="D27" s="77">
        <v>0</v>
      </c>
      <c r="E27" s="78">
        <v>0</v>
      </c>
      <c r="F27" s="97">
        <v>0</v>
      </c>
    </row>
    <row r="28" spans="2:6" ht="15">
      <c r="B28" s="96" t="s">
        <v>227</v>
      </c>
      <c r="C28" s="75">
        <v>0</v>
      </c>
      <c r="D28" s="77">
        <v>0</v>
      </c>
      <c r="E28" s="78">
        <v>0</v>
      </c>
      <c r="F28" s="97">
        <v>0</v>
      </c>
    </row>
    <row r="29" spans="2:6" ht="30">
      <c r="B29" s="96" t="s">
        <v>228</v>
      </c>
      <c r="C29" s="75">
        <v>0</v>
      </c>
      <c r="D29" s="77">
        <v>0</v>
      </c>
      <c r="E29" s="78">
        <v>0</v>
      </c>
      <c r="F29" s="97">
        <v>0</v>
      </c>
    </row>
    <row r="30" spans="2:6" ht="15">
      <c r="B30" s="96" t="s">
        <v>441</v>
      </c>
      <c r="C30" s="75">
        <v>0</v>
      </c>
      <c r="D30" s="77">
        <v>0</v>
      </c>
      <c r="E30" s="78">
        <v>0</v>
      </c>
      <c r="F30" s="97">
        <v>0</v>
      </c>
    </row>
    <row r="31" spans="2:6" ht="15">
      <c r="B31" s="96" t="s">
        <v>442</v>
      </c>
      <c r="C31" s="75">
        <v>0</v>
      </c>
      <c r="D31" s="77">
        <v>0</v>
      </c>
      <c r="E31" s="78">
        <v>0</v>
      </c>
      <c r="F31" s="97">
        <v>0</v>
      </c>
    </row>
    <row r="32" spans="2:6" ht="15">
      <c r="B32" s="96" t="s">
        <v>443</v>
      </c>
      <c r="C32" s="75">
        <v>0</v>
      </c>
      <c r="D32" s="77">
        <v>0</v>
      </c>
      <c r="E32" s="78">
        <v>0</v>
      </c>
      <c r="F32" s="97">
        <v>0</v>
      </c>
    </row>
    <row r="33" spans="2:6" ht="15">
      <c r="B33" s="96" t="s">
        <v>229</v>
      </c>
      <c r="C33" s="75">
        <v>0</v>
      </c>
      <c r="D33" s="77">
        <v>0</v>
      </c>
      <c r="E33" s="78">
        <v>0</v>
      </c>
      <c r="F33" s="97">
        <v>0</v>
      </c>
    </row>
    <row r="34" spans="2:6" ht="15">
      <c r="B34" s="96" t="s">
        <v>230</v>
      </c>
      <c r="C34" s="75">
        <v>0</v>
      </c>
      <c r="D34" s="77">
        <v>0</v>
      </c>
      <c r="E34" s="78">
        <v>0</v>
      </c>
      <c r="F34" s="97">
        <v>0</v>
      </c>
    </row>
    <row r="35" spans="2:6" ht="30">
      <c r="B35" s="96" t="s">
        <v>231</v>
      </c>
      <c r="C35" s="75">
        <v>0</v>
      </c>
      <c r="D35" s="77">
        <v>0</v>
      </c>
      <c r="E35" s="78">
        <v>0</v>
      </c>
      <c r="F35" s="97">
        <v>0</v>
      </c>
    </row>
    <row r="36" spans="2:6" ht="30">
      <c r="B36" s="96" t="s">
        <v>232</v>
      </c>
      <c r="C36" s="75">
        <v>0</v>
      </c>
      <c r="D36" s="77">
        <v>0</v>
      </c>
      <c r="E36" s="78">
        <v>0</v>
      </c>
      <c r="F36" s="97">
        <v>0</v>
      </c>
    </row>
    <row r="37" spans="2:6" ht="15">
      <c r="B37" s="96" t="s">
        <v>233</v>
      </c>
      <c r="C37" s="75">
        <v>0</v>
      </c>
      <c r="D37" s="77">
        <v>0</v>
      </c>
      <c r="E37" s="78">
        <v>0</v>
      </c>
      <c r="F37" s="97">
        <v>0</v>
      </c>
    </row>
    <row r="38" spans="2:6" ht="15">
      <c r="B38" s="96" t="s">
        <v>234</v>
      </c>
      <c r="C38" s="75">
        <v>0</v>
      </c>
      <c r="D38" s="77">
        <v>0</v>
      </c>
      <c r="E38" s="78">
        <v>0</v>
      </c>
      <c r="F38" s="97">
        <v>0</v>
      </c>
    </row>
    <row r="39" spans="2:6" ht="15">
      <c r="B39" s="96" t="s">
        <v>235</v>
      </c>
      <c r="C39" s="75">
        <v>0</v>
      </c>
      <c r="D39" s="77">
        <v>0</v>
      </c>
      <c r="E39" s="78">
        <v>0</v>
      </c>
      <c r="F39" s="97">
        <v>0</v>
      </c>
    </row>
    <row r="40" spans="2:6" ht="30">
      <c r="B40" s="96" t="s">
        <v>236</v>
      </c>
      <c r="C40" s="75">
        <v>0</v>
      </c>
      <c r="D40" s="77">
        <v>0</v>
      </c>
      <c r="E40" s="78">
        <v>0</v>
      </c>
      <c r="F40" s="97">
        <v>0</v>
      </c>
    </row>
    <row r="41" spans="2:6" ht="15.75" thickBot="1">
      <c r="B41" s="101" t="s">
        <v>217</v>
      </c>
      <c r="C41" s="75">
        <v>0</v>
      </c>
      <c r="D41" s="77">
        <v>0</v>
      </c>
      <c r="E41" s="78">
        <v>0</v>
      </c>
      <c r="F41" s="97">
        <v>0</v>
      </c>
    </row>
    <row r="42" spans="1:7" ht="15.75" thickBot="1">
      <c r="A42" s="9"/>
      <c r="B42" s="145" t="s">
        <v>208</v>
      </c>
      <c r="C42" s="23">
        <v>0</v>
      </c>
      <c r="D42" s="146">
        <v>0</v>
      </c>
      <c r="E42" s="51">
        <v>0</v>
      </c>
      <c r="F42" s="147">
        <v>0</v>
      </c>
      <c r="G42" s="59"/>
    </row>
    <row r="44" spans="2:4" ht="15.75" thickBot="1">
      <c r="B44" s="98"/>
      <c r="C44" s="99"/>
      <c r="D44" s="99"/>
    </row>
    <row r="45" spans="2:6" ht="15">
      <c r="B45" s="584" t="s">
        <v>238</v>
      </c>
      <c r="C45" s="561" t="s">
        <v>125</v>
      </c>
      <c r="D45" s="562"/>
      <c r="E45" s="557" t="s">
        <v>141</v>
      </c>
      <c r="F45" s="559" t="s">
        <v>198</v>
      </c>
    </row>
    <row r="46" spans="2:6" ht="15">
      <c r="B46" s="585"/>
      <c r="C46" s="73" t="s">
        <v>10</v>
      </c>
      <c r="D46" s="125" t="s">
        <v>11</v>
      </c>
      <c r="E46" s="572"/>
      <c r="F46" s="573"/>
    </row>
    <row r="47" spans="2:6" ht="15.75" thickBot="1">
      <c r="B47" s="586"/>
      <c r="C47" s="126" t="s">
        <v>380</v>
      </c>
      <c r="D47" s="123" t="s">
        <v>380</v>
      </c>
      <c r="E47" s="126" t="s">
        <v>438</v>
      </c>
      <c r="F47" s="120" t="s">
        <v>438</v>
      </c>
    </row>
    <row r="48" spans="2:6" ht="15.75" thickBot="1">
      <c r="B48" s="136" t="s">
        <v>527</v>
      </c>
      <c r="C48" s="464">
        <v>226.468899887528</v>
      </c>
      <c r="D48" s="465">
        <v>236.3059887423977</v>
      </c>
      <c r="E48" s="466">
        <v>95.83713941943583</v>
      </c>
      <c r="F48" s="381">
        <v>98.73288143976411</v>
      </c>
    </row>
    <row r="49" spans="2:6" ht="15.75" thickBot="1">
      <c r="B49" s="136" t="s">
        <v>529</v>
      </c>
      <c r="C49" s="464">
        <v>18.77</v>
      </c>
      <c r="D49" s="465">
        <v>18.334703153988816</v>
      </c>
      <c r="E49" s="466">
        <v>102.37416904083601</v>
      </c>
      <c r="F49" s="381">
        <v>159.73778667005416</v>
      </c>
    </row>
    <row r="50" spans="2:6" ht="15.75" thickBot="1">
      <c r="B50" s="136" t="s">
        <v>528</v>
      </c>
      <c r="C50" s="464">
        <f>390.299257962368-C49-C48</f>
        <v>145.06035807484002</v>
      </c>
      <c r="D50" s="465">
        <v>151.36131874718885</v>
      </c>
      <c r="E50" s="466">
        <v>95.83713941943583</v>
      </c>
      <c r="F50" s="381">
        <v>98.73288143976411</v>
      </c>
    </row>
    <row r="51" spans="2:6" ht="15.75" thickBot="1">
      <c r="B51" s="145" t="s">
        <v>530</v>
      </c>
      <c r="C51" s="358">
        <f>SUM(C48:C50)</f>
        <v>390.2992579623681</v>
      </c>
      <c r="D51" s="358">
        <v>407.2526166022179</v>
      </c>
      <c r="E51" s="467">
        <v>95.83713941943583</v>
      </c>
      <c r="F51" s="468">
        <v>98.73288143976411</v>
      </c>
    </row>
  </sheetData>
  <mergeCells count="8">
    <mergeCell ref="C6:D6"/>
    <mergeCell ref="E6:E7"/>
    <mergeCell ref="F6:F7"/>
    <mergeCell ref="B6:B8"/>
    <mergeCell ref="B45:B47"/>
    <mergeCell ref="C45:D45"/>
    <mergeCell ref="E45:E46"/>
    <mergeCell ref="F45:F46"/>
  </mergeCells>
  <printOptions/>
  <pageMargins left="0.7" right="0.7" top="0.787401575" bottom="0.787401575" header="0.3" footer="0.3"/>
  <pageSetup horizontalDpi="600" verticalDpi="600" orientation="portrait" paperSize="9" scale="6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zoomScale="90" zoomScaleNormal="90" workbookViewId="0" topLeftCell="A1">
      <selection activeCell="O1" sqref="O1"/>
    </sheetView>
  </sheetViews>
  <sheetFormatPr defaultColWidth="8.8515625" defaultRowHeight="15"/>
  <cols>
    <col min="1" max="1" width="5.00390625" style="5" bestFit="1" customWidth="1"/>
    <col min="2" max="2" width="48.85156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239</v>
      </c>
    </row>
    <row r="2" ht="4.5" customHeight="1"/>
    <row r="3" spans="2:8" ht="18.75">
      <c r="B3" s="62" t="s">
        <v>412</v>
      </c>
      <c r="H3" s="6"/>
    </row>
    <row r="4" ht="15">
      <c r="B4" s="27" t="s">
        <v>237</v>
      </c>
    </row>
    <row r="5" spans="2:8" ht="15.75" thickBot="1">
      <c r="B5" s="27"/>
      <c r="H5" s="62"/>
    </row>
    <row r="6" spans="2:8" ht="16.5" customHeight="1">
      <c r="B6" s="584" t="s">
        <v>238</v>
      </c>
      <c r="C6" s="148" t="s">
        <v>125</v>
      </c>
      <c r="D6" s="88"/>
      <c r="H6" s="27"/>
    </row>
    <row r="7" spans="2:4" ht="15">
      <c r="B7" s="585"/>
      <c r="C7" s="149" t="s">
        <v>10</v>
      </c>
      <c r="D7" s="88"/>
    </row>
    <row r="8" spans="2:4" ht="15.75" thickBot="1">
      <c r="B8" s="586"/>
      <c r="C8" s="150" t="s">
        <v>380</v>
      </c>
      <c r="D8" s="89"/>
    </row>
    <row r="9" spans="2:3" ht="15">
      <c r="B9" s="128" t="s">
        <v>240</v>
      </c>
      <c r="C9" s="469">
        <v>394.2993748433431</v>
      </c>
    </row>
    <row r="10" spans="2:3" ht="15">
      <c r="B10" s="100" t="s">
        <v>256</v>
      </c>
      <c r="C10" s="470">
        <f>SUM(C11:C12)</f>
        <v>210.4863134110899</v>
      </c>
    </row>
    <row r="11" spans="2:3" ht="15">
      <c r="B11" s="151" t="s">
        <v>255</v>
      </c>
      <c r="C11" s="471">
        <v>210.4863134110899</v>
      </c>
    </row>
    <row r="12" spans="2:5" ht="15.75" thickBot="1">
      <c r="B12" s="152" t="s">
        <v>241</v>
      </c>
      <c r="C12" s="472">
        <v>0</v>
      </c>
      <c r="E12" s="275"/>
    </row>
    <row r="13" spans="2:3" ht="15.75" thickBot="1">
      <c r="B13" s="145" t="s">
        <v>242</v>
      </c>
      <c r="C13" s="473">
        <v>604.785688254433</v>
      </c>
    </row>
    <row r="15" spans="2:3" ht="15">
      <c r="B15" s="98"/>
      <c r="C15" s="99"/>
    </row>
  </sheetData>
  <mergeCells count="1">
    <mergeCell ref="B6:B8"/>
  </mergeCells>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4"/>
  <sheetViews>
    <sheetView zoomScale="90" zoomScaleNormal="90" workbookViewId="0" topLeftCell="A1">
      <selection activeCell="O22" sqref="O22"/>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ht="18.75">
      <c r="B1" s="6" t="s">
        <v>243</v>
      </c>
    </row>
    <row r="2" ht="4.5" customHeight="1"/>
    <row r="3" spans="2:8" ht="18.75">
      <c r="B3" s="62" t="s">
        <v>410</v>
      </c>
      <c r="C3" s="89"/>
      <c r="D3" s="89"/>
      <c r="E3" s="89"/>
      <c r="F3" s="89"/>
      <c r="H3" s="6"/>
    </row>
    <row r="4" spans="2:6" ht="15">
      <c r="B4" s="27" t="s">
        <v>244</v>
      </c>
      <c r="C4" s="89"/>
      <c r="D4" s="89"/>
      <c r="E4" s="89"/>
      <c r="F4" s="89"/>
    </row>
    <row r="5" spans="2:8" ht="15.75" thickBot="1">
      <c r="B5" s="27"/>
      <c r="C5" s="89"/>
      <c r="D5" s="89"/>
      <c r="E5" s="89"/>
      <c r="F5" s="89"/>
      <c r="H5" s="62"/>
    </row>
    <row r="6" spans="2:8" ht="16.5" customHeight="1">
      <c r="B6" s="584" t="s">
        <v>238</v>
      </c>
      <c r="C6" s="148" t="s">
        <v>125</v>
      </c>
      <c r="D6" s="155"/>
      <c r="H6" s="27"/>
    </row>
    <row r="7" spans="2:4" ht="15">
      <c r="B7" s="585"/>
      <c r="C7" s="149" t="s">
        <v>10</v>
      </c>
      <c r="D7" s="88"/>
    </row>
    <row r="8" spans="2:4" ht="15.75" thickBot="1">
      <c r="B8" s="586"/>
      <c r="C8" s="150" t="s">
        <v>380</v>
      </c>
      <c r="D8" s="89"/>
    </row>
    <row r="9" spans="1:3" ht="15">
      <c r="A9" s="154"/>
      <c r="B9" s="124" t="s">
        <v>245</v>
      </c>
      <c r="C9" s="156">
        <v>0</v>
      </c>
    </row>
    <row r="10" spans="1:3" ht="15">
      <c r="A10" s="154"/>
      <c r="B10" s="124" t="s">
        <v>257</v>
      </c>
      <c r="C10" s="156">
        <v>0</v>
      </c>
    </row>
    <row r="11" spans="1:3" ht="30">
      <c r="A11" s="154"/>
      <c r="B11" s="124" t="s">
        <v>252</v>
      </c>
      <c r="C11" s="156">
        <v>0</v>
      </c>
    </row>
    <row r="12" spans="1:3" ht="15">
      <c r="A12" s="154"/>
      <c r="B12" s="124" t="s">
        <v>253</v>
      </c>
      <c r="C12" s="156">
        <v>0</v>
      </c>
    </row>
    <row r="13" spans="1:3" ht="15">
      <c r="A13" s="154"/>
      <c r="B13" s="124" t="s">
        <v>254</v>
      </c>
      <c r="C13" s="156">
        <v>0</v>
      </c>
    </row>
    <row r="14" spans="1:3" ht="15">
      <c r="A14" s="154"/>
      <c r="B14" s="96" t="s">
        <v>246</v>
      </c>
      <c r="C14" s="156">
        <v>0</v>
      </c>
    </row>
    <row r="15" spans="1:4" ht="15">
      <c r="A15" s="154"/>
      <c r="B15" s="153" t="s">
        <v>247</v>
      </c>
      <c r="C15" s="156">
        <v>0</v>
      </c>
      <c r="D15" s="99"/>
    </row>
    <row r="16" spans="1:3" ht="15">
      <c r="A16" s="154"/>
      <c r="B16" s="151" t="s">
        <v>248</v>
      </c>
      <c r="C16" s="156">
        <v>0</v>
      </c>
    </row>
    <row r="17" spans="1:3" ht="30">
      <c r="A17" s="154"/>
      <c r="B17" s="151" t="s">
        <v>249</v>
      </c>
      <c r="C17" s="156">
        <v>0</v>
      </c>
    </row>
    <row r="18" spans="1:3" ht="30">
      <c r="A18" s="154"/>
      <c r="B18" s="151" t="s">
        <v>250</v>
      </c>
      <c r="C18" s="156">
        <v>0</v>
      </c>
    </row>
    <row r="19" spans="1:3" ht="30.75" thickBot="1">
      <c r="A19" s="154"/>
      <c r="B19" s="153" t="s">
        <v>251</v>
      </c>
      <c r="C19" s="156">
        <v>0</v>
      </c>
    </row>
    <row r="20" spans="1:3" ht="15.75" thickBot="1">
      <c r="A20" s="154"/>
      <c r="B20" s="145" t="s">
        <v>22</v>
      </c>
      <c r="C20" s="157">
        <v>0</v>
      </c>
    </row>
    <row r="22" spans="2:3" ht="15">
      <c r="B22" s="98"/>
      <c r="C22" s="99"/>
    </row>
    <row r="24" ht="18.75">
      <c r="B24" s="6" t="s">
        <v>258</v>
      </c>
    </row>
    <row r="26" spans="2:3" ht="15">
      <c r="B26" s="62" t="s">
        <v>411</v>
      </c>
      <c r="C26" s="4" t="s">
        <v>372</v>
      </c>
    </row>
    <row r="27" spans="2:3" ht="15">
      <c r="B27" s="27" t="s">
        <v>259</v>
      </c>
      <c r="C27" s="89"/>
    </row>
    <row r="28" spans="2:3" ht="15.75" thickBot="1">
      <c r="B28" s="27"/>
      <c r="C28" s="89"/>
    </row>
    <row r="29" spans="2:5" ht="45.75" thickBot="1">
      <c r="B29" s="21"/>
      <c r="C29" s="165" t="s">
        <v>263</v>
      </c>
      <c r="D29" s="158" t="s">
        <v>264</v>
      </c>
      <c r="E29" s="159" t="s">
        <v>268</v>
      </c>
    </row>
    <row r="30" spans="2:5" ht="15">
      <c r="B30" s="60" t="s">
        <v>265</v>
      </c>
      <c r="C30" s="264">
        <v>0</v>
      </c>
      <c r="D30" s="265">
        <v>0</v>
      </c>
      <c r="E30" s="161">
        <f>C30-D30</f>
        <v>0</v>
      </c>
    </row>
    <row r="31" spans="2:5" ht="15">
      <c r="B31" s="160" t="s">
        <v>260</v>
      </c>
      <c r="C31" s="266">
        <v>0</v>
      </c>
      <c r="D31" s="267">
        <v>0</v>
      </c>
      <c r="E31" s="162">
        <f>C31-D31</f>
        <v>0</v>
      </c>
    </row>
    <row r="32" spans="2:5" ht="15">
      <c r="B32" s="160" t="s">
        <v>261</v>
      </c>
      <c r="C32" s="266">
        <v>0</v>
      </c>
      <c r="D32" s="267">
        <v>0</v>
      </c>
      <c r="E32" s="162">
        <f>C32-D32</f>
        <v>0</v>
      </c>
    </row>
    <row r="33" spans="2:5" ht="15">
      <c r="B33" s="160" t="s">
        <v>267</v>
      </c>
      <c r="C33" s="266">
        <v>0</v>
      </c>
      <c r="D33" s="267">
        <v>0</v>
      </c>
      <c r="E33" s="162">
        <f>C33-D33</f>
        <v>0</v>
      </c>
    </row>
    <row r="34" spans="2:5" ht="15.75" thickBot="1">
      <c r="B34" s="166" t="s">
        <v>368</v>
      </c>
      <c r="C34" s="167">
        <v>0</v>
      </c>
      <c r="D34" s="168">
        <v>0</v>
      </c>
      <c r="E34" s="169">
        <f>E30-E32-E33</f>
        <v>0</v>
      </c>
    </row>
    <row r="35" spans="2:5" ht="15">
      <c r="B35" s="60" t="s">
        <v>269</v>
      </c>
      <c r="C35" s="173" t="e">
        <f>C31/C30</f>
        <v>#DIV/0!</v>
      </c>
      <c r="D35" s="174" t="e">
        <f>D31/D30</f>
        <v>#DIV/0!</v>
      </c>
      <c r="E35" s="175" t="e">
        <f>E31/E30</f>
        <v>#DIV/0!</v>
      </c>
    </row>
    <row r="36" spans="2:5" ht="15.75" thickBot="1">
      <c r="B36" s="176" t="s">
        <v>266</v>
      </c>
      <c r="C36" s="163"/>
      <c r="D36" s="164"/>
      <c r="E36" s="177">
        <v>0</v>
      </c>
    </row>
    <row r="37" spans="2:5" ht="15.75" thickBot="1">
      <c r="B37" s="52" t="s">
        <v>262</v>
      </c>
      <c r="C37" s="170"/>
      <c r="D37" s="171"/>
      <c r="E37" s="172" t="e">
        <f>(E36-E35)*E34</f>
        <v>#DIV/0!</v>
      </c>
    </row>
    <row r="40" ht="15.75" thickBot="1"/>
    <row r="41" spans="2:5" ht="60">
      <c r="B41" s="570"/>
      <c r="C41" s="92" t="s">
        <v>168</v>
      </c>
      <c r="D41" s="64" t="s">
        <v>437</v>
      </c>
      <c r="E41" s="65" t="s">
        <v>150</v>
      </c>
    </row>
    <row r="42" spans="2:5" ht="15.75" thickBot="1">
      <c r="B42" s="571"/>
      <c r="C42" s="123" t="s">
        <v>379</v>
      </c>
      <c r="D42" s="119" t="s">
        <v>124</v>
      </c>
      <c r="E42" s="120" t="s">
        <v>380</v>
      </c>
    </row>
    <row r="43" spans="2:5" ht="15">
      <c r="B43" s="124" t="s">
        <v>22</v>
      </c>
      <c r="C43" s="458"/>
      <c r="D43" s="459"/>
      <c r="E43" s="443">
        <f>E44</f>
        <v>97.50804005675758</v>
      </c>
    </row>
    <row r="44" spans="2:5" ht="15.75" thickBot="1">
      <c r="B44" s="87" t="s">
        <v>22</v>
      </c>
      <c r="C44" s="451">
        <v>52.348989514142</v>
      </c>
      <c r="D44" s="452">
        <v>1862653.72</v>
      </c>
      <c r="E44" s="452">
        <f>C44*D44/10^6</f>
        <v>97.50804005675758</v>
      </c>
    </row>
  </sheetData>
  <mergeCells count="2">
    <mergeCell ref="B6:B8"/>
    <mergeCell ref="B41:B42"/>
  </mergeCells>
  <printOptions/>
  <pageMargins left="0.7" right="0.7" top="0.787401575" bottom="0.787401575" header="0.3" footer="0.3"/>
  <pageSetup horizontalDpi="600" verticalDpi="600" orientation="landscape" paperSize="9" r:id="rId3"/>
  <rowBreaks count="1" manualBreakCount="1">
    <brk id="23"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90" zoomScaleNormal="90" workbookViewId="0" topLeftCell="A1">
      <selection activeCell="O1" sqref="O1"/>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270</v>
      </c>
      <c r="D1" s="178"/>
    </row>
    <row r="2" ht="4.5" customHeight="1"/>
    <row r="3" spans="2:7" ht="18.75">
      <c r="B3" s="62" t="s">
        <v>409</v>
      </c>
      <c r="C3" s="89"/>
      <c r="D3" s="89"/>
      <c r="E3" s="89"/>
      <c r="G3" s="6"/>
    </row>
    <row r="4" spans="2:6" ht="15">
      <c r="B4" s="27" t="s">
        <v>271</v>
      </c>
      <c r="C4" s="89"/>
      <c r="D4" s="89"/>
      <c r="E4" s="89"/>
      <c r="F4" s="89"/>
    </row>
    <row r="5" spans="2:7" ht="15.75" thickBot="1">
      <c r="B5" s="27"/>
      <c r="C5" s="89"/>
      <c r="D5" s="89"/>
      <c r="E5" s="89"/>
      <c r="F5" s="89"/>
      <c r="G5" s="62"/>
    </row>
    <row r="6" spans="2:7" ht="16.5" customHeight="1">
      <c r="B6" s="584" t="s">
        <v>238</v>
      </c>
      <c r="C6" s="148" t="s">
        <v>125</v>
      </c>
      <c r="G6" s="27"/>
    </row>
    <row r="7" spans="2:4" ht="15">
      <c r="B7" s="585"/>
      <c r="C7" s="149" t="s">
        <v>10</v>
      </c>
      <c r="D7" s="88"/>
    </row>
    <row r="8" spans="2:4" ht="15.75" thickBot="1">
      <c r="B8" s="586"/>
      <c r="C8" s="150" t="s">
        <v>380</v>
      </c>
      <c r="D8" s="89"/>
    </row>
    <row r="9" spans="1:3" ht="15">
      <c r="A9" s="154"/>
      <c r="B9" s="124" t="s">
        <v>444</v>
      </c>
      <c r="C9" s="474">
        <v>63.410028999999994</v>
      </c>
    </row>
    <row r="10" spans="1:3" ht="15">
      <c r="A10" s="154"/>
      <c r="B10" s="124" t="s">
        <v>272</v>
      </c>
      <c r="C10" s="474">
        <v>132.42</v>
      </c>
    </row>
    <row r="11" spans="1:3" ht="15">
      <c r="A11" s="154"/>
      <c r="B11" s="124" t="s">
        <v>273</v>
      </c>
      <c r="C11" s="474">
        <v>0</v>
      </c>
    </row>
    <row r="12" spans="1:3" ht="15">
      <c r="A12" s="154"/>
      <c r="B12" s="124" t="s">
        <v>274</v>
      </c>
      <c r="C12" s="474">
        <v>0</v>
      </c>
    </row>
    <row r="13" spans="1:3" ht="15">
      <c r="A13" s="154"/>
      <c r="B13" s="124" t="s">
        <v>275</v>
      </c>
      <c r="C13" s="474">
        <v>70.588849</v>
      </c>
    </row>
    <row r="14" spans="1:3" ht="15">
      <c r="A14" s="154"/>
      <c r="B14" s="96" t="s">
        <v>276</v>
      </c>
      <c r="C14" s="474">
        <v>244.89</v>
      </c>
    </row>
    <row r="15" spans="1:3" ht="15">
      <c r="A15" s="154"/>
      <c r="B15" s="153" t="s">
        <v>285</v>
      </c>
      <c r="C15" s="474">
        <v>0</v>
      </c>
    </row>
    <row r="16" spans="1:3" ht="15">
      <c r="A16" s="154"/>
      <c r="B16" s="153" t="s">
        <v>277</v>
      </c>
      <c r="C16" s="474">
        <v>0</v>
      </c>
    </row>
    <row r="17" spans="1:3" ht="15">
      <c r="A17" s="154"/>
      <c r="B17" s="153" t="s">
        <v>278</v>
      </c>
      <c r="C17" s="474">
        <v>0</v>
      </c>
    </row>
    <row r="18" spans="1:3" ht="15">
      <c r="A18" s="154"/>
      <c r="B18" s="153" t="s">
        <v>279</v>
      </c>
      <c r="C18" s="474">
        <v>0</v>
      </c>
    </row>
    <row r="19" spans="1:3" ht="15.75" thickBot="1">
      <c r="A19" s="154"/>
      <c r="B19" s="153" t="s">
        <v>280</v>
      </c>
      <c r="C19" s="474">
        <v>82.97154699999999</v>
      </c>
    </row>
    <row r="20" spans="1:3" ht="15.75" thickBot="1">
      <c r="A20" s="154"/>
      <c r="B20" s="145" t="s">
        <v>23</v>
      </c>
      <c r="C20" s="475">
        <f>SUM(C9:C19)</f>
        <v>594.2804249999999</v>
      </c>
    </row>
    <row r="22" spans="2:3" ht="15">
      <c r="B22" s="98"/>
      <c r="C22" s="282"/>
    </row>
    <row r="23" ht="15">
      <c r="C23" s="281"/>
    </row>
    <row r="24" ht="15">
      <c r="C24" s="281"/>
    </row>
    <row r="25" ht="15">
      <c r="C25" s="281"/>
    </row>
  </sheetData>
  <mergeCells count="1">
    <mergeCell ref="B6:B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J1" sqref="J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8" ht="18.75">
      <c r="B1" s="6" t="s">
        <v>43</v>
      </c>
      <c r="H1" s="6"/>
    </row>
    <row r="2" ht="4.5" customHeight="1"/>
    <row r="3" spans="2:8" ht="15">
      <c r="B3" s="7" t="s">
        <v>375</v>
      </c>
      <c r="C3" s="4" t="s">
        <v>28</v>
      </c>
      <c r="H3" s="7"/>
    </row>
    <row r="4" spans="2:3" ht="15">
      <c r="B4" s="5" t="s">
        <v>44</v>
      </c>
      <c r="C4" s="4" t="s">
        <v>371</v>
      </c>
    </row>
    <row r="5" ht="14.25" customHeight="1">
      <c r="C5" s="4" t="s">
        <v>372</v>
      </c>
    </row>
    <row r="6" ht="14.25" customHeight="1" thickBot="1"/>
    <row r="7" spans="2:4" ht="16.5" customHeight="1" thickBot="1">
      <c r="B7" s="111"/>
      <c r="C7" s="112" t="s">
        <v>3</v>
      </c>
      <c r="D7" s="8"/>
    </row>
    <row r="8" spans="1:3" ht="15">
      <c r="A8" s="9">
        <v>1</v>
      </c>
      <c r="B8" s="102" t="s">
        <v>0</v>
      </c>
      <c r="C8" s="345">
        <v>129.2003</v>
      </c>
    </row>
    <row r="9" spans="1:3" ht="15">
      <c r="A9" s="9">
        <v>2</v>
      </c>
      <c r="B9" s="10" t="s">
        <v>8</v>
      </c>
      <c r="C9" s="345">
        <v>0</v>
      </c>
    </row>
    <row r="10" spans="1:3" ht="15">
      <c r="A10" s="9">
        <v>3</v>
      </c>
      <c r="B10" s="11" t="s">
        <v>2</v>
      </c>
      <c r="C10" s="345">
        <v>129.2003</v>
      </c>
    </row>
    <row r="11" spans="1:3" ht="15">
      <c r="A11" s="9">
        <v>6</v>
      </c>
      <c r="B11" s="10" t="s">
        <v>30</v>
      </c>
      <c r="C11" s="345">
        <v>0</v>
      </c>
    </row>
    <row r="12" spans="2:3" ht="15.75" thickBot="1">
      <c r="B12" s="12" t="s">
        <v>31</v>
      </c>
      <c r="C12" s="347">
        <f>IF(ISNUMBER(C11)=TRUE,C10-C11,C10)</f>
        <v>129.2003</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48">
        <v>0</v>
      </c>
      <c r="D17" s="349">
        <v>326.528044948901</v>
      </c>
      <c r="E17" s="350">
        <f>C17*D17/1000</f>
        <v>0</v>
      </c>
      <c r="F17" s="351">
        <v>0</v>
      </c>
      <c r="G17" s="350"/>
      <c r="H17" s="351"/>
      <c r="I17" s="350"/>
      <c r="J17" s="351"/>
      <c r="K17" s="350">
        <f>E17+G17-I17</f>
        <v>0</v>
      </c>
      <c r="L17" s="351">
        <f>F17+H17-J17</f>
        <v>0</v>
      </c>
      <c r="N17" s="27"/>
    </row>
    <row r="18" spans="1:14" ht="15">
      <c r="A18" s="9">
        <v>8</v>
      </c>
      <c r="B18" s="17" t="s">
        <v>33</v>
      </c>
      <c r="C18" s="352" t="s">
        <v>370</v>
      </c>
      <c r="D18" s="353">
        <v>326.528044948901</v>
      </c>
      <c r="E18" s="350"/>
      <c r="F18" s="354"/>
      <c r="G18" s="355"/>
      <c r="H18" s="354"/>
      <c r="I18" s="355"/>
      <c r="J18" s="354"/>
      <c r="K18" s="350">
        <f aca="true" t="shared" si="0" ref="K18:K26">E18+G18-I18</f>
        <v>0</v>
      </c>
      <c r="L18" s="354">
        <f aca="true" t="shared" si="1" ref="L18:L26">F18+H18-J18</f>
        <v>0</v>
      </c>
      <c r="N18" s="27"/>
    </row>
    <row r="19" spans="1:14" ht="15">
      <c r="A19" s="9">
        <v>10</v>
      </c>
      <c r="B19" s="17" t="s">
        <v>34</v>
      </c>
      <c r="C19" s="352" t="s">
        <v>370</v>
      </c>
      <c r="D19" s="353">
        <v>326.528044948901</v>
      </c>
      <c r="E19" s="350"/>
      <c r="F19" s="354"/>
      <c r="G19" s="355"/>
      <c r="H19" s="354"/>
      <c r="I19" s="355"/>
      <c r="J19" s="354"/>
      <c r="K19" s="350">
        <f t="shared" si="0"/>
        <v>0</v>
      </c>
      <c r="L19" s="354">
        <f t="shared" si="1"/>
        <v>0</v>
      </c>
      <c r="N19" s="27"/>
    </row>
    <row r="20" spans="1:14" ht="15">
      <c r="A20" s="9">
        <v>11</v>
      </c>
      <c r="B20" s="17" t="s">
        <v>35</v>
      </c>
      <c r="C20" s="352">
        <v>0.6162299999999696</v>
      </c>
      <c r="D20" s="353">
        <v>326.528044948901</v>
      </c>
      <c r="E20" s="350">
        <f aca="true" t="shared" si="2" ref="E20:E25">C20*D20/1000</f>
        <v>0.20121637713885135</v>
      </c>
      <c r="F20" s="354">
        <v>0.18903471479999068</v>
      </c>
      <c r="G20" s="355"/>
      <c r="H20" s="354"/>
      <c r="I20" s="355"/>
      <c r="J20" s="354"/>
      <c r="K20" s="350">
        <f t="shared" si="0"/>
        <v>0.20121637713885135</v>
      </c>
      <c r="L20" s="354">
        <f t="shared" si="1"/>
        <v>0.18903471479999068</v>
      </c>
      <c r="N20" s="27"/>
    </row>
    <row r="21" spans="1:14" ht="15">
      <c r="A21" s="9" t="s">
        <v>36</v>
      </c>
      <c r="B21" s="17" t="s">
        <v>37</v>
      </c>
      <c r="C21" s="352">
        <v>7.33411</v>
      </c>
      <c r="D21" s="353">
        <v>326.528044948901</v>
      </c>
      <c r="E21" s="350">
        <f t="shared" si="2"/>
        <v>2.3947925997401844</v>
      </c>
      <c r="F21" s="354">
        <v>2.2498115835999997</v>
      </c>
      <c r="G21" s="355"/>
      <c r="H21" s="354"/>
      <c r="I21" s="355"/>
      <c r="J21" s="354"/>
      <c r="K21" s="350">
        <f t="shared" si="0"/>
        <v>2.3947925997401844</v>
      </c>
      <c r="L21" s="354">
        <f t="shared" si="1"/>
        <v>2.2498115835999997</v>
      </c>
      <c r="N21" s="27"/>
    </row>
    <row r="22" spans="1:14" ht="15">
      <c r="A22" s="9" t="s">
        <v>38</v>
      </c>
      <c r="B22" s="17" t="s">
        <v>39</v>
      </c>
      <c r="C22" s="348">
        <v>123.45561000000001</v>
      </c>
      <c r="D22" s="349">
        <v>326.528044948901</v>
      </c>
      <c r="E22" s="350">
        <f t="shared" si="2"/>
        <v>40.311718971274</v>
      </c>
      <c r="F22" s="354">
        <v>37.8712429236</v>
      </c>
      <c r="G22" s="355"/>
      <c r="H22" s="354"/>
      <c r="I22" s="355"/>
      <c r="J22" s="354"/>
      <c r="K22" s="350">
        <f t="shared" si="0"/>
        <v>40.311718971274</v>
      </c>
      <c r="L22" s="354">
        <f t="shared" si="1"/>
        <v>37.8712429236</v>
      </c>
      <c r="N22" s="27"/>
    </row>
    <row r="23" spans="1:14" ht="15">
      <c r="A23" s="9" t="s">
        <v>40</v>
      </c>
      <c r="B23" s="17" t="s">
        <v>41</v>
      </c>
      <c r="C23" s="352">
        <v>7.07942</v>
      </c>
      <c r="D23" s="353">
        <v>326.528044948901</v>
      </c>
      <c r="E23" s="350">
        <f t="shared" si="2"/>
        <v>2.311629171972149</v>
      </c>
      <c r="F23" s="354">
        <v>2.1716828791999996</v>
      </c>
      <c r="G23" s="355"/>
      <c r="H23" s="354"/>
      <c r="I23" s="355"/>
      <c r="J23" s="354"/>
      <c r="K23" s="350">
        <f t="shared" si="0"/>
        <v>2.311629171972149</v>
      </c>
      <c r="L23" s="354">
        <f t="shared" si="1"/>
        <v>2.1716828791999996</v>
      </c>
      <c r="N23" s="27"/>
    </row>
    <row r="24" spans="1:14" ht="15">
      <c r="A24" s="9">
        <v>13</v>
      </c>
      <c r="B24" s="17" t="s">
        <v>42</v>
      </c>
      <c r="C24" s="352" t="s">
        <v>370</v>
      </c>
      <c r="D24" s="353"/>
      <c r="E24" s="350"/>
      <c r="F24" s="354"/>
      <c r="G24" s="355"/>
      <c r="H24" s="354"/>
      <c r="I24" s="355"/>
      <c r="J24" s="354"/>
      <c r="K24" s="350">
        <f t="shared" si="0"/>
        <v>0</v>
      </c>
      <c r="L24" s="354">
        <f t="shared" si="1"/>
        <v>0</v>
      </c>
      <c r="N24" s="27"/>
    </row>
    <row r="25" spans="1:14" ht="15.75" thickBot="1">
      <c r="A25" s="9">
        <v>16</v>
      </c>
      <c r="B25" s="17" t="s">
        <v>26</v>
      </c>
      <c r="C25" s="352">
        <v>-9.285069999999997</v>
      </c>
      <c r="D25" s="353">
        <v>326.528044948901</v>
      </c>
      <c r="E25" s="350">
        <f t="shared" si="2"/>
        <v>-3.0318357543136916</v>
      </c>
      <c r="F25" s="354">
        <v>-2.8482880732</v>
      </c>
      <c r="G25" s="355"/>
      <c r="H25" s="354"/>
      <c r="I25" s="355"/>
      <c r="J25" s="354"/>
      <c r="K25" s="350">
        <f t="shared" si="0"/>
        <v>-3.0318357543136916</v>
      </c>
      <c r="L25" s="354">
        <f t="shared" si="1"/>
        <v>-2.8482880732</v>
      </c>
      <c r="N25" s="27"/>
    </row>
    <row r="26" spans="1:12" ht="15.75" thickBot="1">
      <c r="A26" s="9">
        <v>17</v>
      </c>
      <c r="B26" s="21" t="s">
        <v>9</v>
      </c>
      <c r="C26" s="356">
        <f>SUM(C17:C25)</f>
        <v>129.2003</v>
      </c>
      <c r="D26" s="357"/>
      <c r="E26" s="358">
        <f>SUM(E17:E25)</f>
        <v>42.18752136581149</v>
      </c>
      <c r="F26" s="358">
        <f>SUM(F17:F25)</f>
        <v>39.633484027999984</v>
      </c>
      <c r="G26" s="358">
        <v>0</v>
      </c>
      <c r="H26" s="359">
        <v>0</v>
      </c>
      <c r="I26" s="358">
        <v>0</v>
      </c>
      <c r="J26" s="359">
        <v>0</v>
      </c>
      <c r="K26" s="358">
        <f t="shared" si="0"/>
        <v>42.18752136581149</v>
      </c>
      <c r="L26" s="359">
        <f t="shared" si="1"/>
        <v>39.633484027999984</v>
      </c>
    </row>
    <row r="27" spans="3:12" ht="15">
      <c r="C27" s="13"/>
      <c r="E27" s="13"/>
      <c r="F27" s="13"/>
      <c r="G27" s="13"/>
      <c r="H27" s="13"/>
      <c r="I27" s="13"/>
      <c r="J27" s="13"/>
      <c r="K27" s="276"/>
      <c r="L27" s="13"/>
    </row>
    <row r="28" spans="2:5" ht="15">
      <c r="B28" s="25"/>
      <c r="E28" s="275"/>
    </row>
    <row r="29" ht="15.75" thickBot="1"/>
    <row r="30" spans="2:3" ht="15.75" thickBot="1">
      <c r="B30" s="111"/>
      <c r="C30" s="113">
        <v>2020</v>
      </c>
    </row>
    <row r="31" spans="2:3" ht="15">
      <c r="B31" s="256" t="s">
        <v>373</v>
      </c>
      <c r="C31" s="360">
        <v>106.44414035366442</v>
      </c>
    </row>
    <row r="32" spans="2:3" ht="15.75" thickBot="1">
      <c r="B32" s="257" t="s">
        <v>374</v>
      </c>
      <c r="C32" s="373">
        <v>110.4851157568341</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
  <sheetViews>
    <sheetView zoomScale="90" zoomScaleNormal="90" workbookViewId="0" topLeftCell="A1">
      <selection activeCell="O1" sqref="O1"/>
    </sheetView>
  </sheetViews>
  <sheetFormatPr defaultColWidth="8.8515625" defaultRowHeight="15"/>
  <cols>
    <col min="1" max="1" width="5.00390625" style="5" bestFit="1" customWidth="1"/>
    <col min="2" max="2" width="50.00390625" style="5" customWidth="1"/>
    <col min="3" max="7" width="20.7109375" style="5" customWidth="1"/>
    <col min="8"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ht="18.75">
      <c r="B1" s="6" t="s">
        <v>281</v>
      </c>
    </row>
    <row r="2" ht="4.5" customHeight="1"/>
    <row r="3" spans="2:11" ht="30">
      <c r="B3" s="62" t="s">
        <v>408</v>
      </c>
      <c r="C3" s="63"/>
      <c r="K3" s="6"/>
    </row>
    <row r="4" spans="2:3" ht="15">
      <c r="B4" s="27" t="s">
        <v>282</v>
      </c>
      <c r="C4" s="4"/>
    </row>
    <row r="5" spans="2:11" ht="15.75" thickBot="1">
      <c r="B5" s="27"/>
      <c r="C5" s="4"/>
      <c r="K5" s="62"/>
    </row>
    <row r="6" spans="2:11" ht="46.15" customHeight="1">
      <c r="B6" s="570"/>
      <c r="C6" s="92" t="s">
        <v>168</v>
      </c>
      <c r="D6" s="64" t="s">
        <v>437</v>
      </c>
      <c r="E6" s="65" t="s">
        <v>150</v>
      </c>
      <c r="F6" s="65" t="s">
        <v>287</v>
      </c>
      <c r="G6" s="65" t="s">
        <v>155</v>
      </c>
      <c r="K6" s="27"/>
    </row>
    <row r="7" spans="2:9" ht="15.75" thickBot="1">
      <c r="B7" s="571"/>
      <c r="C7" s="123" t="s">
        <v>379</v>
      </c>
      <c r="D7" s="119" t="s">
        <v>124</v>
      </c>
      <c r="E7" s="120" t="s">
        <v>380</v>
      </c>
      <c r="F7" s="127" t="s">
        <v>154</v>
      </c>
      <c r="G7" s="120" t="s">
        <v>380</v>
      </c>
      <c r="I7" s="98"/>
    </row>
    <row r="8" spans="2:9" ht="30">
      <c r="B8" s="124" t="s">
        <v>284</v>
      </c>
      <c r="C8" s="518"/>
      <c r="D8" s="519"/>
      <c r="E8" s="520">
        <f>E9</f>
        <v>0</v>
      </c>
      <c r="F8" s="521">
        <v>0</v>
      </c>
      <c r="G8" s="525">
        <v>87.6171252088577</v>
      </c>
      <c r="I8" s="99"/>
    </row>
    <row r="9" spans="2:7" ht="15.75" thickBot="1">
      <c r="B9" s="87" t="s">
        <v>283</v>
      </c>
      <c r="C9" s="522"/>
      <c r="D9" s="522"/>
      <c r="E9" s="522">
        <f>C9*D9/10^6</f>
        <v>0</v>
      </c>
      <c r="F9" s="523"/>
      <c r="G9" s="454"/>
    </row>
    <row r="10" spans="2:3" ht="15">
      <c r="B10" s="27"/>
      <c r="C10" s="4"/>
    </row>
    <row r="11" ht="14.25" customHeight="1">
      <c r="C11" s="4"/>
    </row>
    <row r="13" ht="15">
      <c r="B13" s="5" t="s">
        <v>556</v>
      </c>
    </row>
  </sheetData>
  <mergeCells count="1">
    <mergeCell ref="B6:B7"/>
  </mergeCells>
  <printOptions/>
  <pageMargins left="0.7" right="0.7" top="0.787401575" bottom="0.7874015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11" width="20.7109375" style="5" customWidth="1"/>
    <col min="12" max="12" width="12.7109375" style="5" bestFit="1" customWidth="1"/>
    <col min="13" max="13" width="11.421875" style="5" customWidth="1"/>
    <col min="14" max="16384" width="8.8515625" style="5" customWidth="1"/>
  </cols>
  <sheetData>
    <row r="1" ht="18.75">
      <c r="B1" s="6" t="s">
        <v>454</v>
      </c>
    </row>
    <row r="2" ht="4.5" customHeight="1"/>
    <row r="3" spans="2:15" ht="18.75">
      <c r="B3" s="62" t="s">
        <v>407</v>
      </c>
      <c r="C3" s="63"/>
      <c r="O3" s="6"/>
    </row>
    <row r="4" spans="2:3" ht="15">
      <c r="B4" s="27" t="s">
        <v>286</v>
      </c>
      <c r="C4" s="4"/>
    </row>
    <row r="5" spans="2:15" ht="15.75" thickBot="1">
      <c r="B5" s="27"/>
      <c r="C5" s="4"/>
      <c r="O5" s="62"/>
    </row>
    <row r="6" spans="2:15" ht="46.15" customHeight="1">
      <c r="B6" s="570"/>
      <c r="C6" s="92" t="s">
        <v>168</v>
      </c>
      <c r="D6" s="64" t="s">
        <v>437</v>
      </c>
      <c r="E6" s="65" t="s">
        <v>150</v>
      </c>
      <c r="F6" s="65" t="s">
        <v>153</v>
      </c>
      <c r="G6" s="65" t="s">
        <v>287</v>
      </c>
      <c r="H6" s="65" t="s">
        <v>289</v>
      </c>
      <c r="I6" s="65" t="s">
        <v>288</v>
      </c>
      <c r="J6" s="65" t="s">
        <v>285</v>
      </c>
      <c r="K6" s="65" t="s">
        <v>369</v>
      </c>
      <c r="O6" s="27"/>
    </row>
    <row r="7" spans="2:13" ht="15.75" thickBot="1">
      <c r="B7" s="571"/>
      <c r="C7" s="123" t="s">
        <v>379</v>
      </c>
      <c r="D7" s="119" t="s">
        <v>124</v>
      </c>
      <c r="E7" s="120" t="s">
        <v>380</v>
      </c>
      <c r="F7" s="127" t="s">
        <v>154</v>
      </c>
      <c r="G7" s="127" t="s">
        <v>154</v>
      </c>
      <c r="H7" s="120" t="s">
        <v>380</v>
      </c>
      <c r="I7" s="120" t="s">
        <v>380</v>
      </c>
      <c r="J7" s="120" t="s">
        <v>380</v>
      </c>
      <c r="K7" s="120" t="s">
        <v>380</v>
      </c>
      <c r="M7" s="98"/>
    </row>
    <row r="8" spans="2:13" ht="15">
      <c r="B8" s="124" t="s">
        <v>455</v>
      </c>
      <c r="C8" s="518"/>
      <c r="D8" s="519"/>
      <c r="E8" s="520">
        <f>E9</f>
        <v>0</v>
      </c>
      <c r="F8" s="521">
        <v>0</v>
      </c>
      <c r="G8" s="521">
        <v>0</v>
      </c>
      <c r="H8" s="526">
        <f>E8-E8*(F8+G8)</f>
        <v>0</v>
      </c>
      <c r="I8" s="527">
        <v>0</v>
      </c>
      <c r="J8" s="527">
        <v>0</v>
      </c>
      <c r="K8" s="525">
        <v>45.0577246908236</v>
      </c>
      <c r="M8" s="99"/>
    </row>
    <row r="9" spans="2:11" ht="15.75" thickBot="1">
      <c r="B9" s="87" t="s">
        <v>290</v>
      </c>
      <c r="C9" s="528"/>
      <c r="D9" s="522"/>
      <c r="E9" s="522">
        <f>C9*D9/10^6</f>
        <v>0</v>
      </c>
      <c r="F9" s="523"/>
      <c r="G9" s="529"/>
      <c r="H9" s="530"/>
      <c r="I9" s="524"/>
      <c r="J9" s="524"/>
      <c r="K9" s="454"/>
    </row>
    <row r="10" spans="2:8" ht="15">
      <c r="B10" s="27"/>
      <c r="C10" s="4"/>
      <c r="G10" s="207"/>
      <c r="H10" s="208"/>
    </row>
    <row r="11" spans="2:8" ht="14.25" customHeight="1">
      <c r="B11" s="98"/>
      <c r="C11" s="4"/>
      <c r="G11" s="207"/>
      <c r="H11" s="209"/>
    </row>
    <row r="12" spans="7:8" ht="15">
      <c r="G12" s="207"/>
      <c r="H12" s="208"/>
    </row>
    <row r="16" ht="15">
      <c r="B16" s="5" t="s">
        <v>519</v>
      </c>
    </row>
  </sheetData>
  <mergeCells count="1">
    <mergeCell ref="B6:B7"/>
  </mergeCells>
  <printOptions/>
  <pageMargins left="0.7" right="0.7" top="0.787401575" bottom="0.787401575" header="0.3" footer="0.3"/>
  <pageSetup horizontalDpi="600" verticalDpi="600" orientation="landscape" paperSize="9" scale="54" r:id="rId1"/>
  <colBreaks count="1" manualBreakCount="1">
    <brk id="11" max="16383"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zoomScale="90" zoomScaleNormal="90" workbookViewId="0" topLeftCell="A1">
      <selection activeCell="O1" sqref="O1"/>
    </sheetView>
  </sheetViews>
  <sheetFormatPr defaultColWidth="8.8515625" defaultRowHeight="15"/>
  <cols>
    <col min="1" max="1" width="5.00390625" style="5" bestFit="1" customWidth="1"/>
    <col min="2" max="2" width="48.7109375" style="5" customWidth="1"/>
    <col min="3" max="10" width="20.7109375" style="5" customWidth="1"/>
    <col min="11" max="11" width="12.7109375" style="5" bestFit="1" customWidth="1"/>
    <col min="12" max="12" width="11.421875" style="5" customWidth="1"/>
    <col min="13" max="16384" width="8.8515625" style="5" customWidth="1"/>
  </cols>
  <sheetData>
    <row r="1" ht="18.75">
      <c r="B1" s="6" t="s">
        <v>452</v>
      </c>
    </row>
    <row r="2" ht="4.5" customHeight="1"/>
    <row r="3" spans="2:14" ht="18.75">
      <c r="B3" s="62" t="s">
        <v>406</v>
      </c>
      <c r="C3" s="63"/>
      <c r="N3" s="6"/>
    </row>
    <row r="4" spans="2:3" ht="15">
      <c r="B4" s="27" t="s">
        <v>291</v>
      </c>
      <c r="C4" s="4"/>
    </row>
    <row r="5" spans="2:14" ht="15.75" thickBot="1">
      <c r="B5" s="27"/>
      <c r="C5" s="4"/>
      <c r="N5" s="62"/>
    </row>
    <row r="6" spans="2:14" ht="46.15" customHeight="1">
      <c r="B6" s="570"/>
      <c r="C6" s="92" t="s">
        <v>123</v>
      </c>
      <c r="D6" s="64" t="s">
        <v>437</v>
      </c>
      <c r="E6" s="65" t="s">
        <v>150</v>
      </c>
      <c r="F6" s="65" t="s">
        <v>153</v>
      </c>
      <c r="G6" s="65" t="s">
        <v>287</v>
      </c>
      <c r="H6" s="65" t="s">
        <v>293</v>
      </c>
      <c r="I6" s="65" t="s">
        <v>292</v>
      </c>
      <c r="J6" s="65" t="s">
        <v>294</v>
      </c>
      <c r="N6" s="27"/>
    </row>
    <row r="7" spans="2:12" ht="15.75" thickBot="1">
      <c r="B7" s="571"/>
      <c r="C7" s="123" t="s">
        <v>379</v>
      </c>
      <c r="D7" s="119" t="s">
        <v>124</v>
      </c>
      <c r="E7" s="120" t="s">
        <v>380</v>
      </c>
      <c r="F7" s="127" t="s">
        <v>154</v>
      </c>
      <c r="G7" s="127" t="s">
        <v>154</v>
      </c>
      <c r="H7" s="120" t="s">
        <v>380</v>
      </c>
      <c r="I7" s="120" t="s">
        <v>380</v>
      </c>
      <c r="J7" s="120" t="s">
        <v>380</v>
      </c>
      <c r="L7" s="98"/>
    </row>
    <row r="8" spans="2:12" ht="15">
      <c r="B8" s="124" t="s">
        <v>453</v>
      </c>
      <c r="C8" s="518"/>
      <c r="D8" s="519"/>
      <c r="E8" s="520">
        <f>E9</f>
        <v>0</v>
      </c>
      <c r="F8" s="521">
        <v>0</v>
      </c>
      <c r="G8" s="521">
        <v>0</v>
      </c>
      <c r="H8" s="527">
        <f>E8-E8*(F8+G8)</f>
        <v>0</v>
      </c>
      <c r="I8" s="527">
        <v>0</v>
      </c>
      <c r="J8" s="525">
        <v>8.01646763438427</v>
      </c>
      <c r="L8" s="99"/>
    </row>
    <row r="9" spans="2:10" ht="30.75" thickBot="1">
      <c r="B9" s="87" t="s">
        <v>295</v>
      </c>
      <c r="C9" s="528"/>
      <c r="D9" s="522"/>
      <c r="E9" s="522">
        <f>C9*D9/10^6</f>
        <v>0</v>
      </c>
      <c r="F9" s="523"/>
      <c r="G9" s="523"/>
      <c r="H9" s="524"/>
      <c r="I9" s="524"/>
      <c r="J9" s="454"/>
    </row>
    <row r="10" spans="2:3" ht="15">
      <c r="B10" s="27"/>
      <c r="C10" s="4"/>
    </row>
    <row r="11" spans="2:8" ht="14.25" customHeight="1">
      <c r="B11" s="98"/>
      <c r="C11" s="4"/>
      <c r="H11" s="210"/>
    </row>
    <row r="15" ht="15">
      <c r="B15" s="5" t="s">
        <v>518</v>
      </c>
    </row>
  </sheetData>
  <mergeCells count="1">
    <mergeCell ref="B6:B7"/>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11" width="20.7109375" style="5" customWidth="1"/>
    <col min="12" max="16384" width="8.8515625" style="5" customWidth="1"/>
  </cols>
  <sheetData>
    <row r="1" ht="18.75">
      <c r="B1" s="6" t="s">
        <v>296</v>
      </c>
    </row>
    <row r="2" ht="4.5" customHeight="1"/>
    <row r="3" ht="18.75">
      <c r="O3" s="6"/>
    </row>
    <row r="4" spans="2:3" ht="15">
      <c r="B4" s="7" t="s">
        <v>405</v>
      </c>
      <c r="C4" s="28" t="s">
        <v>305</v>
      </c>
    </row>
    <row r="5" spans="2:3" ht="15">
      <c r="B5" s="27" t="s">
        <v>297</v>
      </c>
      <c r="C5" s="4" t="s">
        <v>371</v>
      </c>
    </row>
    <row r="6" spans="3:15" ht="15">
      <c r="C6" s="4" t="s">
        <v>372</v>
      </c>
      <c r="O6" s="7"/>
    </row>
    <row r="7" spans="3:15" ht="15.75" thickBot="1">
      <c r="C7" s="4"/>
      <c r="O7" s="27"/>
    </row>
    <row r="8" spans="2:11" ht="30">
      <c r="B8" s="587"/>
      <c r="C8" s="184" t="s">
        <v>74</v>
      </c>
      <c r="D8" s="185" t="s">
        <v>302</v>
      </c>
      <c r="E8" s="64" t="s">
        <v>303</v>
      </c>
      <c r="F8" s="65" t="s">
        <v>301</v>
      </c>
      <c r="G8" s="196" t="s">
        <v>81</v>
      </c>
      <c r="H8" s="184" t="s">
        <v>304</v>
      </c>
      <c r="I8" s="185" t="s">
        <v>302</v>
      </c>
      <c r="J8" s="201" t="s">
        <v>304</v>
      </c>
      <c r="K8" s="196" t="s">
        <v>349</v>
      </c>
    </row>
    <row r="9" spans="2:11" ht="15.75" thickBot="1">
      <c r="B9" s="588"/>
      <c r="C9" s="180" t="s">
        <v>3</v>
      </c>
      <c r="D9" s="589" t="s">
        <v>4</v>
      </c>
      <c r="E9" s="590"/>
      <c r="F9" s="591"/>
      <c r="G9" s="197" t="s">
        <v>125</v>
      </c>
      <c r="H9" s="180" t="s">
        <v>3</v>
      </c>
      <c r="I9" s="180" t="s">
        <v>4</v>
      </c>
      <c r="J9" s="197" t="s">
        <v>125</v>
      </c>
      <c r="K9" s="197" t="s">
        <v>125</v>
      </c>
    </row>
    <row r="10" spans="2:11" ht="15">
      <c r="B10" s="60" t="s">
        <v>298</v>
      </c>
      <c r="C10" s="194">
        <v>0</v>
      </c>
      <c r="D10" s="186">
        <v>0</v>
      </c>
      <c r="E10" s="187">
        <v>0</v>
      </c>
      <c r="F10" s="188">
        <f>D10-E10</f>
        <v>0</v>
      </c>
      <c r="G10" s="194">
        <f>C10*F10/1000</f>
        <v>0</v>
      </c>
      <c r="H10" s="194">
        <v>0</v>
      </c>
      <c r="I10" s="186">
        <v>0</v>
      </c>
      <c r="J10" s="200">
        <f>H10*I10/1000</f>
        <v>0</v>
      </c>
      <c r="K10" s="200">
        <f>G10+J10</f>
        <v>0</v>
      </c>
    </row>
    <row r="11" spans="2:11" ht="15.75" thickBot="1">
      <c r="B11" s="181" t="s">
        <v>299</v>
      </c>
      <c r="C11" s="193">
        <v>0</v>
      </c>
      <c r="D11" s="190">
        <v>0</v>
      </c>
      <c r="E11" s="191">
        <v>0</v>
      </c>
      <c r="F11" s="192">
        <f>D11-E11</f>
        <v>0</v>
      </c>
      <c r="G11" s="193">
        <f>C11*F11/1000</f>
        <v>0</v>
      </c>
      <c r="H11" s="193">
        <v>0</v>
      </c>
      <c r="I11" s="190">
        <v>0</v>
      </c>
      <c r="J11" s="193">
        <f>H11*I11/1000</f>
        <v>0</v>
      </c>
      <c r="K11" s="193">
        <f aca="true" t="shared" si="0" ref="K11">G11+J11</f>
        <v>0</v>
      </c>
    </row>
    <row r="12" spans="2:11" ht="15.75" thickBot="1">
      <c r="B12" s="182" t="s">
        <v>300</v>
      </c>
      <c r="C12" s="195">
        <f>SUM(C10:C11)</f>
        <v>0</v>
      </c>
      <c r="D12" s="170"/>
      <c r="E12" s="171"/>
      <c r="F12" s="189"/>
      <c r="G12" s="198">
        <f>SUM(G10:G11)</f>
        <v>0</v>
      </c>
      <c r="H12" s="183"/>
      <c r="I12" s="183"/>
      <c r="J12" s="198">
        <f>SUM(J10:J11)</f>
        <v>0</v>
      </c>
      <c r="K12" s="198">
        <f>SUM(K10:K11)</f>
        <v>0</v>
      </c>
    </row>
    <row r="13" ht="15">
      <c r="B13" s="199" t="s">
        <v>306</v>
      </c>
    </row>
    <row r="14" ht="15">
      <c r="B14" s="199"/>
    </row>
    <row r="15" spans="2:10" ht="15">
      <c r="B15" s="25"/>
      <c r="G15" s="99"/>
      <c r="J15" s="99"/>
    </row>
    <row r="16" spans="7:10" ht="15">
      <c r="G16" s="99"/>
      <c r="J16" s="99"/>
    </row>
    <row r="17" ht="15">
      <c r="K17" s="99"/>
    </row>
    <row r="19" spans="3:5" ht="15">
      <c r="C19"/>
      <c r="D19"/>
      <c r="E19"/>
    </row>
    <row r="20" spans="2:5" ht="15.75" thickBot="1">
      <c r="B20" s="294" t="s">
        <v>517</v>
      </c>
      <c r="C20"/>
      <c r="D20"/>
      <c r="E20"/>
    </row>
    <row r="21" spans="2:5" ht="30.75" thickBot="1">
      <c r="B21" s="296" t="s">
        <v>503</v>
      </c>
      <c r="C21" s="490" t="s">
        <v>504</v>
      </c>
      <c r="D21" s="490" t="s">
        <v>505</v>
      </c>
      <c r="E21" s="491" t="s">
        <v>506</v>
      </c>
    </row>
    <row r="22" spans="2:5" ht="15.75" thickBot="1">
      <c r="B22" s="295"/>
      <c r="C22" s="298"/>
      <c r="D22" s="298"/>
      <c r="E22" s="298"/>
    </row>
    <row r="23" spans="2:5" ht="15.75" thickBot="1">
      <c r="B23" s="296" t="s">
        <v>507</v>
      </c>
      <c r="C23" s="494"/>
      <c r="D23" s="494"/>
      <c r="E23" s="478">
        <v>37.425606</v>
      </c>
    </row>
    <row r="24" spans="2:5" ht="15.75" thickBot="1">
      <c r="B24" s="295" t="s">
        <v>508</v>
      </c>
      <c r="C24" s="477">
        <f>53.287653+2.022248+30.869774</f>
        <v>86.179675</v>
      </c>
      <c r="D24" s="477">
        <f>-49.949126-0.002548</f>
        <v>-49.951674</v>
      </c>
      <c r="E24" s="477">
        <f>C24+D24</f>
        <v>36.228001000000006</v>
      </c>
    </row>
    <row r="28" ht="15">
      <c r="B28" s="299"/>
    </row>
  </sheetData>
  <mergeCells count="2">
    <mergeCell ref="B8:B9"/>
    <mergeCell ref="D9:F9"/>
  </mergeCells>
  <printOptions/>
  <pageMargins left="0.7" right="0.7" top="0.787401575" bottom="0.7874015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12"/>
  <sheetViews>
    <sheetView zoomScale="90" zoomScaleNormal="90" workbookViewId="0" topLeftCell="A1">
      <selection activeCell="O1" sqref="O1"/>
    </sheetView>
  </sheetViews>
  <sheetFormatPr defaultColWidth="8.8515625" defaultRowHeight="15"/>
  <cols>
    <col min="1" max="1" width="5.00390625" style="5" bestFit="1" customWidth="1"/>
    <col min="2" max="2" width="67.421875" style="5" customWidth="1"/>
    <col min="3" max="12" width="20.7109375" style="5" customWidth="1"/>
    <col min="13" max="16384" width="8.8515625" style="5" customWidth="1"/>
  </cols>
  <sheetData>
    <row r="1" ht="18.75">
      <c r="B1" s="6" t="s">
        <v>307</v>
      </c>
    </row>
    <row r="2" ht="4.5" customHeight="1"/>
    <row r="3" ht="18.75">
      <c r="H3" s="6"/>
    </row>
    <row r="4" spans="2:3" ht="15">
      <c r="B4" s="7" t="s">
        <v>403</v>
      </c>
      <c r="C4" s="4"/>
    </row>
    <row r="5" spans="2:3" ht="15">
      <c r="B5" s="27" t="s">
        <v>308</v>
      </c>
      <c r="C5" s="4"/>
    </row>
    <row r="6" spans="3:8" ht="15">
      <c r="C6" s="4"/>
      <c r="H6" s="7"/>
    </row>
    <row r="7" spans="2:8" ht="15">
      <c r="B7" s="27" t="s">
        <v>315</v>
      </c>
      <c r="C7" s="4"/>
      <c r="E7" s="98"/>
      <c r="H7" s="27"/>
    </row>
    <row r="8" ht="15.75" thickBot="1">
      <c r="C8" s="4"/>
    </row>
    <row r="9" spans="2:3" ht="15">
      <c r="B9" s="60" t="s">
        <v>324</v>
      </c>
      <c r="C9" s="212"/>
    </row>
    <row r="10" spans="2:5" ht="15.75" thickBot="1">
      <c r="B10" s="235" t="s">
        <v>383</v>
      </c>
      <c r="C10" s="308">
        <f>C12+C24</f>
        <v>35.535722</v>
      </c>
      <c r="E10" s="99"/>
    </row>
    <row r="11" spans="2:3" ht="15">
      <c r="B11" s="236" t="s">
        <v>325</v>
      </c>
      <c r="C11" s="309"/>
    </row>
    <row r="12" spans="2:5" ht="15.75" thickBot="1">
      <c r="B12" s="235" t="s">
        <v>383</v>
      </c>
      <c r="C12" s="310">
        <v>27.75844</v>
      </c>
      <c r="E12" s="99"/>
    </row>
    <row r="13" spans="2:3" ht="15">
      <c r="B13" s="236" t="s">
        <v>326</v>
      </c>
      <c r="C13" s="309"/>
    </row>
    <row r="14" spans="2:3" ht="15">
      <c r="B14" s="237" t="s">
        <v>384</v>
      </c>
      <c r="C14" s="311">
        <v>0</v>
      </c>
    </row>
    <row r="15" spans="2:3" ht="15">
      <c r="B15" s="237" t="s">
        <v>385</v>
      </c>
      <c r="C15" s="311">
        <v>0</v>
      </c>
    </row>
    <row r="16" spans="2:3" ht="15">
      <c r="B16" s="237" t="s">
        <v>386</v>
      </c>
      <c r="C16" s="311">
        <v>0</v>
      </c>
    </row>
    <row r="17" spans="2:3" ht="15">
      <c r="B17" s="237" t="s">
        <v>387</v>
      </c>
      <c r="C17" s="311">
        <f>C14-C15+C16</f>
        <v>0</v>
      </c>
    </row>
    <row r="18" spans="2:3" ht="15">
      <c r="B18" s="237" t="s">
        <v>316</v>
      </c>
      <c r="C18" s="311">
        <v>0</v>
      </c>
    </row>
    <row r="19" spans="2:3" ht="15">
      <c r="B19" s="237" t="s">
        <v>317</v>
      </c>
      <c r="C19" s="311">
        <v>0</v>
      </c>
    </row>
    <row r="20" spans="2:5" ht="15.75" thickBot="1">
      <c r="B20" s="238" t="s">
        <v>383</v>
      </c>
      <c r="C20" s="312">
        <f>C17+C17*(C18+C19)/100</f>
        <v>0</v>
      </c>
      <c r="E20" s="99"/>
    </row>
    <row r="21" spans="2:3" ht="15">
      <c r="B21" s="236" t="s">
        <v>327</v>
      </c>
      <c r="C21" s="309"/>
    </row>
    <row r="22" spans="2:5" ht="15.75" thickBot="1">
      <c r="B22" s="235" t="s">
        <v>383</v>
      </c>
      <c r="C22" s="313">
        <f>(C20+C24)*0.2</f>
        <v>1.5554564</v>
      </c>
      <c r="E22" s="99"/>
    </row>
    <row r="23" spans="2:3" ht="15">
      <c r="B23" s="236" t="s">
        <v>328</v>
      </c>
      <c r="C23" s="314"/>
    </row>
    <row r="24" spans="2:5" ht="15.75" thickBot="1">
      <c r="B24" s="235" t="s">
        <v>383</v>
      </c>
      <c r="C24" s="310">
        <v>7.777282</v>
      </c>
      <c r="E24" s="99"/>
    </row>
    <row r="25" spans="2:3" ht="15">
      <c r="B25" s="236" t="s">
        <v>329</v>
      </c>
      <c r="C25" s="268"/>
    </row>
    <row r="26" spans="2:3" ht="15">
      <c r="B26" s="237" t="s">
        <v>318</v>
      </c>
      <c r="C26" s="215">
        <v>0</v>
      </c>
    </row>
    <row r="27" spans="2:3" ht="15">
      <c r="B27" s="237" t="s">
        <v>388</v>
      </c>
      <c r="C27" s="215">
        <v>0</v>
      </c>
    </row>
    <row r="28" spans="2:3" ht="15">
      <c r="B28" s="237" t="s">
        <v>389</v>
      </c>
      <c r="C28" s="214">
        <v>0</v>
      </c>
    </row>
    <row r="29" spans="2:5" ht="15.75" thickBot="1">
      <c r="B29" s="235" t="s">
        <v>383</v>
      </c>
      <c r="C29" s="90">
        <f>C26*C27/10^6+C28</f>
        <v>0</v>
      </c>
      <c r="E29" s="99"/>
    </row>
    <row r="30" spans="2:3" ht="15">
      <c r="B30" s="236" t="s">
        <v>330</v>
      </c>
      <c r="C30" s="268"/>
    </row>
    <row r="31" spans="2:3" ht="15">
      <c r="B31" s="237" t="s">
        <v>384</v>
      </c>
      <c r="C31" s="214">
        <v>0</v>
      </c>
    </row>
    <row r="32" spans="2:3" ht="15">
      <c r="B32" s="237" t="s">
        <v>385</v>
      </c>
      <c r="C32" s="214">
        <v>0</v>
      </c>
    </row>
    <row r="33" spans="2:3" ht="15">
      <c r="B33" s="237" t="s">
        <v>386</v>
      </c>
      <c r="C33" s="214">
        <v>0</v>
      </c>
    </row>
    <row r="34" spans="2:3" ht="15">
      <c r="B34" s="237" t="s">
        <v>387</v>
      </c>
      <c r="C34" s="214">
        <f>C31-C32+C33</f>
        <v>0</v>
      </c>
    </row>
    <row r="35" spans="2:3" ht="15">
      <c r="B35" s="237" t="s">
        <v>316</v>
      </c>
      <c r="C35" s="215">
        <v>0</v>
      </c>
    </row>
    <row r="36" spans="2:3" ht="15">
      <c r="B36" s="237" t="s">
        <v>317</v>
      </c>
      <c r="C36" s="215">
        <v>0</v>
      </c>
    </row>
    <row r="37" spans="2:5" ht="15.75" thickBot="1">
      <c r="B37" s="235" t="s">
        <v>383</v>
      </c>
      <c r="C37" s="90">
        <f>C34+C34*(C35+C36)/100</f>
        <v>0</v>
      </c>
      <c r="E37" s="99"/>
    </row>
    <row r="38" spans="2:3" ht="15">
      <c r="B38" s="236" t="s">
        <v>331</v>
      </c>
      <c r="C38" s="268"/>
    </row>
    <row r="39" spans="2:3" ht="15">
      <c r="B39" s="237" t="s">
        <v>318</v>
      </c>
      <c r="C39" s="215">
        <v>0</v>
      </c>
    </row>
    <row r="40" spans="2:3" ht="15">
      <c r="B40" s="237" t="s">
        <v>319</v>
      </c>
      <c r="C40" s="215">
        <v>0</v>
      </c>
    </row>
    <row r="41" spans="2:3" ht="15">
      <c r="B41" s="237" t="s">
        <v>388</v>
      </c>
      <c r="C41" s="215">
        <v>0</v>
      </c>
    </row>
    <row r="42" spans="2:3" ht="15">
      <c r="B42" s="237" t="s">
        <v>390</v>
      </c>
      <c r="C42" s="214">
        <f>C39*C40/100*C41/10^6</f>
        <v>0</v>
      </c>
    </row>
    <row r="43" spans="2:3" ht="15">
      <c r="B43" s="237" t="s">
        <v>320</v>
      </c>
      <c r="C43" s="215">
        <v>0</v>
      </c>
    </row>
    <row r="44" spans="2:3" ht="15">
      <c r="B44" s="237" t="s">
        <v>319</v>
      </c>
      <c r="C44" s="215">
        <v>0</v>
      </c>
    </row>
    <row r="45" spans="2:3" ht="15">
      <c r="B45" s="237" t="s">
        <v>388</v>
      </c>
      <c r="C45" s="215">
        <v>0</v>
      </c>
    </row>
    <row r="46" spans="2:3" ht="15">
      <c r="B46" s="237" t="s">
        <v>391</v>
      </c>
      <c r="C46" s="214">
        <f>C43*C44/100*C45/10^6</f>
        <v>0</v>
      </c>
    </row>
    <row r="47" spans="2:3" ht="15">
      <c r="B47" s="237" t="s">
        <v>321</v>
      </c>
      <c r="C47" s="215">
        <v>0</v>
      </c>
    </row>
    <row r="48" spans="2:3" ht="15">
      <c r="B48" s="237" t="s">
        <v>322</v>
      </c>
      <c r="C48" s="214">
        <v>0</v>
      </c>
    </row>
    <row r="49" spans="2:3" ht="15">
      <c r="B49" s="237" t="s">
        <v>323</v>
      </c>
      <c r="C49" s="215">
        <f>C47*C48/100</f>
        <v>0</v>
      </c>
    </row>
    <row r="50" spans="2:3" ht="15">
      <c r="B50" s="237" t="s">
        <v>319</v>
      </c>
      <c r="C50" s="215">
        <v>0</v>
      </c>
    </row>
    <row r="51" spans="2:3" ht="15">
      <c r="B51" s="237" t="s">
        <v>388</v>
      </c>
      <c r="C51" s="215">
        <v>0</v>
      </c>
    </row>
    <row r="52" spans="2:3" ht="15">
      <c r="B52" s="237" t="s">
        <v>392</v>
      </c>
      <c r="C52" s="214">
        <f>C49*C50/100*C51/10^6</f>
        <v>0</v>
      </c>
    </row>
    <row r="53" spans="2:5" ht="15.75" thickBot="1">
      <c r="B53" s="235" t="s">
        <v>383</v>
      </c>
      <c r="C53" s="90">
        <f>C42+C46-C52</f>
        <v>0</v>
      </c>
      <c r="E53" s="99"/>
    </row>
    <row r="54" spans="2:3" ht="15">
      <c r="B54" s="239" t="s">
        <v>332</v>
      </c>
      <c r="C54" s="139"/>
    </row>
    <row r="55" spans="2:3" ht="15">
      <c r="B55" s="237" t="s">
        <v>318</v>
      </c>
      <c r="C55" s="215">
        <v>0</v>
      </c>
    </row>
    <row r="56" spans="2:3" ht="15">
      <c r="B56" s="237" t="s">
        <v>388</v>
      </c>
      <c r="C56" s="215">
        <v>0</v>
      </c>
    </row>
    <row r="57" spans="2:3" ht="15">
      <c r="B57" s="237" t="s">
        <v>390</v>
      </c>
      <c r="C57" s="214">
        <f>C55*C56/10^6</f>
        <v>0</v>
      </c>
    </row>
    <row r="58" spans="2:3" ht="15">
      <c r="B58" s="237" t="s">
        <v>320</v>
      </c>
      <c r="C58" s="215">
        <v>0</v>
      </c>
    </row>
    <row r="59" spans="2:3" ht="15">
      <c r="B59" s="237" t="s">
        <v>388</v>
      </c>
      <c r="C59" s="215">
        <v>0</v>
      </c>
    </row>
    <row r="60" spans="2:3" ht="15">
      <c r="B60" s="237" t="s">
        <v>391</v>
      </c>
      <c r="C60" s="214">
        <f>C58*C59/10^6</f>
        <v>0</v>
      </c>
    </row>
    <row r="61" spans="2:3" ht="15">
      <c r="B61" s="237" t="s">
        <v>321</v>
      </c>
      <c r="C61" s="215">
        <v>0</v>
      </c>
    </row>
    <row r="62" spans="2:3" ht="15">
      <c r="B62" s="237" t="s">
        <v>322</v>
      </c>
      <c r="C62" s="215">
        <v>0</v>
      </c>
    </row>
    <row r="63" spans="2:3" ht="15">
      <c r="B63" s="237" t="s">
        <v>323</v>
      </c>
      <c r="C63" s="215">
        <f>C61*C62/100</f>
        <v>0</v>
      </c>
    </row>
    <row r="64" spans="2:3" ht="15">
      <c r="B64" s="237" t="s">
        <v>388</v>
      </c>
      <c r="C64" s="215">
        <v>0</v>
      </c>
    </row>
    <row r="65" spans="2:3" ht="15">
      <c r="B65" s="237" t="s">
        <v>392</v>
      </c>
      <c r="C65" s="214">
        <f>C63*C64/10^6</f>
        <v>0</v>
      </c>
    </row>
    <row r="66" spans="2:5" ht="15.75" thickBot="1">
      <c r="B66" s="235" t="s">
        <v>383</v>
      </c>
      <c r="C66" s="90">
        <f>C57+C60-C65</f>
        <v>0</v>
      </c>
      <c r="E66" s="99"/>
    </row>
    <row r="67" ht="15">
      <c r="C67" s="4"/>
    </row>
    <row r="68" ht="15.75" thickBot="1">
      <c r="C68" s="4"/>
    </row>
    <row r="69" spans="2:8" ht="30">
      <c r="B69" s="587"/>
      <c r="C69" s="185" t="s">
        <v>314</v>
      </c>
      <c r="D69" s="64" t="s">
        <v>312</v>
      </c>
      <c r="E69" s="64" t="s">
        <v>287</v>
      </c>
      <c r="F69" s="65" t="s">
        <v>313</v>
      </c>
      <c r="H69" s="98"/>
    </row>
    <row r="70" spans="2:13" ht="15.75" thickBot="1">
      <c r="B70" s="588"/>
      <c r="C70" s="206" t="s">
        <v>380</v>
      </c>
      <c r="D70" s="205" t="s">
        <v>154</v>
      </c>
      <c r="E70" s="205" t="s">
        <v>154</v>
      </c>
      <c r="F70" s="127" t="s">
        <v>380</v>
      </c>
      <c r="M70" s="98"/>
    </row>
    <row r="71" spans="2:8" ht="15">
      <c r="B71" s="203" t="s">
        <v>309</v>
      </c>
      <c r="C71" s="300">
        <f>C12</f>
        <v>27.75844</v>
      </c>
      <c r="D71" s="301">
        <v>0</v>
      </c>
      <c r="E71" s="301">
        <v>0</v>
      </c>
      <c r="F71" s="302">
        <f>C71-C71*(D71+E71)/100</f>
        <v>27.75844</v>
      </c>
      <c r="H71" s="99"/>
    </row>
    <row r="72" spans="2:8" ht="15.75" thickBot="1">
      <c r="B72" s="202" t="s">
        <v>310</v>
      </c>
      <c r="C72" s="303">
        <v>7.777282</v>
      </c>
      <c r="D72" s="304">
        <v>0</v>
      </c>
      <c r="E72" s="304">
        <v>0</v>
      </c>
      <c r="F72" s="305">
        <f aca="true" t="shared" si="0" ref="F72">C72-C72*(D72+E72)/100</f>
        <v>7.777282</v>
      </c>
      <c r="H72" s="99"/>
    </row>
    <row r="73" spans="2:8" ht="15.75" thickBot="1">
      <c r="B73" s="182" t="s">
        <v>311</v>
      </c>
      <c r="C73" s="306">
        <f>C71+C72</f>
        <v>35.535722</v>
      </c>
      <c r="D73" s="304"/>
      <c r="E73" s="304"/>
      <c r="F73" s="307">
        <f>F71+F72</f>
        <v>35.535722</v>
      </c>
      <c r="H73" s="99"/>
    </row>
    <row r="74" ht="15">
      <c r="B74" s="199" t="s">
        <v>306</v>
      </c>
    </row>
    <row r="75" ht="15">
      <c r="C75" s="99"/>
    </row>
    <row r="76" ht="15">
      <c r="C76" s="99"/>
    </row>
    <row r="77" spans="2:3" ht="15">
      <c r="B77" s="62" t="s">
        <v>404</v>
      </c>
      <c r="C77" s="99"/>
    </row>
    <row r="78" spans="2:3" ht="15">
      <c r="B78" s="27" t="s">
        <v>333</v>
      </c>
      <c r="C78" s="99"/>
    </row>
    <row r="79" spans="2:3" ht="15.75" thickBot="1">
      <c r="B79" s="27"/>
      <c r="C79" s="4"/>
    </row>
    <row r="80" spans="2:12" ht="61.15" customHeight="1">
      <c r="B80" s="570"/>
      <c r="C80" s="185" t="s">
        <v>334</v>
      </c>
      <c r="D80" s="64" t="s">
        <v>437</v>
      </c>
      <c r="E80" s="65" t="s">
        <v>335</v>
      </c>
      <c r="F80" s="185" t="s">
        <v>342</v>
      </c>
      <c r="G80" s="65" t="s">
        <v>155</v>
      </c>
      <c r="H80" s="92" t="s">
        <v>153</v>
      </c>
      <c r="I80" s="64" t="s">
        <v>287</v>
      </c>
      <c r="J80" s="65" t="s">
        <v>343</v>
      </c>
      <c r="L80" s="98"/>
    </row>
    <row r="81" spans="2:13" ht="15.75" thickBot="1">
      <c r="B81" s="571"/>
      <c r="C81" s="126" t="s">
        <v>379</v>
      </c>
      <c r="D81" s="119" t="s">
        <v>124</v>
      </c>
      <c r="E81" s="120" t="s">
        <v>380</v>
      </c>
      <c r="F81" s="206" t="s">
        <v>154</v>
      </c>
      <c r="G81" s="127" t="s">
        <v>380</v>
      </c>
      <c r="H81" s="204" t="s">
        <v>154</v>
      </c>
      <c r="I81" s="205" t="s">
        <v>154</v>
      </c>
      <c r="J81" s="120" t="s">
        <v>380</v>
      </c>
      <c r="M81" s="98"/>
    </row>
    <row r="82" spans="2:13" ht="15">
      <c r="B82" s="124" t="s">
        <v>348</v>
      </c>
      <c r="C82" s="221"/>
      <c r="D82" s="122"/>
      <c r="E82" s="118"/>
      <c r="F82" s="231"/>
      <c r="G82" s="179"/>
      <c r="H82" s="227"/>
      <c r="I82" s="222"/>
      <c r="J82" s="211">
        <f>SUM(J83,J86,J89,J90)</f>
        <v>0</v>
      </c>
      <c r="L82" s="99"/>
      <c r="M82" s="99"/>
    </row>
    <row r="83" spans="2:13" ht="15">
      <c r="B83" s="218" t="s">
        <v>336</v>
      </c>
      <c r="C83" s="223"/>
      <c r="D83" s="216"/>
      <c r="E83" s="84">
        <f>SUM(E84:E85)</f>
        <v>0</v>
      </c>
      <c r="F83" s="232">
        <v>0</v>
      </c>
      <c r="G83" s="84">
        <f>E83-E83*F83</f>
        <v>0</v>
      </c>
      <c r="H83" s="229">
        <v>0</v>
      </c>
      <c r="I83" s="224">
        <v>0</v>
      </c>
      <c r="J83" s="220">
        <f>G83-G83*(H83+I83)/100</f>
        <v>0</v>
      </c>
      <c r="L83" s="99"/>
      <c r="M83" s="99"/>
    </row>
    <row r="84" spans="2:13" ht="15">
      <c r="B84" s="219" t="s">
        <v>340</v>
      </c>
      <c r="C84" s="269">
        <v>0</v>
      </c>
      <c r="D84" s="216">
        <v>0</v>
      </c>
      <c r="E84" s="84">
        <f>C84*D84/10^6</f>
        <v>0</v>
      </c>
      <c r="F84" s="232"/>
      <c r="G84" s="217"/>
      <c r="H84" s="228"/>
      <c r="I84" s="225"/>
      <c r="J84" s="220"/>
      <c r="M84" s="99"/>
    </row>
    <row r="85" spans="2:13" ht="15">
      <c r="B85" s="219" t="s">
        <v>341</v>
      </c>
      <c r="C85" s="269">
        <v>0</v>
      </c>
      <c r="D85" s="216">
        <v>0</v>
      </c>
      <c r="E85" s="84">
        <f>C85*D85/10^6</f>
        <v>0</v>
      </c>
      <c r="F85" s="232"/>
      <c r="G85" s="217"/>
      <c r="H85" s="228"/>
      <c r="I85" s="225"/>
      <c r="J85" s="220"/>
      <c r="M85" s="99"/>
    </row>
    <row r="86" spans="2:13" ht="15">
      <c r="B86" s="218" t="s">
        <v>337</v>
      </c>
      <c r="C86" s="223"/>
      <c r="D86" s="216"/>
      <c r="E86" s="84">
        <f>SUM(E87:E88)</f>
        <v>0</v>
      </c>
      <c r="F86" s="232">
        <v>0</v>
      </c>
      <c r="G86" s="84">
        <f>E86-E86*F86</f>
        <v>0</v>
      </c>
      <c r="H86" s="229">
        <v>0</v>
      </c>
      <c r="I86" s="224">
        <v>0</v>
      </c>
      <c r="J86" s="220">
        <f>G86-G86*(H86+I86)/100</f>
        <v>0</v>
      </c>
      <c r="L86" s="99"/>
      <c r="M86" s="99"/>
    </row>
    <row r="87" spans="2:13" ht="15">
      <c r="B87" s="219" t="s">
        <v>340</v>
      </c>
      <c r="C87" s="269">
        <v>0</v>
      </c>
      <c r="D87" s="216">
        <v>0</v>
      </c>
      <c r="E87" s="84">
        <f>C87*D87/10^6</f>
        <v>0</v>
      </c>
      <c r="F87" s="232"/>
      <c r="G87" s="217"/>
      <c r="H87" s="228"/>
      <c r="I87" s="225"/>
      <c r="J87" s="220"/>
      <c r="M87" s="99"/>
    </row>
    <row r="88" spans="2:13" ht="15">
      <c r="B88" s="219" t="s">
        <v>341</v>
      </c>
      <c r="C88" s="269">
        <v>0</v>
      </c>
      <c r="D88" s="216">
        <v>0</v>
      </c>
      <c r="E88" s="84">
        <f>C88*D88/10^6</f>
        <v>0</v>
      </c>
      <c r="F88" s="232"/>
      <c r="G88" s="217"/>
      <c r="H88" s="228"/>
      <c r="I88" s="225"/>
      <c r="J88" s="220"/>
      <c r="M88" s="99"/>
    </row>
    <row r="89" spans="2:13" ht="15">
      <c r="B89" s="218" t="s">
        <v>338</v>
      </c>
      <c r="C89" s="269">
        <v>0</v>
      </c>
      <c r="D89" s="216">
        <v>0</v>
      </c>
      <c r="E89" s="84">
        <f>C89*D89/10^6</f>
        <v>0</v>
      </c>
      <c r="F89" s="232">
        <v>0</v>
      </c>
      <c r="G89" s="84">
        <f>E89-E89*F89</f>
        <v>0</v>
      </c>
      <c r="H89" s="229">
        <v>0</v>
      </c>
      <c r="I89" s="224">
        <v>0</v>
      </c>
      <c r="J89" s="220">
        <f>G89-G89*(H89+I89)/100</f>
        <v>0</v>
      </c>
      <c r="L89" s="99"/>
      <c r="M89" s="99"/>
    </row>
    <row r="90" spans="2:13" ht="15.75" thickBot="1">
      <c r="B90" s="87" t="s">
        <v>339</v>
      </c>
      <c r="C90" s="270">
        <v>0</v>
      </c>
      <c r="D90" s="262">
        <v>0</v>
      </c>
      <c r="E90" s="82">
        <f>C90*D90/10^6</f>
        <v>0</v>
      </c>
      <c r="F90" s="233">
        <v>0</v>
      </c>
      <c r="G90" s="82">
        <f>E90-E90*F90</f>
        <v>0</v>
      </c>
      <c r="H90" s="230">
        <v>0</v>
      </c>
      <c r="I90" s="91">
        <v>0</v>
      </c>
      <c r="J90" s="226">
        <f>G90-G90*(H90+I90)/100</f>
        <v>0</v>
      </c>
      <c r="L90" s="99"/>
      <c r="M90" s="99"/>
    </row>
    <row r="91" spans="2:3" ht="15">
      <c r="B91" s="27"/>
      <c r="C91" s="4"/>
    </row>
    <row r="92" spans="2:9" ht="14.25" customHeight="1">
      <c r="B92" s="98"/>
      <c r="C92" s="4"/>
      <c r="I92" s="210"/>
    </row>
    <row r="97" spans="3:5" ht="15">
      <c r="C97"/>
      <c r="D97"/>
      <c r="E97"/>
    </row>
    <row r="98" spans="2:5" ht="15.75" thickBot="1">
      <c r="B98" s="294" t="s">
        <v>515</v>
      </c>
      <c r="C98"/>
      <c r="D98"/>
      <c r="E98"/>
    </row>
    <row r="99" spans="2:5" ht="30.75" thickBot="1">
      <c r="B99" s="296" t="s">
        <v>503</v>
      </c>
      <c r="C99" s="490" t="s">
        <v>504</v>
      </c>
      <c r="D99" s="490" t="s">
        <v>505</v>
      </c>
      <c r="E99" s="491" t="s">
        <v>506</v>
      </c>
    </row>
    <row r="100" spans="2:5" ht="15.75" thickBot="1">
      <c r="B100" s="295"/>
      <c r="C100" s="479"/>
      <c r="D100" s="479"/>
      <c r="E100" s="479"/>
    </row>
    <row r="101" spans="2:5" ht="15.75" thickBot="1">
      <c r="B101" s="296" t="s">
        <v>509</v>
      </c>
      <c r="C101" s="477"/>
      <c r="D101" s="477"/>
      <c r="E101" s="478">
        <v>95.464258</v>
      </c>
    </row>
    <row r="102" spans="2:5" ht="15.75" thickBot="1">
      <c r="B102" s="296" t="s">
        <v>311</v>
      </c>
      <c r="C102" s="477"/>
      <c r="D102" s="477"/>
      <c r="E102" s="478">
        <f>SUM(E103:E104)</f>
        <v>35.535722</v>
      </c>
    </row>
    <row r="103" spans="2:5" ht="15.75" thickBot="1">
      <c r="B103" s="295" t="s">
        <v>309</v>
      </c>
      <c r="C103" s="477">
        <f>81.070623+0.217613</f>
        <v>81.288236</v>
      </c>
      <c r="D103" s="477">
        <f>-53.529796-0</f>
        <v>-53.529796</v>
      </c>
      <c r="E103" s="477">
        <f>C103+D103</f>
        <v>27.75844</v>
      </c>
    </row>
    <row r="104" spans="2:5" ht="15.75" thickBot="1">
      <c r="B104" s="295" t="s">
        <v>310</v>
      </c>
      <c r="C104" s="477">
        <f>28.576589+0.460622</f>
        <v>29.037211</v>
      </c>
      <c r="D104" s="477">
        <v>-21.259929</v>
      </c>
      <c r="E104" s="477">
        <f>C104+D104</f>
        <v>7.777282</v>
      </c>
    </row>
    <row r="106" ht="15.75" thickBot="1">
      <c r="B106" s="294" t="s">
        <v>516</v>
      </c>
    </row>
    <row r="107" spans="2:5" ht="30.75" thickBot="1">
      <c r="B107" s="296" t="s">
        <v>503</v>
      </c>
      <c r="C107" s="490" t="s">
        <v>504</v>
      </c>
      <c r="D107" s="490" t="s">
        <v>505</v>
      </c>
      <c r="E107" s="491" t="s">
        <v>506</v>
      </c>
    </row>
    <row r="108" spans="2:5" ht="15.75" thickBot="1">
      <c r="B108" s="295"/>
      <c r="C108" s="297"/>
      <c r="D108" s="297"/>
      <c r="E108" s="297"/>
    </row>
    <row r="109" spans="2:5" ht="15.75" thickBot="1">
      <c r="B109" s="296" t="s">
        <v>509</v>
      </c>
      <c r="C109" s="477"/>
      <c r="D109" s="477"/>
      <c r="E109" s="478">
        <v>95.464258</v>
      </c>
    </row>
    <row r="110" spans="2:5" ht="15.75" thickBot="1">
      <c r="B110" s="296" t="s">
        <v>514</v>
      </c>
      <c r="C110" s="477"/>
      <c r="D110" s="477"/>
      <c r="E110" s="478">
        <f>SUM(E111:E112)</f>
        <v>22.363199</v>
      </c>
    </row>
    <row r="111" spans="2:5" ht="15.75" thickBot="1">
      <c r="B111" s="295" t="s">
        <v>510</v>
      </c>
      <c r="C111" s="477">
        <f>42.956719+0.010522</f>
        <v>42.967241</v>
      </c>
      <c r="D111" s="477">
        <f>-21.608379-0</f>
        <v>-21.608379</v>
      </c>
      <c r="E111" s="477">
        <f>C111+D111</f>
        <v>21.358862000000002</v>
      </c>
    </row>
    <row r="112" spans="2:5" ht="15.75" thickBot="1">
      <c r="B112" s="295" t="s">
        <v>511</v>
      </c>
      <c r="C112" s="477"/>
      <c r="D112" s="477"/>
      <c r="E112" s="477">
        <v>1.004337</v>
      </c>
    </row>
  </sheetData>
  <mergeCells count="2">
    <mergeCell ref="B69:B70"/>
    <mergeCell ref="B80:B81"/>
  </mergeCells>
  <printOptions/>
  <pageMargins left="0.7" right="0.7" top="0.787401575" bottom="0.787401575" header="0.3" footer="0.3"/>
  <pageSetup horizontalDpi="600" verticalDpi="600" orientation="portrait" paperSize="9" scale="50" r:id="rId3"/>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zoomScale="90" zoomScaleNormal="90" workbookViewId="0" topLeftCell="A1">
      <selection activeCell="O1" sqref="O1"/>
    </sheetView>
  </sheetViews>
  <sheetFormatPr defaultColWidth="8.8515625" defaultRowHeight="15"/>
  <cols>
    <col min="1" max="1" width="5.00390625" style="5" bestFit="1" customWidth="1"/>
    <col min="2" max="2" width="67.421875" style="5" customWidth="1"/>
    <col min="3" max="9" width="20.7109375" style="5" customWidth="1"/>
    <col min="10" max="16384" width="8.8515625" style="5" customWidth="1"/>
  </cols>
  <sheetData>
    <row r="1" ht="18.75">
      <c r="B1" s="6" t="s">
        <v>345</v>
      </c>
    </row>
    <row r="2" ht="4.5" customHeight="1"/>
    <row r="3" ht="18.75">
      <c r="G3" s="6"/>
    </row>
    <row r="4" spans="2:3" ht="15">
      <c r="B4" s="7" t="s">
        <v>402</v>
      </c>
      <c r="C4" s="4"/>
    </row>
    <row r="5" spans="2:3" ht="15">
      <c r="B5" s="27" t="s">
        <v>344</v>
      </c>
      <c r="C5" s="4"/>
    </row>
    <row r="6" spans="3:7" ht="15">
      <c r="C6" s="4"/>
      <c r="G6" s="7"/>
    </row>
    <row r="7" spans="2:7" ht="15">
      <c r="B7" s="27" t="s">
        <v>445</v>
      </c>
      <c r="C7" s="4"/>
      <c r="G7" s="27"/>
    </row>
    <row r="8" ht="15.75" thickBot="1">
      <c r="C8" s="4"/>
    </row>
    <row r="9" spans="2:3" ht="15.75" thickBot="1">
      <c r="B9" s="203" t="s">
        <v>347</v>
      </c>
      <c r="C9" s="234">
        <v>0</v>
      </c>
    </row>
    <row r="10" spans="2:3" ht="15.75" thickBot="1">
      <c r="B10" s="182" t="s">
        <v>346</v>
      </c>
      <c r="C10" s="241">
        <v>0</v>
      </c>
    </row>
    <row r="11" spans="2:3" ht="15">
      <c r="B11" s="60" t="s">
        <v>393</v>
      </c>
      <c r="C11" s="242">
        <v>0</v>
      </c>
    </row>
    <row r="12" spans="2:3" ht="15.75" thickBot="1">
      <c r="B12" s="176" t="s">
        <v>394</v>
      </c>
      <c r="C12" s="213" t="e">
        <f>C11/C10*100</f>
        <v>#DIV/0!</v>
      </c>
    </row>
    <row r="13" spans="2:3" ht="15">
      <c r="B13" s="60" t="str">
        <f>"Capital stock as of 31.12."&amp;RIGHT($B$4,4)-1&amp;" (in constant 2010 prices, million NAC)"</f>
        <v>Capital stock as of 31.12.2019 (in constant 2010 prices, million NAC)</v>
      </c>
      <c r="C13" s="242">
        <v>0</v>
      </c>
    </row>
    <row r="14" spans="2:3" ht="15.75" thickBot="1">
      <c r="B14" s="176" t="str">
        <f>"Capital stock as of 31.12."&amp;RIGHT($B$4,4)&amp;" (in constant 2010 prices, million NAC)"</f>
        <v>Capital stock as of 31.12.2020 (in constant 2010 prices, million NAC)</v>
      </c>
      <c r="C14" s="213" t="e">
        <f>C13+C12-C16</f>
        <v>#DIV/0!</v>
      </c>
    </row>
    <row r="15" spans="2:3" ht="15">
      <c r="B15" s="53" t="s">
        <v>395</v>
      </c>
      <c r="C15" s="240" t="e">
        <f>C16*C10/100</f>
        <v>#DIV/0!</v>
      </c>
    </row>
    <row r="16" spans="2:3" ht="15.75" thickBot="1">
      <c r="B16" s="176" t="s">
        <v>396</v>
      </c>
      <c r="C16" s="213" t="e">
        <f>C13*C9+C12*(1-(1-C9)^0.5)</f>
        <v>#DIV/0!</v>
      </c>
    </row>
    <row r="17" ht="15">
      <c r="C17" s="4"/>
    </row>
    <row r="18" ht="15">
      <c r="C18" s="4"/>
    </row>
    <row r="19" ht="15">
      <c r="B19" s="199"/>
    </row>
    <row r="23" ht="15">
      <c r="B23" s="5" t="s">
        <v>513</v>
      </c>
    </row>
    <row r="25" ht="15.75" thickBot="1">
      <c r="B25" s="294" t="s">
        <v>502</v>
      </c>
    </row>
    <row r="26" spans="2:3" ht="15.75" thickBot="1">
      <c r="B26" s="296" t="s">
        <v>503</v>
      </c>
      <c r="C26" s="490" t="s">
        <v>9</v>
      </c>
    </row>
    <row r="27" spans="2:3" ht="15.75" thickBot="1">
      <c r="B27" s="295"/>
      <c r="C27" s="297"/>
    </row>
    <row r="28" spans="2:3" ht="15.75" thickBot="1">
      <c r="B28" s="296" t="s">
        <v>512</v>
      </c>
      <c r="C28" s="477">
        <v>144.415</v>
      </c>
    </row>
  </sheetData>
  <printOptions/>
  <pageMargins left="0.7" right="0.7" top="0.787401575" bottom="0.787401575" header="0.3" footer="0.3"/>
  <pageSetup orientation="portrait" paperSize="9"/>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7"/>
  <sheetViews>
    <sheetView zoomScale="90" zoomScaleNormal="90" workbookViewId="0" topLeftCell="A1">
      <selection activeCell="F32" sqref="F32"/>
    </sheetView>
  </sheetViews>
  <sheetFormatPr defaultColWidth="8.8515625" defaultRowHeight="15"/>
  <cols>
    <col min="1" max="1" width="5.00390625" style="5" bestFit="1" customWidth="1"/>
    <col min="2" max="2" width="67.421875" style="5" customWidth="1"/>
    <col min="3" max="12" width="20.7109375" style="5" customWidth="1"/>
    <col min="13" max="16384" width="8.8515625" style="5" customWidth="1"/>
  </cols>
  <sheetData>
    <row r="1" ht="18.75">
      <c r="B1" s="6" t="s">
        <v>451</v>
      </c>
    </row>
    <row r="2" ht="4.5" customHeight="1"/>
    <row r="3" ht="18.75">
      <c r="G3" s="6"/>
    </row>
    <row r="4" spans="2:3" ht="15">
      <c r="B4" s="7" t="s">
        <v>401</v>
      </c>
      <c r="C4" s="4" t="s">
        <v>372</v>
      </c>
    </row>
    <row r="5" spans="2:5" ht="15">
      <c r="B5" s="27" t="s">
        <v>350</v>
      </c>
      <c r="C5" s="4"/>
      <c r="D5" s="98"/>
      <c r="E5" s="98"/>
    </row>
    <row r="6" spans="3:7" ht="15">
      <c r="C6" s="4"/>
      <c r="G6" s="7"/>
    </row>
    <row r="7" spans="2:7" ht="15">
      <c r="B7" s="27" t="s">
        <v>351</v>
      </c>
      <c r="C7" s="4"/>
      <c r="G7" s="27"/>
    </row>
    <row r="8" spans="3:5" ht="15.75" thickBot="1">
      <c r="C8" s="4"/>
      <c r="E8" s="155"/>
    </row>
    <row r="9" spans="2:3" ht="15">
      <c r="B9" s="236" t="s">
        <v>20</v>
      </c>
      <c r="C9" s="480">
        <f>(72.1383852793929-79.6790432969805)+(2.39088099376237-1.94060439878673)+(23.8339867833464-20.5420464513878)+(2.36904795021018-1.99326542756447)+(74.9009300224823-82.6736299062908)+(2.4835185-2.4172715)</f>
        <v>-11.129111451816138</v>
      </c>
    </row>
    <row r="10" spans="2:3" ht="15">
      <c r="B10" s="245" t="s">
        <v>21</v>
      </c>
      <c r="C10" s="481">
        <f>17.6271399724197-18.2110672593578</f>
        <v>-0.5839272869380991</v>
      </c>
    </row>
    <row r="11" spans="2:9" ht="15">
      <c r="B11" s="245" t="s">
        <v>478</v>
      </c>
      <c r="C11" s="481">
        <f>10.6013052657799-14.484443428434</f>
        <v>-3.8831381626541006</v>
      </c>
      <c r="F11"/>
      <c r="G11"/>
      <c r="H11"/>
      <c r="I11"/>
    </row>
    <row r="12" spans="2:9" ht="15">
      <c r="B12" s="245" t="s">
        <v>479</v>
      </c>
      <c r="C12" s="481">
        <f>7.41840610620863-6.00036005950807</f>
        <v>1.4180460467005602</v>
      </c>
      <c r="F12"/>
      <c r="G12"/>
      <c r="H12"/>
      <c r="I12"/>
    </row>
    <row r="13" spans="2:9" ht="15">
      <c r="B13" s="245" t="s">
        <v>480</v>
      </c>
      <c r="C13" s="481">
        <f>3.3181856977268-3.13980317447491</f>
        <v>0.17838252325188986</v>
      </c>
      <c r="F13"/>
      <c r="G13"/>
      <c r="H13"/>
      <c r="I13"/>
    </row>
    <row r="14" spans="2:9" ht="15.75" thickBot="1">
      <c r="B14" s="246" t="s">
        <v>352</v>
      </c>
      <c r="C14" s="482">
        <v>0</v>
      </c>
      <c r="F14"/>
      <c r="G14"/>
      <c r="H14"/>
      <c r="I14"/>
    </row>
    <row r="15" spans="2:9" ht="15.75" thickBot="1">
      <c r="B15" s="182" t="s">
        <v>351</v>
      </c>
      <c r="C15" s="483">
        <f>SUM(C9:C14)</f>
        <v>-13.999748331455887</v>
      </c>
      <c r="E15" s="99"/>
      <c r="F15"/>
      <c r="G15"/>
      <c r="H15"/>
      <c r="I15"/>
    </row>
    <row r="16" spans="3:9" ht="15">
      <c r="C16" s="4"/>
      <c r="F16"/>
      <c r="G16"/>
      <c r="H16"/>
      <c r="I16"/>
    </row>
    <row r="17" spans="2:9" ht="15">
      <c r="B17" s="27" t="s">
        <v>353</v>
      </c>
      <c r="C17" s="4"/>
      <c r="F17"/>
      <c r="G17"/>
      <c r="H17"/>
      <c r="I17"/>
    </row>
    <row r="18" spans="3:9" ht="15.75" thickBot="1">
      <c r="C18" s="4"/>
      <c r="F18"/>
      <c r="G18"/>
      <c r="H18"/>
      <c r="I18"/>
    </row>
    <row r="19" spans="2:9" ht="15">
      <c r="B19" s="236" t="s">
        <v>354</v>
      </c>
      <c r="C19" s="247">
        <v>0</v>
      </c>
      <c r="F19"/>
      <c r="G19"/>
      <c r="H19"/>
      <c r="I19"/>
    </row>
    <row r="20" spans="2:9" ht="15">
      <c r="B20" s="245" t="s">
        <v>355</v>
      </c>
      <c r="C20" s="243">
        <v>0</v>
      </c>
      <c r="F20"/>
      <c r="G20"/>
      <c r="H20"/>
      <c r="I20"/>
    </row>
    <row r="21" spans="2:3" ht="15">
      <c r="B21" s="245" t="str">
        <f>"Price Index Input 1 for "&amp;RIGHT($B$4,4)-1&amp;" (2010=100)"</f>
        <v>Price Index Input 1 for 2019 (2010=100)</v>
      </c>
      <c r="C21" s="243">
        <v>0</v>
      </c>
    </row>
    <row r="22" spans="2:3" ht="15.75" thickBot="1">
      <c r="B22" s="245" t="str">
        <f>"Price Index Input 1 for "&amp;RIGHT($B$4,4)&amp;" (2010=100)"</f>
        <v>Price Index Input 1 for 2020 (2010=100)</v>
      </c>
      <c r="C22" s="243">
        <v>0</v>
      </c>
    </row>
    <row r="23" spans="2:5" ht="15.75" thickBot="1">
      <c r="B23" s="182" t="s">
        <v>353</v>
      </c>
      <c r="C23" s="244" t="e">
        <f>(C20/C22-C19/C21)*C22</f>
        <v>#DIV/0!</v>
      </c>
      <c r="E23" s="99"/>
    </row>
    <row r="25" ht="15">
      <c r="B25" s="27" t="s">
        <v>450</v>
      </c>
    </row>
    <row r="26" ht="15.75" thickBot="1"/>
    <row r="27" spans="2:5" ht="15.75" thickBot="1">
      <c r="B27" s="182" t="s">
        <v>450</v>
      </c>
      <c r="C27" s="244" t="e">
        <f>C15+C23</f>
        <v>#DIV/0!</v>
      </c>
      <c r="E27" s="99"/>
    </row>
  </sheetData>
  <printOptions/>
  <pageMargins left="0.7" right="0.7" top="0.787401575" bottom="0.787401575" header="0.3" footer="0.3"/>
  <pageSetup horizontalDpi="600" verticalDpi="600" orientation="portrait" paperSize="9" r:id="rId3"/>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90" zoomScaleNormal="90" workbookViewId="0" topLeftCell="A1">
      <selection activeCell="D26" sqref="D26"/>
    </sheetView>
  </sheetViews>
  <sheetFormatPr defaultColWidth="8.8515625" defaultRowHeight="15"/>
  <cols>
    <col min="1" max="1" width="8.00390625" style="5" bestFit="1" customWidth="1"/>
    <col min="2" max="2" width="50.28125" style="5" customWidth="1"/>
    <col min="3" max="8" width="20.7109375" style="5" customWidth="1"/>
    <col min="9" max="11" width="14.140625" style="5" bestFit="1" customWidth="1"/>
    <col min="12" max="12" width="17.00390625" style="5" bestFit="1" customWidth="1"/>
    <col min="13" max="13" width="12.7109375" style="5" bestFit="1" customWidth="1"/>
    <col min="14" max="14" width="11.421875" style="5" customWidth="1"/>
    <col min="15" max="16384" width="8.8515625" style="5" customWidth="1"/>
  </cols>
  <sheetData>
    <row r="1" spans="2:4" ht="18.75">
      <c r="B1" s="6" t="s">
        <v>356</v>
      </c>
      <c r="D1" s="178"/>
    </row>
    <row r="2" ht="4.5" customHeight="1"/>
    <row r="3" spans="2:7" ht="18.75">
      <c r="B3" s="62" t="s">
        <v>400</v>
      </c>
      <c r="C3" s="89"/>
      <c r="D3" s="89"/>
      <c r="E3" s="89"/>
      <c r="G3" s="6"/>
    </row>
    <row r="4" spans="2:6" ht="15">
      <c r="B4" s="27" t="s">
        <v>357</v>
      </c>
      <c r="C4" s="89"/>
      <c r="D4" s="89"/>
      <c r="E4" s="89"/>
      <c r="F4" s="89"/>
    </row>
    <row r="5" spans="2:7" ht="15.75" thickBot="1">
      <c r="B5" s="27"/>
      <c r="C5" s="89"/>
      <c r="D5" s="98"/>
      <c r="E5" s="89"/>
      <c r="F5" s="89"/>
      <c r="G5" s="62"/>
    </row>
    <row r="6" spans="2:7" ht="16.5" customHeight="1">
      <c r="B6" s="584" t="s">
        <v>238</v>
      </c>
      <c r="C6" s="148" t="s">
        <v>125</v>
      </c>
      <c r="G6" s="27"/>
    </row>
    <row r="7" spans="2:4" ht="15">
      <c r="B7" s="585"/>
      <c r="C7" s="149" t="s">
        <v>10</v>
      </c>
      <c r="D7" s="88"/>
    </row>
    <row r="8" spans="2:4" ht="15.75" thickBot="1">
      <c r="B8" s="586"/>
      <c r="C8" s="150" t="s">
        <v>380</v>
      </c>
      <c r="D8" s="89"/>
    </row>
    <row r="9" spans="1:4" ht="15">
      <c r="A9" s="154"/>
      <c r="B9" s="93" t="s">
        <v>359</v>
      </c>
      <c r="C9" s="484">
        <f>SUM(C10:C16)</f>
        <v>109.40385488</v>
      </c>
      <c r="D9" s="210"/>
    </row>
    <row r="10" spans="1:3" ht="45">
      <c r="A10" s="249"/>
      <c r="B10" s="271" t="s">
        <v>364</v>
      </c>
      <c r="C10" s="474">
        <v>24.94439439</v>
      </c>
    </row>
    <row r="11" spans="1:3" ht="30">
      <c r="A11" s="154"/>
      <c r="B11" s="271" t="s">
        <v>446</v>
      </c>
      <c r="C11" s="474">
        <v>52.526275319999996</v>
      </c>
    </row>
    <row r="12" spans="1:4" ht="15">
      <c r="A12" s="154"/>
      <c r="B12" s="271" t="s">
        <v>447</v>
      </c>
      <c r="C12" s="474">
        <v>5.73141029</v>
      </c>
      <c r="D12" s="248"/>
    </row>
    <row r="13" spans="1:3" ht="30">
      <c r="A13" s="154"/>
      <c r="B13" s="271" t="s">
        <v>360</v>
      </c>
      <c r="C13" s="474"/>
    </row>
    <row r="14" spans="1:3" ht="15">
      <c r="A14" s="154"/>
      <c r="B14" s="271" t="s">
        <v>448</v>
      </c>
      <c r="C14" s="474">
        <v>26.20177488</v>
      </c>
    </row>
    <row r="15" spans="1:3" ht="30">
      <c r="A15" s="154"/>
      <c r="B15" s="271" t="s">
        <v>449</v>
      </c>
      <c r="C15" s="474">
        <v>0</v>
      </c>
    </row>
    <row r="16" spans="1:3" ht="15" customHeight="1">
      <c r="A16" s="154"/>
      <c r="B16" s="272" t="s">
        <v>361</v>
      </c>
      <c r="C16" s="474">
        <v>0</v>
      </c>
    </row>
    <row r="17" spans="1:4" ht="15">
      <c r="A17" s="154"/>
      <c r="B17" s="153" t="s">
        <v>362</v>
      </c>
      <c r="C17" s="474">
        <v>0</v>
      </c>
      <c r="D17" s="210"/>
    </row>
    <row r="18" spans="1:3" ht="15.75" thickBot="1">
      <c r="A18" s="154"/>
      <c r="B18" s="271" t="s">
        <v>363</v>
      </c>
      <c r="C18" s="474">
        <v>0</v>
      </c>
    </row>
    <row r="19" spans="1:5" ht="15.75" thickBot="1">
      <c r="A19" s="154"/>
      <c r="B19" s="145" t="s">
        <v>358</v>
      </c>
      <c r="C19" s="475">
        <f>C9+C17</f>
        <v>109.40385488</v>
      </c>
      <c r="D19" s="210"/>
      <c r="E19" s="5" t="s">
        <v>466</v>
      </c>
    </row>
    <row r="21" spans="2:3" ht="15">
      <c r="B21" s="98"/>
      <c r="C21" s="99"/>
    </row>
  </sheetData>
  <mergeCells count="1">
    <mergeCell ref="B6:B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topLeftCell="A1">
      <selection activeCell="K1" sqref="K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5" width="15.7109375" style="5" bestFit="1" customWidth="1"/>
    <col min="6"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8" ht="18.75">
      <c r="B1" s="6" t="s">
        <v>45</v>
      </c>
      <c r="H1" s="6"/>
    </row>
    <row r="2" ht="4.5" customHeight="1"/>
    <row r="3" spans="2:8" ht="15">
      <c r="B3" s="283" t="s">
        <v>397</v>
      </c>
      <c r="C3" s="4" t="s">
        <v>28</v>
      </c>
      <c r="H3" s="7"/>
    </row>
    <row r="4" spans="2:3" ht="15">
      <c r="B4" s="5" t="s">
        <v>46</v>
      </c>
      <c r="C4" s="4" t="s">
        <v>371</v>
      </c>
    </row>
    <row r="5" spans="2:3" ht="14.25" customHeight="1">
      <c r="B5" s="274" t="s">
        <v>470</v>
      </c>
      <c r="C5" s="4" t="s">
        <v>372</v>
      </c>
    </row>
    <row r="6" ht="14.25" customHeight="1" thickBot="1">
      <c r="G6" s="278"/>
    </row>
    <row r="7" spans="2:4" ht="16.5" customHeight="1" thickBot="1">
      <c r="B7" s="111"/>
      <c r="C7" s="112" t="s">
        <v>3</v>
      </c>
      <c r="D7" s="8"/>
    </row>
    <row r="8" spans="1:3" ht="15">
      <c r="A8" s="9">
        <v>1</v>
      </c>
      <c r="B8" s="102" t="s">
        <v>0</v>
      </c>
      <c r="C8" s="374">
        <v>25.1941</v>
      </c>
    </row>
    <row r="9" spans="1:3" ht="15">
      <c r="A9" s="9">
        <v>2</v>
      </c>
      <c r="B9" s="10" t="s">
        <v>8</v>
      </c>
      <c r="C9" s="374">
        <v>0</v>
      </c>
    </row>
    <row r="10" spans="1:3" ht="15">
      <c r="A10" s="9">
        <v>3</v>
      </c>
      <c r="B10" s="11" t="s">
        <v>2</v>
      </c>
      <c r="C10" s="374">
        <v>25.1941</v>
      </c>
    </row>
    <row r="11" spans="1:3" ht="15">
      <c r="A11" s="9">
        <v>6</v>
      </c>
      <c r="B11" s="10" t="s">
        <v>30</v>
      </c>
      <c r="C11" s="374">
        <v>0</v>
      </c>
    </row>
    <row r="12" spans="2:3" ht="15.75" thickBot="1">
      <c r="B12" s="12" t="s">
        <v>31</v>
      </c>
      <c r="C12" s="375">
        <f>IF(ISNUMBER(C11)=TRUE,C10-C11,C10)</f>
        <v>25.1941</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48">
        <v>0</v>
      </c>
      <c r="D17" s="349">
        <v>206.48271135266987</v>
      </c>
      <c r="E17" s="350">
        <f>C17*D17/1000</f>
        <v>0</v>
      </c>
      <c r="F17" s="351">
        <v>0</v>
      </c>
      <c r="G17" s="350"/>
      <c r="H17" s="351"/>
      <c r="I17" s="350"/>
      <c r="J17" s="351"/>
      <c r="K17" s="350">
        <f>E17</f>
        <v>0</v>
      </c>
      <c r="L17" s="351">
        <f>F17</f>
        <v>0</v>
      </c>
      <c r="N17" s="27"/>
    </row>
    <row r="18" spans="1:14" ht="15">
      <c r="A18" s="9">
        <v>8</v>
      </c>
      <c r="B18" s="17" t="s">
        <v>33</v>
      </c>
      <c r="C18" s="352" t="s">
        <v>370</v>
      </c>
      <c r="D18" s="353">
        <v>206.48271135266987</v>
      </c>
      <c r="E18" s="350"/>
      <c r="F18" s="354"/>
      <c r="G18" s="355"/>
      <c r="H18" s="354"/>
      <c r="I18" s="355"/>
      <c r="J18" s="354"/>
      <c r="K18" s="350">
        <f aca="true" t="shared" si="0" ref="K18:K25">E18</f>
        <v>0</v>
      </c>
      <c r="L18" s="351">
        <f aca="true" t="shared" si="1" ref="L18:L25">F18</f>
        <v>0</v>
      </c>
      <c r="N18" s="27"/>
    </row>
    <row r="19" spans="1:14" ht="15">
      <c r="A19" s="9">
        <v>10</v>
      </c>
      <c r="B19" s="17" t="s">
        <v>34</v>
      </c>
      <c r="C19" s="352" t="s">
        <v>370</v>
      </c>
      <c r="D19" s="353">
        <v>206.48271135266987</v>
      </c>
      <c r="E19" s="350"/>
      <c r="F19" s="354"/>
      <c r="G19" s="355"/>
      <c r="H19" s="354"/>
      <c r="I19" s="355"/>
      <c r="J19" s="354"/>
      <c r="K19" s="350">
        <f t="shared" si="0"/>
        <v>0</v>
      </c>
      <c r="L19" s="351">
        <f t="shared" si="1"/>
        <v>0</v>
      </c>
      <c r="N19" s="27"/>
    </row>
    <row r="20" spans="1:14" ht="15">
      <c r="A20" s="9">
        <v>11</v>
      </c>
      <c r="B20" s="17" t="s">
        <v>35</v>
      </c>
      <c r="C20" s="352">
        <v>2.7826137880211377</v>
      </c>
      <c r="D20" s="353">
        <v>206.48271135266987</v>
      </c>
      <c r="E20" s="350">
        <f aca="true" t="shared" si="2" ref="E20:E25">C20*D20/1000</f>
        <v>0.5745616395979278</v>
      </c>
      <c r="F20" s="354">
        <v>0.5733019187459951</v>
      </c>
      <c r="G20" s="355"/>
      <c r="H20" s="354"/>
      <c r="I20" s="355"/>
      <c r="J20" s="354"/>
      <c r="K20" s="350">
        <f t="shared" si="0"/>
        <v>0.5745616395979278</v>
      </c>
      <c r="L20" s="351">
        <f t="shared" si="1"/>
        <v>0.5733019187459951</v>
      </c>
      <c r="M20" s="277"/>
      <c r="N20" s="27"/>
    </row>
    <row r="21" spans="1:14" ht="15">
      <c r="A21" s="9" t="s">
        <v>36</v>
      </c>
      <c r="B21" s="17" t="s">
        <v>37</v>
      </c>
      <c r="C21" s="352">
        <v>1.5412926361229793</v>
      </c>
      <c r="D21" s="353">
        <v>206.48271135266987</v>
      </c>
      <c r="E21" s="350">
        <f t="shared" si="2"/>
        <v>0.31825028249457676</v>
      </c>
      <c r="F21" s="354">
        <v>0.3175525218204175</v>
      </c>
      <c r="G21" s="355"/>
      <c r="H21" s="354"/>
      <c r="I21" s="355"/>
      <c r="J21" s="354"/>
      <c r="K21" s="350">
        <f t="shared" si="0"/>
        <v>0.31825028249457676</v>
      </c>
      <c r="L21" s="351">
        <f t="shared" si="1"/>
        <v>0.3175525218204175</v>
      </c>
      <c r="M21" s="277"/>
      <c r="N21" s="27"/>
    </row>
    <row r="22" spans="1:14" ht="15">
      <c r="A22" s="9" t="s">
        <v>38</v>
      </c>
      <c r="B22" s="17" t="s">
        <v>39</v>
      </c>
      <c r="C22" s="348">
        <v>11.93985680265343</v>
      </c>
      <c r="D22" s="349">
        <v>206.48271135266987</v>
      </c>
      <c r="E22" s="350">
        <f t="shared" si="2"/>
        <v>2.4653740057744997</v>
      </c>
      <c r="F22" s="354">
        <v>2.459968697050687</v>
      </c>
      <c r="G22" s="355"/>
      <c r="H22" s="354"/>
      <c r="I22" s="355"/>
      <c r="J22" s="354"/>
      <c r="K22" s="350">
        <f t="shared" si="0"/>
        <v>2.4653740057744997</v>
      </c>
      <c r="L22" s="351">
        <f t="shared" si="1"/>
        <v>2.459968697050687</v>
      </c>
      <c r="M22" s="277"/>
      <c r="N22" s="27"/>
    </row>
    <row r="23" spans="1:14" ht="15">
      <c r="A23" s="9" t="s">
        <v>40</v>
      </c>
      <c r="B23" s="17" t="s">
        <v>41</v>
      </c>
      <c r="C23" s="352">
        <v>2.062710726397241</v>
      </c>
      <c r="D23" s="353">
        <v>206.48271135266987</v>
      </c>
      <c r="E23" s="350">
        <f t="shared" si="2"/>
        <v>0.4259141035227375</v>
      </c>
      <c r="F23" s="354">
        <v>0.42498029095962364</v>
      </c>
      <c r="G23" s="355"/>
      <c r="H23" s="354"/>
      <c r="I23" s="355"/>
      <c r="J23" s="354"/>
      <c r="K23" s="350">
        <f t="shared" si="0"/>
        <v>0.4259141035227375</v>
      </c>
      <c r="L23" s="351">
        <f t="shared" si="1"/>
        <v>0.42498029095962364</v>
      </c>
      <c r="M23" s="277"/>
      <c r="N23" s="27"/>
    </row>
    <row r="24" spans="1:14" ht="15">
      <c r="A24" s="9">
        <v>13</v>
      </c>
      <c r="B24" s="17" t="s">
        <v>42</v>
      </c>
      <c r="C24" s="352" t="s">
        <v>370</v>
      </c>
      <c r="D24" s="353">
        <v>206.48271135266987</v>
      </c>
      <c r="E24" s="350"/>
      <c r="F24" s="354"/>
      <c r="G24" s="355"/>
      <c r="H24" s="354"/>
      <c r="I24" s="355"/>
      <c r="J24" s="354"/>
      <c r="K24" s="350">
        <f t="shared" si="0"/>
        <v>0</v>
      </c>
      <c r="L24" s="351">
        <f t="shared" si="1"/>
        <v>0</v>
      </c>
      <c r="M24" s="277"/>
      <c r="N24" s="27"/>
    </row>
    <row r="25" spans="1:14" ht="15.75" thickBot="1">
      <c r="A25" s="9">
        <v>16</v>
      </c>
      <c r="B25" s="17" t="s">
        <v>26</v>
      </c>
      <c r="C25" s="376">
        <v>6.86762604680521</v>
      </c>
      <c r="D25" s="353">
        <v>206.48271135266987</v>
      </c>
      <c r="E25" s="350">
        <f t="shared" si="2"/>
        <v>1.4180460467005573</v>
      </c>
      <c r="F25" s="354">
        <v>1.414936994423278</v>
      </c>
      <c r="G25" s="355"/>
      <c r="H25" s="354"/>
      <c r="I25" s="355"/>
      <c r="J25" s="354"/>
      <c r="K25" s="350">
        <f t="shared" si="0"/>
        <v>1.4180460467005573</v>
      </c>
      <c r="L25" s="351">
        <f t="shared" si="1"/>
        <v>1.414936994423278</v>
      </c>
      <c r="M25" s="277"/>
      <c r="N25" s="27"/>
    </row>
    <row r="26" spans="1:13" ht="15.75" thickBot="1">
      <c r="A26" s="9">
        <v>17</v>
      </c>
      <c r="B26" s="21" t="s">
        <v>9</v>
      </c>
      <c r="C26" s="356">
        <f>SUM(C17:C25)</f>
        <v>25.1941</v>
      </c>
      <c r="D26" s="357"/>
      <c r="E26" s="358">
        <f>SUM(E17:E25)</f>
        <v>5.2021460780902995</v>
      </c>
      <c r="F26" s="358">
        <f>SUM(F17:F25)</f>
        <v>5.190740423000001</v>
      </c>
      <c r="G26" s="358">
        <v>0</v>
      </c>
      <c r="H26" s="359">
        <v>0</v>
      </c>
      <c r="I26" s="358">
        <v>0</v>
      </c>
      <c r="J26" s="359">
        <v>0</v>
      </c>
      <c r="K26" s="358">
        <f>E26+G26-I26</f>
        <v>5.2021460780902995</v>
      </c>
      <c r="L26" s="358">
        <f>F26+H26-J26</f>
        <v>5.190740423000001</v>
      </c>
      <c r="M26" s="277"/>
    </row>
    <row r="27" spans="3:12" ht="15">
      <c r="C27" s="13"/>
      <c r="E27" s="276"/>
      <c r="F27" s="13"/>
      <c r="G27" s="13"/>
      <c r="H27" s="13"/>
      <c r="I27" s="13"/>
      <c r="J27" s="13"/>
      <c r="K27" s="13"/>
      <c r="L27" s="13"/>
    </row>
    <row r="28" ht="15">
      <c r="B28" s="25"/>
    </row>
    <row r="29" ht="15.75" thickBot="1"/>
    <row r="30" spans="2:3" ht="15.75" thickBot="1">
      <c r="B30" s="111"/>
      <c r="C30" s="113">
        <v>2020</v>
      </c>
    </row>
    <row r="31" spans="2:5" ht="15">
      <c r="B31" s="202" t="s">
        <v>373</v>
      </c>
      <c r="C31" s="377">
        <v>100.21973079292815</v>
      </c>
      <c r="E31" s="278"/>
    </row>
    <row r="32" spans="2:3" ht="15.75" thickBot="1">
      <c r="B32" s="176" t="s">
        <v>374</v>
      </c>
      <c r="C32" s="378">
        <v>124.25209354625531</v>
      </c>
    </row>
    <row r="35" ht="15">
      <c r="B35" s="5" t="s">
        <v>533</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K1" sqref="K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47</v>
      </c>
      <c r="I1" s="6"/>
    </row>
    <row r="2" ht="4.5" customHeight="1"/>
    <row r="3" spans="2:9" ht="15">
      <c r="B3" s="7" t="s">
        <v>398</v>
      </c>
      <c r="C3" s="4" t="s">
        <v>28</v>
      </c>
      <c r="I3" s="7"/>
    </row>
    <row r="4" spans="2:3" ht="15">
      <c r="B4" s="5" t="s">
        <v>48</v>
      </c>
      <c r="C4" s="4" t="s">
        <v>371</v>
      </c>
    </row>
    <row r="5" ht="14.25" customHeight="1">
      <c r="C5" s="4" t="s">
        <v>372</v>
      </c>
    </row>
    <row r="6" ht="14.25" customHeight="1" thickBot="1"/>
    <row r="7" spans="2:4" ht="16.5" customHeight="1" thickBot="1">
      <c r="B7" s="111"/>
      <c r="C7" s="112" t="s">
        <v>3</v>
      </c>
      <c r="D7" s="8"/>
    </row>
    <row r="8" spans="1:3" ht="15">
      <c r="A8" s="9">
        <v>1</v>
      </c>
      <c r="B8" s="102" t="s">
        <v>0</v>
      </c>
      <c r="C8" s="374">
        <v>1272.9694</v>
      </c>
    </row>
    <row r="9" spans="1:3" ht="15">
      <c r="A9" s="9">
        <v>2</v>
      </c>
      <c r="B9" s="10" t="s">
        <v>8</v>
      </c>
      <c r="C9" s="379">
        <v>0</v>
      </c>
    </row>
    <row r="10" spans="1:3" ht="15">
      <c r="A10" s="9">
        <v>3</v>
      </c>
      <c r="B10" s="11" t="s">
        <v>2</v>
      </c>
      <c r="C10" s="374">
        <v>1272.9694</v>
      </c>
    </row>
    <row r="11" spans="1:3" ht="15">
      <c r="A11" s="9">
        <v>6</v>
      </c>
      <c r="B11" s="10" t="s">
        <v>30</v>
      </c>
      <c r="C11" s="379">
        <v>0</v>
      </c>
    </row>
    <row r="12" spans="2:3" ht="15.75" thickBot="1">
      <c r="B12" s="12" t="s">
        <v>31</v>
      </c>
      <c r="C12" s="375">
        <f>IF(ISNUMBER(C11)=TRUE,C10-C11,C10)</f>
        <v>1272.9694</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48" t="s">
        <v>370</v>
      </c>
      <c r="D17" s="349">
        <v>25.24058993658897</v>
      </c>
      <c r="E17" s="350"/>
      <c r="F17" s="351"/>
      <c r="G17" s="350"/>
      <c r="H17" s="351"/>
      <c r="I17" s="350"/>
      <c r="J17" s="351"/>
      <c r="K17" s="350">
        <f>E17+G17-I17</f>
        <v>0</v>
      </c>
      <c r="L17" s="351">
        <f>F17+H17-J17</f>
        <v>0</v>
      </c>
      <c r="N17" s="27"/>
    </row>
    <row r="18" spans="1:14" ht="15">
      <c r="A18" s="9">
        <v>8</v>
      </c>
      <c r="B18" s="17" t="s">
        <v>33</v>
      </c>
      <c r="C18" s="352" t="s">
        <v>370</v>
      </c>
      <c r="D18" s="353">
        <v>25.24058993658897</v>
      </c>
      <c r="E18" s="350"/>
      <c r="F18" s="354"/>
      <c r="G18" s="350"/>
      <c r="H18" s="354"/>
      <c r="I18" s="355"/>
      <c r="J18" s="354"/>
      <c r="K18" s="350">
        <f aca="true" t="shared" si="0" ref="K18:K26">E18+G18-I18</f>
        <v>0</v>
      </c>
      <c r="L18" s="354">
        <f aca="true" t="shared" si="1" ref="L18:L26">F18+H18-J18</f>
        <v>0</v>
      </c>
      <c r="N18" s="27"/>
    </row>
    <row r="19" spans="1:14" ht="15">
      <c r="A19" s="9">
        <v>10</v>
      </c>
      <c r="B19" s="17" t="s">
        <v>34</v>
      </c>
      <c r="C19" s="352" t="s">
        <v>370</v>
      </c>
      <c r="D19" s="353">
        <v>25.24058993658897</v>
      </c>
      <c r="E19" s="350"/>
      <c r="F19" s="354"/>
      <c r="G19" s="350"/>
      <c r="H19" s="354"/>
      <c r="I19" s="355"/>
      <c r="J19" s="354"/>
      <c r="K19" s="350">
        <f t="shared" si="0"/>
        <v>0</v>
      </c>
      <c r="L19" s="354">
        <f t="shared" si="1"/>
        <v>0</v>
      </c>
      <c r="N19" s="27"/>
    </row>
    <row r="20" spans="1:14" ht="15">
      <c r="A20" s="9">
        <v>11</v>
      </c>
      <c r="B20" s="17" t="s">
        <v>35</v>
      </c>
      <c r="C20" s="352">
        <v>1.3504468012963002</v>
      </c>
      <c r="D20" s="353">
        <v>25.24058993658897</v>
      </c>
      <c r="E20" s="350">
        <f>C20*D20/1000</f>
        <v>0.034086073942698164</v>
      </c>
      <c r="F20" s="354">
        <v>0.03443639343305566</v>
      </c>
      <c r="G20" s="350"/>
      <c r="H20" s="354"/>
      <c r="I20" s="355"/>
      <c r="J20" s="354"/>
      <c r="K20" s="350">
        <f t="shared" si="0"/>
        <v>0.034086073942698164</v>
      </c>
      <c r="L20" s="354">
        <f t="shared" si="1"/>
        <v>0.03443639343305566</v>
      </c>
      <c r="N20" s="27"/>
    </row>
    <row r="21" spans="1:14" ht="15">
      <c r="A21" s="9" t="s">
        <v>36</v>
      </c>
      <c r="B21" s="17" t="s">
        <v>37</v>
      </c>
      <c r="C21" s="352">
        <v>9.82268876217266</v>
      </c>
      <c r="D21" s="353">
        <v>25.24058993658897</v>
      </c>
      <c r="E21" s="350">
        <f aca="true" t="shared" si="2" ref="E21:E25">C21*D21/1000</f>
        <v>0.24793045912074083</v>
      </c>
      <c r="F21" s="354">
        <v>0.25047856343540287</v>
      </c>
      <c r="G21" s="350"/>
      <c r="H21" s="354"/>
      <c r="I21" s="355"/>
      <c r="J21" s="354"/>
      <c r="K21" s="350">
        <f t="shared" si="0"/>
        <v>0.24793045912074083</v>
      </c>
      <c r="L21" s="354">
        <f t="shared" si="1"/>
        <v>0.25047856343540287</v>
      </c>
      <c r="N21" s="27"/>
    </row>
    <row r="22" spans="1:14" ht="15">
      <c r="A22" s="9" t="s">
        <v>38</v>
      </c>
      <c r="B22" s="17" t="s">
        <v>39</v>
      </c>
      <c r="C22" s="352">
        <v>1254.728976243187</v>
      </c>
      <c r="D22" s="353">
        <v>25.24058993658897</v>
      </c>
      <c r="E22" s="350">
        <f t="shared" si="2"/>
        <v>31.670099570910367</v>
      </c>
      <c r="F22" s="354">
        <v>31.995588894201273</v>
      </c>
      <c r="G22" s="350"/>
      <c r="H22" s="354"/>
      <c r="I22" s="355"/>
      <c r="J22" s="354"/>
      <c r="K22" s="350">
        <f t="shared" si="0"/>
        <v>31.670099570910367</v>
      </c>
      <c r="L22" s="354">
        <f t="shared" si="1"/>
        <v>31.995588894201273</v>
      </c>
      <c r="N22" s="27"/>
    </row>
    <row r="23" spans="1:14" ht="15">
      <c r="A23" s="9" t="s">
        <v>40</v>
      </c>
      <c r="B23" s="17" t="s">
        <v>41</v>
      </c>
      <c r="C23" s="352" t="s">
        <v>370</v>
      </c>
      <c r="D23" s="353">
        <v>25.24058993658897</v>
      </c>
      <c r="E23" s="350"/>
      <c r="F23" s="354"/>
      <c r="G23" s="350"/>
      <c r="H23" s="354"/>
      <c r="I23" s="355"/>
      <c r="J23" s="354"/>
      <c r="K23" s="350">
        <f t="shared" si="0"/>
        <v>0</v>
      </c>
      <c r="L23" s="354">
        <f t="shared" si="1"/>
        <v>0</v>
      </c>
      <c r="N23" s="27"/>
    </row>
    <row r="24" spans="1:14" ht="15">
      <c r="A24" s="9">
        <v>13</v>
      </c>
      <c r="B24" s="17" t="s">
        <v>42</v>
      </c>
      <c r="C24" s="352" t="s">
        <v>370</v>
      </c>
      <c r="D24" s="353">
        <v>25.24058993658897</v>
      </c>
      <c r="E24" s="350"/>
      <c r="F24" s="354"/>
      <c r="G24" s="350"/>
      <c r="H24" s="354"/>
      <c r="I24" s="355"/>
      <c r="J24" s="354"/>
      <c r="K24" s="350">
        <f t="shared" si="0"/>
        <v>0</v>
      </c>
      <c r="L24" s="354">
        <f t="shared" si="1"/>
        <v>0</v>
      </c>
      <c r="N24" s="27"/>
    </row>
    <row r="25" spans="1:14" ht="15.75" thickBot="1">
      <c r="A25" s="9">
        <v>16</v>
      </c>
      <c r="B25" s="17" t="s">
        <v>26</v>
      </c>
      <c r="C25" s="352">
        <v>7.067288193344041</v>
      </c>
      <c r="D25" s="353">
        <v>25.24058993658897</v>
      </c>
      <c r="E25" s="350">
        <f t="shared" si="2"/>
        <v>0.17838252325189363</v>
      </c>
      <c r="F25" s="354">
        <v>0.1802158489302732</v>
      </c>
      <c r="G25" s="350">
        <v>7.95</v>
      </c>
      <c r="H25" s="354">
        <v>7.95</v>
      </c>
      <c r="I25" s="355"/>
      <c r="J25" s="354"/>
      <c r="K25" s="350">
        <f t="shared" si="0"/>
        <v>8.128382523251894</v>
      </c>
      <c r="L25" s="354">
        <f t="shared" si="1"/>
        <v>8.130215848930273</v>
      </c>
      <c r="N25" s="27"/>
    </row>
    <row r="26" spans="1:12" ht="15.75" thickBot="1">
      <c r="A26" s="9">
        <v>17</v>
      </c>
      <c r="B26" s="21" t="s">
        <v>9</v>
      </c>
      <c r="C26" s="356">
        <f>SUM(C17:C25)</f>
        <v>1272.9694</v>
      </c>
      <c r="D26" s="357"/>
      <c r="E26" s="358">
        <f>SUM(E17:E25)</f>
        <v>32.1304986272257</v>
      </c>
      <c r="F26" s="358">
        <f>SUM(F17:F25)</f>
        <v>32.460719700000006</v>
      </c>
      <c r="G26" s="358">
        <f>SUM(G17:G25)</f>
        <v>7.95</v>
      </c>
      <c r="H26" s="359">
        <v>0</v>
      </c>
      <c r="I26" s="358">
        <v>0</v>
      </c>
      <c r="J26" s="359">
        <v>0</v>
      </c>
      <c r="K26" s="358">
        <f t="shared" si="0"/>
        <v>40.0804986272257</v>
      </c>
      <c r="L26" s="359">
        <f t="shared" si="1"/>
        <v>32.460719700000006</v>
      </c>
    </row>
    <row r="27" spans="3:12" ht="15">
      <c r="C27" s="13"/>
      <c r="E27" s="276"/>
      <c r="F27" s="13"/>
      <c r="G27" s="13"/>
      <c r="H27" s="13"/>
      <c r="I27" s="13"/>
      <c r="J27" s="13"/>
      <c r="K27" s="13"/>
      <c r="L27" s="13"/>
    </row>
    <row r="28" ht="15">
      <c r="B28" s="25"/>
    </row>
    <row r="29" ht="15.75" thickBot="1"/>
    <row r="30" spans="2:3" ht="15.75" thickBot="1">
      <c r="B30" s="111"/>
      <c r="C30" s="113">
        <v>2020</v>
      </c>
    </row>
    <row r="31" spans="2:3" ht="15">
      <c r="B31" s="202" t="s">
        <v>373</v>
      </c>
      <c r="C31" s="380">
        <v>98.98270563368223</v>
      </c>
    </row>
    <row r="32" spans="2:3" ht="15.75" thickBot="1">
      <c r="B32" s="176" t="s">
        <v>374</v>
      </c>
      <c r="C32" s="381">
        <v>101.70206857233069</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49</v>
      </c>
      <c r="I1" s="6"/>
    </row>
    <row r="2" ht="4.5" customHeight="1"/>
    <row r="3" spans="2:9" ht="15">
      <c r="B3" s="7" t="s">
        <v>399</v>
      </c>
      <c r="C3" s="4" t="s">
        <v>28</v>
      </c>
      <c r="I3" s="7"/>
    </row>
    <row r="4" spans="2:3" ht="15">
      <c r="B4" s="5" t="s">
        <v>50</v>
      </c>
      <c r="C4" s="4" t="s">
        <v>371</v>
      </c>
    </row>
    <row r="5" ht="14.25" customHeight="1">
      <c r="C5" s="4" t="s">
        <v>372</v>
      </c>
    </row>
    <row r="6" ht="14.25" customHeight="1" thickBot="1"/>
    <row r="7" spans="2:4" ht="16.5" customHeight="1" thickBot="1">
      <c r="B7" s="111"/>
      <c r="C7" s="112" t="s">
        <v>3</v>
      </c>
      <c r="D7" s="8"/>
    </row>
    <row r="8" spans="1:3" ht="15">
      <c r="A8" s="9">
        <v>1</v>
      </c>
      <c r="B8" s="102" t="s">
        <v>0</v>
      </c>
      <c r="C8" s="382">
        <v>0.026</v>
      </c>
    </row>
    <row r="9" spans="1:3" ht="15">
      <c r="A9" s="9">
        <v>2</v>
      </c>
      <c r="B9" s="10" t="s">
        <v>8</v>
      </c>
      <c r="C9" s="346" t="s">
        <v>370</v>
      </c>
    </row>
    <row r="10" spans="1:3" ht="15">
      <c r="A10" s="9">
        <v>3</v>
      </c>
      <c r="B10" s="11" t="s">
        <v>2</v>
      </c>
      <c r="C10" s="383">
        <v>0.026</v>
      </c>
    </row>
    <row r="11" spans="1:3" ht="15">
      <c r="A11" s="9">
        <v>6</v>
      </c>
      <c r="B11" s="10" t="s">
        <v>30</v>
      </c>
      <c r="C11" s="346" t="s">
        <v>370</v>
      </c>
    </row>
    <row r="12" spans="2:3" ht="15.75" thickBot="1">
      <c r="B12" s="12" t="s">
        <v>31</v>
      </c>
      <c r="C12" s="384">
        <f>IF(ISNUMBER(C11)=TRUE,C10-C11,C10)</f>
        <v>0.026</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85" t="s">
        <v>370</v>
      </c>
      <c r="D17" s="349">
        <v>7000.000000000003</v>
      </c>
      <c r="E17" s="350" t="s">
        <v>370</v>
      </c>
      <c r="F17" s="351"/>
      <c r="G17" s="350"/>
      <c r="H17" s="351"/>
      <c r="I17" s="350"/>
      <c r="J17" s="351"/>
      <c r="K17" s="350"/>
      <c r="L17" s="351"/>
      <c r="N17" s="27"/>
    </row>
    <row r="18" spans="1:14" ht="15">
      <c r="A18" s="9">
        <v>8</v>
      </c>
      <c r="B18" s="17" t="s">
        <v>33</v>
      </c>
      <c r="C18" s="376" t="s">
        <v>370</v>
      </c>
      <c r="D18" s="353">
        <v>7000.000000000003</v>
      </c>
      <c r="E18" s="355"/>
      <c r="F18" s="354"/>
      <c r="G18" s="355"/>
      <c r="H18" s="354"/>
      <c r="I18" s="355"/>
      <c r="J18" s="354"/>
      <c r="K18" s="350"/>
      <c r="L18" s="354"/>
      <c r="N18" s="27"/>
    </row>
    <row r="19" spans="1:14" ht="15">
      <c r="A19" s="9">
        <v>10</v>
      </c>
      <c r="B19" s="17" t="s">
        <v>34</v>
      </c>
      <c r="C19" s="376" t="s">
        <v>370</v>
      </c>
      <c r="D19" s="353">
        <v>7000.000000000003</v>
      </c>
      <c r="E19" s="355" t="s">
        <v>370</v>
      </c>
      <c r="F19" s="354"/>
      <c r="G19" s="355"/>
      <c r="H19" s="354"/>
      <c r="I19" s="355"/>
      <c r="J19" s="354"/>
      <c r="K19" s="350"/>
      <c r="L19" s="354"/>
      <c r="N19" s="27"/>
    </row>
    <row r="20" spans="1:14" ht="15">
      <c r="A20" s="9">
        <v>11</v>
      </c>
      <c r="B20" s="17" t="s">
        <v>35</v>
      </c>
      <c r="C20" s="376" t="s">
        <v>370</v>
      </c>
      <c r="D20" s="353">
        <v>7000.000000000003</v>
      </c>
      <c r="E20" s="355" t="s">
        <v>370</v>
      </c>
      <c r="F20" s="354"/>
      <c r="G20" s="355"/>
      <c r="H20" s="354"/>
      <c r="I20" s="355"/>
      <c r="J20" s="354"/>
      <c r="K20" s="350"/>
      <c r="L20" s="354"/>
      <c r="N20" s="27"/>
    </row>
    <row r="21" spans="1:14" ht="15">
      <c r="A21" s="9" t="s">
        <v>36</v>
      </c>
      <c r="B21" s="17" t="s">
        <v>37</v>
      </c>
      <c r="C21" s="376" t="s">
        <v>370</v>
      </c>
      <c r="D21" s="353">
        <v>7000.000000000003</v>
      </c>
      <c r="E21" s="355" t="s">
        <v>370</v>
      </c>
      <c r="F21" s="354"/>
      <c r="G21" s="355"/>
      <c r="H21" s="354"/>
      <c r="I21" s="355"/>
      <c r="J21" s="354"/>
      <c r="K21" s="350"/>
      <c r="L21" s="354"/>
      <c r="N21" s="27"/>
    </row>
    <row r="22" spans="1:14" ht="15">
      <c r="A22" s="9" t="s">
        <v>38</v>
      </c>
      <c r="B22" s="17" t="s">
        <v>39</v>
      </c>
      <c r="C22" s="376">
        <v>0.026</v>
      </c>
      <c r="D22" s="353">
        <v>7000.000000000003</v>
      </c>
      <c r="E22" s="386">
        <f>C22*D22/1000</f>
        <v>0.18200000000000005</v>
      </c>
      <c r="F22" s="354">
        <v>0.182</v>
      </c>
      <c r="G22" s="355"/>
      <c r="H22" s="354"/>
      <c r="I22" s="355"/>
      <c r="J22" s="354"/>
      <c r="K22" s="350">
        <f aca="true" t="shared" si="0" ref="K22:L26">E22+G22-I22</f>
        <v>0.18200000000000005</v>
      </c>
      <c r="L22" s="354">
        <f t="shared" si="0"/>
        <v>0.182</v>
      </c>
      <c r="N22" s="27"/>
    </row>
    <row r="23" spans="1:14" ht="15">
      <c r="A23" s="9" t="s">
        <v>40</v>
      </c>
      <c r="B23" s="17" t="s">
        <v>41</v>
      </c>
      <c r="C23" s="376" t="s">
        <v>370</v>
      </c>
      <c r="D23" s="353">
        <v>7000.000000000003</v>
      </c>
      <c r="E23" s="386" t="s">
        <v>370</v>
      </c>
      <c r="F23" s="354"/>
      <c r="G23" s="355"/>
      <c r="H23" s="354"/>
      <c r="I23" s="355"/>
      <c r="J23" s="354"/>
      <c r="K23" s="350"/>
      <c r="L23" s="354"/>
      <c r="N23" s="27"/>
    </row>
    <row r="24" spans="1:14" ht="15">
      <c r="A24" s="9">
        <v>13</v>
      </c>
      <c r="B24" s="17" t="s">
        <v>42</v>
      </c>
      <c r="C24" s="376" t="s">
        <v>370</v>
      </c>
      <c r="D24" s="353">
        <v>7000.000000000003</v>
      </c>
      <c r="E24" s="386" t="s">
        <v>370</v>
      </c>
      <c r="F24" s="354"/>
      <c r="G24" s="355"/>
      <c r="H24" s="354"/>
      <c r="I24" s="355"/>
      <c r="J24" s="354"/>
      <c r="K24" s="350"/>
      <c r="L24" s="354"/>
      <c r="N24" s="27"/>
    </row>
    <row r="25" spans="1:14" ht="15.75" thickBot="1">
      <c r="A25" s="9">
        <v>16</v>
      </c>
      <c r="B25" s="17" t="s">
        <v>26</v>
      </c>
      <c r="C25" s="376" t="s">
        <v>370</v>
      </c>
      <c r="D25" s="353">
        <v>7000.000000000003</v>
      </c>
      <c r="E25" s="387"/>
      <c r="F25" s="354"/>
      <c r="G25" s="386">
        <v>0.05</v>
      </c>
      <c r="H25" s="388">
        <v>0.05</v>
      </c>
      <c r="I25" s="355"/>
      <c r="J25" s="354"/>
      <c r="K25" s="350">
        <f t="shared" si="0"/>
        <v>0.05</v>
      </c>
      <c r="L25" s="354">
        <f t="shared" si="0"/>
        <v>0.05</v>
      </c>
      <c r="N25" s="27"/>
    </row>
    <row r="26" spans="1:12" ht="15.75" thickBot="1">
      <c r="A26" s="9">
        <v>17</v>
      </c>
      <c r="B26" s="21" t="s">
        <v>9</v>
      </c>
      <c r="C26" s="389">
        <f>SUM(C17:C25)</f>
        <v>0.026</v>
      </c>
      <c r="D26" s="357"/>
      <c r="E26" s="390">
        <f>SUM(E17:E25)</f>
        <v>0.18200000000000005</v>
      </c>
      <c r="F26" s="390">
        <f>SUM(F17:F25)</f>
        <v>0.182</v>
      </c>
      <c r="G26" s="358">
        <f>SUM(G17:G25)</f>
        <v>0.05</v>
      </c>
      <c r="H26" s="359">
        <v>0</v>
      </c>
      <c r="I26" s="358">
        <v>0</v>
      </c>
      <c r="J26" s="359">
        <v>0</v>
      </c>
      <c r="K26" s="390">
        <f t="shared" si="0"/>
        <v>0.23200000000000004</v>
      </c>
      <c r="L26" s="493">
        <f t="shared" si="0"/>
        <v>0.182</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380">
        <v>100</v>
      </c>
    </row>
    <row r="32" spans="2:3" ht="15.75" thickBot="1">
      <c r="B32" s="257" t="s">
        <v>374</v>
      </c>
      <c r="C32" s="381">
        <v>23.636363636363637</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51</v>
      </c>
      <c r="I1" s="6"/>
    </row>
    <row r="2" ht="4.5" customHeight="1"/>
    <row r="3" spans="2:9" ht="15">
      <c r="B3" s="283" t="s">
        <v>436</v>
      </c>
      <c r="C3" s="4" t="s">
        <v>28</v>
      </c>
      <c r="I3" s="7"/>
    </row>
    <row r="4" spans="2:3" ht="15">
      <c r="B4" s="5" t="s">
        <v>52</v>
      </c>
      <c r="C4" s="4" t="s">
        <v>371</v>
      </c>
    </row>
    <row r="5" spans="2:3" ht="14.25" customHeight="1">
      <c r="B5" s="274" t="s">
        <v>531</v>
      </c>
      <c r="C5" s="4" t="s">
        <v>372</v>
      </c>
    </row>
    <row r="6" ht="14.25" customHeight="1" thickBot="1"/>
    <row r="7" spans="2:4" ht="16.5" customHeight="1" thickBot="1">
      <c r="B7" s="111"/>
      <c r="C7" s="112" t="s">
        <v>3</v>
      </c>
      <c r="D7" s="8"/>
    </row>
    <row r="8" spans="1:3" ht="15">
      <c r="A8" s="9">
        <v>1</v>
      </c>
      <c r="B8" s="102" t="s">
        <v>0</v>
      </c>
      <c r="C8" s="374">
        <v>2575.19712780227</v>
      </c>
    </row>
    <row r="9" spans="1:3" ht="15">
      <c r="A9" s="9">
        <v>2</v>
      </c>
      <c r="B9" s="10" t="s">
        <v>8</v>
      </c>
      <c r="C9" s="379"/>
    </row>
    <row r="10" spans="1:3" ht="15">
      <c r="A10" s="9">
        <v>3</v>
      </c>
      <c r="B10" s="11" t="s">
        <v>2</v>
      </c>
      <c r="C10" s="391">
        <v>2575.19712780227</v>
      </c>
    </row>
    <row r="11" spans="1:3" ht="15">
      <c r="A11" s="9">
        <v>6</v>
      </c>
      <c r="B11" s="10" t="s">
        <v>30</v>
      </c>
      <c r="C11" s="379" t="s">
        <v>370</v>
      </c>
    </row>
    <row r="12" spans="2:3" ht="15.75" thickBot="1">
      <c r="B12" s="12" t="s">
        <v>31</v>
      </c>
      <c r="C12" s="375">
        <f>IF(ISNUMBER(C11)=TRUE,C10-C11,C10)</f>
        <v>2575.19712780227</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48">
        <v>2575.19712780227</v>
      </c>
      <c r="D17" s="349">
        <v>32.50794129330801</v>
      </c>
      <c r="E17" s="350">
        <v>83.7143570492916</v>
      </c>
      <c r="F17" s="351">
        <v>66.48145046877757</v>
      </c>
      <c r="G17" s="350"/>
      <c r="H17" s="351"/>
      <c r="I17" s="350"/>
      <c r="J17" s="351"/>
      <c r="K17" s="350">
        <f>E17+G17-I17</f>
        <v>83.7143570492916</v>
      </c>
      <c r="L17" s="351">
        <f>F17+H17-J17</f>
        <v>66.48145046877757</v>
      </c>
      <c r="N17" s="27"/>
    </row>
    <row r="18" spans="1:14" ht="15">
      <c r="A18" s="9">
        <v>8</v>
      </c>
      <c r="B18" s="17" t="s">
        <v>33</v>
      </c>
      <c r="C18" s="352" t="s">
        <v>370</v>
      </c>
      <c r="D18" s="353">
        <v>32.50794129330801</v>
      </c>
      <c r="E18" s="355"/>
      <c r="F18" s="354"/>
      <c r="G18" s="355"/>
      <c r="H18" s="354"/>
      <c r="I18" s="355"/>
      <c r="J18" s="354"/>
      <c r="K18" s="350"/>
      <c r="L18" s="354"/>
      <c r="N18" s="27"/>
    </row>
    <row r="19" spans="1:14" ht="15">
      <c r="A19" s="9">
        <v>10</v>
      </c>
      <c r="B19" s="17" t="s">
        <v>34</v>
      </c>
      <c r="C19" s="352" t="s">
        <v>370</v>
      </c>
      <c r="D19" s="353">
        <v>32.50794129330801</v>
      </c>
      <c r="E19" s="355" t="s">
        <v>370</v>
      </c>
      <c r="F19" s="354"/>
      <c r="G19" s="355"/>
      <c r="H19" s="354"/>
      <c r="I19" s="355"/>
      <c r="J19" s="354"/>
      <c r="K19" s="350"/>
      <c r="L19" s="354"/>
      <c r="N19" s="27"/>
    </row>
    <row r="20" spans="1:14" ht="15">
      <c r="A20" s="9">
        <v>11</v>
      </c>
      <c r="B20" s="17" t="s">
        <v>35</v>
      </c>
      <c r="C20" s="352" t="s">
        <v>370</v>
      </c>
      <c r="D20" s="353">
        <v>32.50794129330801</v>
      </c>
      <c r="E20" s="355" t="s">
        <v>370</v>
      </c>
      <c r="F20" s="354"/>
      <c r="G20" s="355"/>
      <c r="H20" s="354"/>
      <c r="I20" s="355"/>
      <c r="J20" s="354"/>
      <c r="K20" s="350"/>
      <c r="L20" s="354"/>
      <c r="N20" s="27"/>
    </row>
    <row r="21" spans="1:14" ht="15">
      <c r="A21" s="9" t="s">
        <v>36</v>
      </c>
      <c r="B21" s="17" t="s">
        <v>37</v>
      </c>
      <c r="C21" s="352" t="s">
        <v>370</v>
      </c>
      <c r="D21" s="353">
        <v>32.50794129330801</v>
      </c>
      <c r="E21" s="355" t="s">
        <v>370</v>
      </c>
      <c r="F21" s="354"/>
      <c r="G21" s="355"/>
      <c r="H21" s="354"/>
      <c r="I21" s="355"/>
      <c r="J21" s="354"/>
      <c r="K21" s="350"/>
      <c r="L21" s="354"/>
      <c r="N21" s="27"/>
    </row>
    <row r="22" spans="1:14" ht="15">
      <c r="A22" s="9" t="s">
        <v>38</v>
      </c>
      <c r="B22" s="17" t="s">
        <v>39</v>
      </c>
      <c r="C22" s="352" t="s">
        <v>370</v>
      </c>
      <c r="D22" s="353">
        <v>32.50794129330801</v>
      </c>
      <c r="E22" s="355" t="s">
        <v>370</v>
      </c>
      <c r="F22" s="354"/>
      <c r="G22" s="355"/>
      <c r="H22" s="354"/>
      <c r="I22" s="355"/>
      <c r="J22" s="354"/>
      <c r="K22" s="350"/>
      <c r="L22" s="354"/>
      <c r="N22" s="27"/>
    </row>
    <row r="23" spans="1:14" ht="15">
      <c r="A23" s="9" t="s">
        <v>40</v>
      </c>
      <c r="B23" s="17" t="s">
        <v>41</v>
      </c>
      <c r="C23" s="352" t="s">
        <v>370</v>
      </c>
      <c r="D23" s="353">
        <v>32.50794129330801</v>
      </c>
      <c r="E23" s="355" t="s">
        <v>370</v>
      </c>
      <c r="F23" s="354"/>
      <c r="G23" s="355"/>
      <c r="H23" s="354"/>
      <c r="I23" s="355"/>
      <c r="J23" s="354"/>
      <c r="K23" s="350"/>
      <c r="L23" s="354"/>
      <c r="N23" s="27"/>
    </row>
    <row r="24" spans="1:14" ht="15">
      <c r="A24" s="9">
        <v>13</v>
      </c>
      <c r="B24" s="17" t="s">
        <v>42</v>
      </c>
      <c r="C24" s="352" t="s">
        <v>370</v>
      </c>
      <c r="D24" s="353">
        <v>32.50794129330801</v>
      </c>
      <c r="E24" s="355" t="s">
        <v>370</v>
      </c>
      <c r="F24" s="354"/>
      <c r="G24" s="355"/>
      <c r="H24" s="354"/>
      <c r="I24" s="355"/>
      <c r="J24" s="354"/>
      <c r="K24" s="350"/>
      <c r="L24" s="354"/>
      <c r="N24" s="27"/>
    </row>
    <row r="25" spans="1:14" ht="15.75" thickBot="1">
      <c r="A25" s="9">
        <v>16</v>
      </c>
      <c r="B25" s="17" t="s">
        <v>26</v>
      </c>
      <c r="C25" s="352" t="s">
        <v>370</v>
      </c>
      <c r="D25" s="353">
        <v>32.50794129330801</v>
      </c>
      <c r="E25" s="355" t="s">
        <v>370</v>
      </c>
      <c r="F25" s="354"/>
      <c r="G25" s="355"/>
      <c r="H25" s="354"/>
      <c r="I25" s="355"/>
      <c r="J25" s="354"/>
      <c r="K25" s="350"/>
      <c r="L25" s="354"/>
      <c r="N25" s="27"/>
    </row>
    <row r="26" spans="1:12" ht="15.75" thickBot="1">
      <c r="A26" s="9">
        <v>17</v>
      </c>
      <c r="B26" s="21" t="s">
        <v>9</v>
      </c>
      <c r="C26" s="356">
        <f>SUM(C17:C25)</f>
        <v>2575.19712780227</v>
      </c>
      <c r="D26" s="357"/>
      <c r="E26" s="390">
        <f>SUM(E17:E25)</f>
        <v>83.7143570492916</v>
      </c>
      <c r="F26" s="390">
        <f>SUM(F17:F25)</f>
        <v>66.48145046877757</v>
      </c>
      <c r="G26" s="358">
        <v>0</v>
      </c>
      <c r="H26" s="359">
        <v>0</v>
      </c>
      <c r="I26" s="358">
        <v>0</v>
      </c>
      <c r="J26" s="359">
        <v>0</v>
      </c>
      <c r="K26" s="390">
        <f aca="true" t="shared" si="0" ref="K26">E26+G26-I26</f>
        <v>83.7143570492916</v>
      </c>
      <c r="L26" s="493">
        <f aca="true" t="shared" si="1" ref="L26">F26+H26-J26</f>
        <v>66.48145046877757</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377">
        <v>125.92137575068017</v>
      </c>
    </row>
    <row r="32" spans="2:3" ht="15.75" thickBot="1">
      <c r="B32" s="257" t="s">
        <v>374</v>
      </c>
      <c r="C32" s="378">
        <v>100.44354297824431</v>
      </c>
    </row>
    <row r="35" ht="15">
      <c r="B35" s="5" t="s">
        <v>534</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zoomScaleNormal="90" workbookViewId="0" topLeftCell="A1">
      <selection activeCell="O1" sqref="O1"/>
    </sheetView>
  </sheetViews>
  <sheetFormatPr defaultColWidth="8.8515625" defaultRowHeight="15"/>
  <cols>
    <col min="1" max="1" width="5.00390625" style="5" bestFit="1" customWidth="1"/>
    <col min="2" max="2" width="42.8515625" style="5" bestFit="1" customWidth="1"/>
    <col min="3" max="3" width="20.7109375" style="5" bestFit="1" customWidth="1"/>
    <col min="4" max="4" width="8.8515625" style="5" customWidth="1"/>
    <col min="5" max="10" width="14.140625" style="5" bestFit="1" customWidth="1"/>
    <col min="11" max="11" width="17.00390625" style="5" bestFit="1" customWidth="1"/>
    <col min="12" max="12" width="12.7109375" style="5" bestFit="1" customWidth="1"/>
    <col min="13" max="13" width="11.421875" style="5" customWidth="1"/>
    <col min="14" max="16384" width="8.8515625" style="5" customWidth="1"/>
  </cols>
  <sheetData>
    <row r="1" spans="2:9" ht="18.75">
      <c r="B1" s="6" t="s">
        <v>53</v>
      </c>
      <c r="I1" s="6"/>
    </row>
    <row r="2" ht="4.5" customHeight="1"/>
    <row r="3" spans="2:9" ht="15">
      <c r="B3" s="284" t="s">
        <v>435</v>
      </c>
      <c r="C3" s="4" t="s">
        <v>28</v>
      </c>
      <c r="I3" s="7"/>
    </row>
    <row r="4" spans="2:3" ht="15">
      <c r="B4" s="5" t="s">
        <v>54</v>
      </c>
      <c r="C4" s="4" t="s">
        <v>371</v>
      </c>
    </row>
    <row r="5" spans="2:3" ht="14.25" customHeight="1">
      <c r="B5" s="279" t="s">
        <v>467</v>
      </c>
      <c r="C5" s="4" t="s">
        <v>372</v>
      </c>
    </row>
    <row r="6" ht="14.25" customHeight="1" thickBot="1"/>
    <row r="7" spans="2:4" ht="16.5" customHeight="1" thickBot="1">
      <c r="B7" s="111"/>
      <c r="C7" s="112" t="s">
        <v>3</v>
      </c>
      <c r="D7" s="8"/>
    </row>
    <row r="8" spans="1:3" ht="15">
      <c r="A8" s="9">
        <v>1</v>
      </c>
      <c r="B8" s="102" t="s">
        <v>0</v>
      </c>
      <c r="C8" s="374">
        <v>15.8412180820826</v>
      </c>
    </row>
    <row r="9" spans="1:3" ht="15">
      <c r="A9" s="9">
        <v>2</v>
      </c>
      <c r="B9" s="10" t="s">
        <v>8</v>
      </c>
      <c r="C9" s="379"/>
    </row>
    <row r="10" spans="1:3" ht="15">
      <c r="A10" s="9">
        <v>3</v>
      </c>
      <c r="B10" s="11" t="s">
        <v>2</v>
      </c>
      <c r="C10" s="374">
        <v>15.8412180820826</v>
      </c>
    </row>
    <row r="11" spans="1:3" ht="15">
      <c r="A11" s="9">
        <v>6</v>
      </c>
      <c r="B11" s="10" t="s">
        <v>30</v>
      </c>
      <c r="C11" s="379" t="s">
        <v>370</v>
      </c>
    </row>
    <row r="12" spans="2:3" ht="15.75" thickBot="1">
      <c r="B12" s="12" t="s">
        <v>31</v>
      </c>
      <c r="C12" s="375">
        <f>IF(ISNUMBER(C11)=TRUE,C10-C11,C10)</f>
        <v>15.8412180820826</v>
      </c>
    </row>
    <row r="13" spans="2:3" ht="15">
      <c r="B13" s="13"/>
      <c r="C13" s="14"/>
    </row>
    <row r="14" spans="2:3" ht="15.75" thickBot="1">
      <c r="B14" s="15"/>
      <c r="C14" s="16"/>
    </row>
    <row r="15" spans="2:14" ht="16.5" customHeight="1">
      <c r="B15" s="555" t="s">
        <v>1</v>
      </c>
      <c r="C15" s="557" t="s">
        <v>3</v>
      </c>
      <c r="D15" s="559" t="s">
        <v>4</v>
      </c>
      <c r="E15" s="561" t="s">
        <v>5</v>
      </c>
      <c r="F15" s="562"/>
      <c r="G15" s="561" t="s">
        <v>6</v>
      </c>
      <c r="H15" s="562"/>
      <c r="I15" s="561" t="s">
        <v>12</v>
      </c>
      <c r="J15" s="562"/>
      <c r="K15" s="553" t="s">
        <v>7</v>
      </c>
      <c r="L15" s="554"/>
      <c r="N15" s="25"/>
    </row>
    <row r="16" spans="2:12" ht="15.75" thickBot="1">
      <c r="B16" s="556"/>
      <c r="C16" s="558"/>
      <c r="D16" s="560"/>
      <c r="E16" s="107" t="s">
        <v>10</v>
      </c>
      <c r="F16" s="108" t="s">
        <v>11</v>
      </c>
      <c r="G16" s="107" t="s">
        <v>10</v>
      </c>
      <c r="H16" s="108" t="s">
        <v>11</v>
      </c>
      <c r="I16" s="107" t="s">
        <v>10</v>
      </c>
      <c r="J16" s="108" t="s">
        <v>11</v>
      </c>
      <c r="K16" s="107" t="s">
        <v>10</v>
      </c>
      <c r="L16" s="109" t="s">
        <v>11</v>
      </c>
    </row>
    <row r="17" spans="1:14" ht="15">
      <c r="A17" s="9">
        <v>7</v>
      </c>
      <c r="B17" s="102" t="s">
        <v>32</v>
      </c>
      <c r="C17" s="348" t="s">
        <v>370</v>
      </c>
      <c r="D17" s="349">
        <v>689.5363289079454</v>
      </c>
      <c r="E17" s="350" t="s">
        <v>370</v>
      </c>
      <c r="F17" s="351"/>
      <c r="G17" s="350"/>
      <c r="H17" s="351"/>
      <c r="I17" s="350"/>
      <c r="J17" s="351"/>
      <c r="K17" s="350"/>
      <c r="L17" s="351"/>
      <c r="N17" s="27"/>
    </row>
    <row r="18" spans="1:14" ht="15">
      <c r="A18" s="9">
        <v>8</v>
      </c>
      <c r="B18" s="17" t="s">
        <v>33</v>
      </c>
      <c r="C18" s="352" t="s">
        <v>370</v>
      </c>
      <c r="D18" s="353">
        <v>689.5363289079454</v>
      </c>
      <c r="E18" s="355"/>
      <c r="F18" s="354"/>
      <c r="G18" s="355"/>
      <c r="H18" s="354"/>
      <c r="I18" s="355"/>
      <c r="J18" s="354"/>
      <c r="K18" s="350"/>
      <c r="L18" s="354"/>
      <c r="N18" s="27"/>
    </row>
    <row r="19" spans="1:14" ht="15">
      <c r="A19" s="9">
        <v>10</v>
      </c>
      <c r="B19" s="17" t="s">
        <v>34</v>
      </c>
      <c r="C19" s="352" t="s">
        <v>370</v>
      </c>
      <c r="D19" s="353">
        <v>689.5363289079454</v>
      </c>
      <c r="E19" s="355" t="s">
        <v>370</v>
      </c>
      <c r="F19" s="354"/>
      <c r="G19" s="355"/>
      <c r="H19" s="354"/>
      <c r="I19" s="355"/>
      <c r="J19" s="354"/>
      <c r="K19" s="350"/>
      <c r="L19" s="354"/>
      <c r="N19" s="27"/>
    </row>
    <row r="20" spans="1:14" ht="15">
      <c r="A20" s="9">
        <v>11</v>
      </c>
      <c r="B20" s="17" t="s">
        <v>35</v>
      </c>
      <c r="C20" s="352">
        <v>14.756828098175633</v>
      </c>
      <c r="D20" s="353">
        <v>689.5363289079454</v>
      </c>
      <c r="E20" s="355">
        <f>C20*D20/1000</f>
        <v>10.175369073141644</v>
      </c>
      <c r="F20" s="354">
        <v>9.03988532466143</v>
      </c>
      <c r="G20" s="355"/>
      <c r="H20" s="354"/>
      <c r="I20" s="355"/>
      <c r="J20" s="354"/>
      <c r="K20" s="350">
        <f aca="true" t="shared" si="0" ref="K20:L26">E20+G20-I20</f>
        <v>10.175369073141644</v>
      </c>
      <c r="L20" s="354">
        <f t="shared" si="0"/>
        <v>9.03988532466143</v>
      </c>
      <c r="N20" s="27"/>
    </row>
    <row r="21" spans="1:14" ht="15">
      <c r="A21" s="9" t="s">
        <v>36</v>
      </c>
      <c r="B21" s="17" t="s">
        <v>37</v>
      </c>
      <c r="C21" s="352">
        <v>0.01920819723192135</v>
      </c>
      <c r="D21" s="353">
        <v>689.5363289079454</v>
      </c>
      <c r="E21" s="355">
        <f aca="true" t="shared" si="1" ref="E21:E23">C21*D21/1000</f>
        <v>0.013244749804238806</v>
      </c>
      <c r="F21" s="354">
        <v>0.011766749542302725</v>
      </c>
      <c r="G21" s="355"/>
      <c r="H21" s="354"/>
      <c r="I21" s="355"/>
      <c r="J21" s="354"/>
      <c r="K21" s="350">
        <f t="shared" si="0"/>
        <v>0.013244749804238806</v>
      </c>
      <c r="L21" s="354">
        <f t="shared" si="0"/>
        <v>0.011766749542302725</v>
      </c>
      <c r="N21" s="27"/>
    </row>
    <row r="22" spans="1:14" ht="15">
      <c r="A22" s="9" t="s">
        <v>38</v>
      </c>
      <c r="B22" s="17" t="s">
        <v>39</v>
      </c>
      <c r="C22" s="352">
        <v>0.9738843891438415</v>
      </c>
      <c r="D22" s="353">
        <v>689.5363289079454</v>
      </c>
      <c r="E22" s="355">
        <f t="shared" si="1"/>
        <v>0.6715286664710013</v>
      </c>
      <c r="F22" s="354">
        <v>0.5965918379456271</v>
      </c>
      <c r="G22" s="355"/>
      <c r="H22" s="354"/>
      <c r="I22" s="355"/>
      <c r="J22" s="354"/>
      <c r="K22" s="350">
        <f t="shared" si="0"/>
        <v>0.6715286664710013</v>
      </c>
      <c r="L22" s="354">
        <f t="shared" si="0"/>
        <v>0.5965918379456271</v>
      </c>
      <c r="N22" s="27"/>
    </row>
    <row r="23" spans="1:14" ht="15">
      <c r="A23" s="9" t="s">
        <v>40</v>
      </c>
      <c r="B23" s="17" t="s">
        <v>41</v>
      </c>
      <c r="C23" s="352">
        <v>0.0912973975312058</v>
      </c>
      <c r="D23" s="353">
        <v>689.5363289079454</v>
      </c>
      <c r="E23" s="355">
        <f t="shared" si="1"/>
        <v>0.06295287233251697</v>
      </c>
      <c r="F23" s="354">
        <v>0.05592787275364148</v>
      </c>
      <c r="G23" s="355"/>
      <c r="H23" s="354"/>
      <c r="I23" s="355"/>
      <c r="J23" s="354"/>
      <c r="K23" s="350">
        <f t="shared" si="0"/>
        <v>0.06295287233251697</v>
      </c>
      <c r="L23" s="354">
        <f t="shared" si="0"/>
        <v>0.05592787275364148</v>
      </c>
      <c r="N23" s="27"/>
    </row>
    <row r="24" spans="1:14" ht="15">
      <c r="A24" s="9">
        <v>13</v>
      </c>
      <c r="B24" s="17" t="s">
        <v>42</v>
      </c>
      <c r="C24" s="352" t="s">
        <v>370</v>
      </c>
      <c r="D24" s="353">
        <v>689.5363289079454</v>
      </c>
      <c r="E24" s="355"/>
      <c r="F24" s="354"/>
      <c r="G24" s="355"/>
      <c r="H24" s="354"/>
      <c r="I24" s="355"/>
      <c r="J24" s="354"/>
      <c r="K24" s="350">
        <f t="shared" si="0"/>
        <v>0</v>
      </c>
      <c r="L24" s="354">
        <f t="shared" si="0"/>
        <v>0</v>
      </c>
      <c r="N24" s="27"/>
    </row>
    <row r="25" spans="1:14" ht="15.75" thickBot="1">
      <c r="A25" s="9">
        <v>16</v>
      </c>
      <c r="B25" s="17" t="s">
        <v>26</v>
      </c>
      <c r="C25" s="352" t="s">
        <v>370</v>
      </c>
      <c r="D25" s="353">
        <v>689.5363289079454</v>
      </c>
      <c r="E25" s="355"/>
      <c r="F25" s="354"/>
      <c r="G25" s="355">
        <v>0.1</v>
      </c>
      <c r="H25" s="354">
        <v>0.1</v>
      </c>
      <c r="I25" s="355"/>
      <c r="J25" s="354"/>
      <c r="K25" s="350">
        <f t="shared" si="0"/>
        <v>0.1</v>
      </c>
      <c r="L25" s="354">
        <f t="shared" si="0"/>
        <v>0.1</v>
      </c>
      <c r="N25" s="27"/>
    </row>
    <row r="26" spans="1:12" ht="15.75" thickBot="1">
      <c r="A26" s="9">
        <v>17</v>
      </c>
      <c r="B26" s="21" t="s">
        <v>9</v>
      </c>
      <c r="C26" s="356">
        <f>SUM(C17:C25)</f>
        <v>15.8412180820826</v>
      </c>
      <c r="D26" s="357"/>
      <c r="E26" s="390">
        <f>SUM(E17:E25)</f>
        <v>10.9230953617494</v>
      </c>
      <c r="F26" s="390">
        <f>SUM(F17:F25)</f>
        <v>9.704171784903004</v>
      </c>
      <c r="G26" s="358">
        <f>SUM(G17:G25)</f>
        <v>0.1</v>
      </c>
      <c r="H26" s="358">
        <v>0</v>
      </c>
      <c r="I26" s="358">
        <v>0</v>
      </c>
      <c r="J26" s="358">
        <v>0</v>
      </c>
      <c r="K26" s="358">
        <f t="shared" si="0"/>
        <v>11.0230953617494</v>
      </c>
      <c r="L26" s="359">
        <f t="shared" si="0"/>
        <v>9.704171784903004</v>
      </c>
    </row>
    <row r="27" spans="3:12" ht="15">
      <c r="C27" s="13"/>
      <c r="E27" s="13"/>
      <c r="F27" s="13"/>
      <c r="G27" s="13"/>
      <c r="H27" s="13"/>
      <c r="I27" s="13"/>
      <c r="J27" s="13"/>
      <c r="K27" s="13"/>
      <c r="L27" s="13"/>
    </row>
    <row r="28" ht="15">
      <c r="B28" s="25"/>
    </row>
    <row r="29" ht="15.75" thickBot="1"/>
    <row r="30" spans="2:3" ht="15.75" thickBot="1">
      <c r="B30" s="111"/>
      <c r="C30" s="113">
        <v>2020</v>
      </c>
    </row>
    <row r="31" spans="2:3" ht="15">
      <c r="B31" s="256" t="s">
        <v>373</v>
      </c>
      <c r="C31" s="377">
        <v>112.56082027260386</v>
      </c>
    </row>
    <row r="32" spans="2:3" ht="15.75" thickBot="1">
      <c r="B32" s="257" t="s">
        <v>374</v>
      </c>
      <c r="C32" s="378">
        <v>62.97404317980321</v>
      </c>
    </row>
    <row r="35" ht="15">
      <c r="B35" s="5" t="s">
        <v>543</v>
      </c>
    </row>
  </sheetData>
  <mergeCells count="7">
    <mergeCell ref="K15:L15"/>
    <mergeCell ref="B15:B16"/>
    <mergeCell ref="C15:C16"/>
    <mergeCell ref="D15:D16"/>
    <mergeCell ref="E15:F15"/>
    <mergeCell ref="G15:H15"/>
    <mergeCell ref="I15:J15"/>
  </mergeCells>
  <conditionalFormatting sqref="C28">
    <cfRule type="cellIs" priority="13" dxfId="1" operator="equal">
      <formula>FALSE</formula>
    </cfRule>
    <cfRule type="cellIs" priority="14" dxfId="0" operator="equal">
      <formula>TRUE</formula>
    </cfRule>
  </conditionalFormatting>
  <conditionalFormatting sqref="E28">
    <cfRule type="cellIs" priority="11" dxfId="1" operator="equal">
      <formula>FALSE</formula>
    </cfRule>
    <cfRule type="cellIs" priority="12" dxfId="0" operator="equal">
      <formula>TRUE</formula>
    </cfRule>
  </conditionalFormatting>
  <conditionalFormatting sqref="F28">
    <cfRule type="cellIs" priority="9" dxfId="1" operator="equal">
      <formula>FALSE</formula>
    </cfRule>
    <cfRule type="cellIs" priority="10" dxfId="0" operator="equal">
      <formula>TRUE</formula>
    </cfRule>
  </conditionalFormatting>
  <conditionalFormatting sqref="K28">
    <cfRule type="cellIs" priority="7" dxfId="1" operator="equal">
      <formula>FALSE</formula>
    </cfRule>
    <cfRule type="cellIs" priority="8" dxfId="0" operator="equal">
      <formula>TRUE</formula>
    </cfRule>
  </conditionalFormatting>
  <conditionalFormatting sqref="L28">
    <cfRule type="cellIs" priority="5" dxfId="1" operator="equal">
      <formula>FALSE</formula>
    </cfRule>
    <cfRule type="cellIs" priority="6" dxfId="0" operator="equal">
      <formula>TRUE</formula>
    </cfRule>
  </conditionalFormatting>
  <conditionalFormatting sqref="N17:N25">
    <cfRule type="cellIs" priority="1" dxfId="1" operator="equal">
      <formula>FALSE</formula>
    </cfRule>
    <cfRule type="cellIs" priority="2" dxfId="0" operator="equal">
      <formula>TRUE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Jordbruksverket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ESTAT EAP</dc:creator>
  <cp:keywords/>
  <dc:description/>
  <cp:lastModifiedBy>Štulrajter Zdeno</cp:lastModifiedBy>
  <cp:lastPrinted>2016-09-08T14:26:34Z</cp:lastPrinted>
  <dcterms:created xsi:type="dcterms:W3CDTF">2016-01-21T15:35:08Z</dcterms:created>
  <dcterms:modified xsi:type="dcterms:W3CDTF">2024-03-12T14:02:52Z</dcterms:modified>
  <cp:category/>
  <cp:version/>
  <cp:contentType/>
  <cp:contentStatus/>
</cp:coreProperties>
</file>