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bookViews>
    <workbookView xWindow="65428" yWindow="65428" windowWidth="23256" windowHeight="12576" tabRatio="599" firstSheet="36" activeTab="41"/>
  </bookViews>
  <sheets>
    <sheet name="READ ME" sheetId="3" r:id="rId1"/>
    <sheet name="Country &amp; responsible" sheetId="5" r:id="rId2"/>
    <sheet name="Cereals" sheetId="8" r:id="rId3"/>
    <sheet name="Oilseeds and oleaginous fruits" sheetId="9" r:id="rId4"/>
    <sheet name="Protein crops" sheetId="10" r:id="rId5"/>
    <sheet name="Sugar beet" sheetId="11" r:id="rId6"/>
    <sheet name="Other industrial crops" sheetId="12" r:id="rId7"/>
    <sheet name="Forage plants" sheetId="13" r:id="rId8"/>
    <sheet name="Fresh vegetables" sheetId="14" r:id="rId9"/>
    <sheet name="Nursery&amp;Ornam. plants, flowers" sheetId="15" r:id="rId10"/>
    <sheet name="Plantations" sheetId="16" r:id="rId11"/>
    <sheet name="Potatoes" sheetId="17" r:id="rId12"/>
    <sheet name="Fruits" sheetId="18" r:id="rId13"/>
    <sheet name="Wine" sheetId="19" r:id="rId14"/>
    <sheet name="Other crop products" sheetId="20" r:id="rId15"/>
    <sheet name="Cattle" sheetId="21" r:id="rId16"/>
    <sheet name="Pigs" sheetId="22" r:id="rId17"/>
    <sheet name="Poultry" sheetId="23" r:id="rId18"/>
    <sheet name="Sheep and goats" sheetId="24" r:id="rId19"/>
    <sheet name="Equines, other animals" sheetId="52" r:id="rId20"/>
    <sheet name="Milk" sheetId="26" r:id="rId21"/>
    <sheet name="Eggs" sheetId="27" r:id="rId22"/>
    <sheet name="Other animal products" sheetId="28" r:id="rId23"/>
    <sheet name="Agricultural Services" sheetId="29" r:id="rId24"/>
    <sheet name="Non-agricultural activities" sheetId="30" r:id="rId25"/>
    <sheet name="IM_Seeds and planting stocks" sheetId="31" r:id="rId26"/>
    <sheet name="IM_Energy and lubcricants" sheetId="32" r:id="rId27"/>
    <sheet name="IM_Fertilisers" sheetId="33" r:id="rId28"/>
    <sheet name="IM_Plant protection products" sheetId="34" r:id="rId29"/>
    <sheet name="IM_Veterinary expenses" sheetId="35" r:id="rId30"/>
    <sheet name="IM_Feedingstuffs" sheetId="36" r:id="rId31"/>
    <sheet name="IM_Maintenance of materials" sheetId="37" r:id="rId32"/>
    <sheet name="IM_Maintenance of buildings" sheetId="38" r:id="rId33"/>
    <sheet name="IM_Agricultural services" sheetId="39" r:id="rId34"/>
    <sheet name="IM_FISIM" sheetId="53" r:id="rId35"/>
    <sheet name="IM_Other goods and services" sheetId="40" r:id="rId36"/>
    <sheet name="Compensation of Employees" sheetId="41" r:id="rId37"/>
    <sheet name="Other taxes on production" sheetId="42" r:id="rId38"/>
    <sheet name="Other subsidies on production" sheetId="43" r:id="rId39"/>
    <sheet name="Rents to be paid" sheetId="44" r:id="rId40"/>
    <sheet name="Interest payable" sheetId="45" r:id="rId41"/>
    <sheet name="Interest receivable" sheetId="46" r:id="rId42"/>
    <sheet name="GFCF_agricultural products" sheetId="47" r:id="rId43"/>
    <sheet name="GFCF_non-agricultural products" sheetId="48" r:id="rId44"/>
    <sheet name="Consumption of fixed capital" sheetId="49" r:id="rId45"/>
    <sheet name="Changes in inventories" sheetId="50" r:id="rId46"/>
    <sheet name="Capital transfers" sheetId="51" r:id="rId47"/>
  </sheets>
  <definedNames>
    <definedName name="_xlnm.Print_Area" localSheetId="46">'Capital transfers'!$A$1:$C$13</definedName>
    <definedName name="_xlnm.Print_Area" localSheetId="40">'Interest payable'!$A$1:$K$6</definedName>
    <definedName name="_xlnm.Print_Area" localSheetId="37">'Other taxes on production'!$A$1:$E$5</definedName>
  </definedNames>
  <calcPr calcId="191029"/>
  <extLst/>
</workbook>
</file>

<file path=xl/sharedStrings.xml><?xml version="1.0" encoding="utf-8"?>
<sst xmlns="http://schemas.openxmlformats.org/spreadsheetml/2006/main" count="1415" uniqueCount="424">
  <si>
    <t>Production</t>
  </si>
  <si>
    <t>Uses</t>
  </si>
  <si>
    <t>Usable output</t>
  </si>
  <si>
    <t>Quantity</t>
  </si>
  <si>
    <t>Price</t>
  </si>
  <si>
    <t>Value at producer prices</t>
  </si>
  <si>
    <t>Subsidies on products</t>
  </si>
  <si>
    <t>Value at basic prices</t>
  </si>
  <si>
    <t>-Losses</t>
  </si>
  <si>
    <t>Total</t>
  </si>
  <si>
    <t>Current prices</t>
  </si>
  <si>
    <t>Prices n-1</t>
  </si>
  <si>
    <t>Taxes on products</t>
  </si>
  <si>
    <t>Responsible</t>
  </si>
  <si>
    <t>Scope</t>
  </si>
  <si>
    <t>Instructions</t>
  </si>
  <si>
    <r>
      <rPr>
        <sz val="10"/>
        <rFont val="Arial"/>
        <family val="2"/>
      </rPr>
      <t>CONTACT for doubts on filling table:</t>
    </r>
    <r>
      <rPr>
        <u val="single"/>
        <sz val="10"/>
        <color rgb="FF0000FF"/>
        <rFont val="Arial"/>
        <family val="2"/>
      </rPr>
      <t xml:space="preserve"> ESTAT-EAP@ec.europa.eu</t>
    </r>
  </si>
  <si>
    <t>Country</t>
  </si>
  <si>
    <t>If the numerical examples have similarities with other common chapters, indicate them on the related sheet, do not paste the same values.</t>
  </si>
  <si>
    <t xml:space="preserve">In the sheet named 'Country &amp; responsible' provide the information
Provide the values for Production (losses and production), ensuring that usable output is correctly automatically calculated. Then complete with quantities and prices according to the numerical example developed.
The example given already contains some formulas but you can change them to suit your own circumstances.
</t>
  </si>
  <si>
    <t>Potatoes</t>
  </si>
  <si>
    <t>Changes in stocks</t>
  </si>
  <si>
    <t>Numerical example - Cereals</t>
  </si>
  <si>
    <t>Production in 1 000 tons</t>
  </si>
  <si>
    <t>(NC 01110)</t>
  </si>
  <si>
    <t>-Intra-unit consumption: Seeds</t>
  </si>
  <si>
    <t>Usable output minus own seed production</t>
  </si>
  <si>
    <t>Intra-unit consumption: Feedingstuffs</t>
  </si>
  <si>
    <t>Intra-unit consumption: Other</t>
  </si>
  <si>
    <t>Processing by producers (separable activities)</t>
  </si>
  <si>
    <t>Own final consumption</t>
  </si>
  <si>
    <t>12_1</t>
  </si>
  <si>
    <t>Sales to other agricultural units</t>
  </si>
  <si>
    <t>12_2</t>
  </si>
  <si>
    <t>Sales outside of the industry</t>
  </si>
  <si>
    <t>12_3</t>
  </si>
  <si>
    <t>Sales abroad</t>
  </si>
  <si>
    <t>Own-account produced fixed capital goods</t>
  </si>
  <si>
    <t>Numerical example - Oilseeds and oleaginous fruits (including seeds)</t>
  </si>
  <si>
    <t>Numerical example - Protein crops (including seeds)</t>
  </si>
  <si>
    <t>Numerical example - Sugar beet (including seeds)</t>
  </si>
  <si>
    <t>(NC 02400)</t>
  </si>
  <si>
    <t>Numerical example - Other industrial crops</t>
  </si>
  <si>
    <t>Numerical example - Forage plants</t>
  </si>
  <si>
    <t>Numerical example - Fresh vegetables</t>
  </si>
  <si>
    <t>Numerical example - Nursery plants, ornamental plants and flowers (including Christmas trees)</t>
  </si>
  <si>
    <t>Production in 1 000 pieces</t>
  </si>
  <si>
    <t>Numerical example - Plantations</t>
  </si>
  <si>
    <t>Area in hectares</t>
  </si>
  <si>
    <t>Numerical example - Potatoes (including seeds)</t>
  </si>
  <si>
    <t>(NC 05000)</t>
  </si>
  <si>
    <t>Numerical example - Fruits</t>
  </si>
  <si>
    <t>Numerical example - Wine</t>
  </si>
  <si>
    <t>(NC 07000)</t>
  </si>
  <si>
    <t>Production in 1000 l</t>
  </si>
  <si>
    <t>Numerical example - Seeds</t>
  </si>
  <si>
    <t>Production in tons</t>
  </si>
  <si>
    <t>Production in 1 000 tons live weight</t>
  </si>
  <si>
    <t>1 000 tons live weight</t>
  </si>
  <si>
    <t>Slaughterings</t>
  </si>
  <si>
    <t>Gross indigenous production</t>
  </si>
  <si>
    <t>-Imports in live animals</t>
  </si>
  <si>
    <t>+Exports in live animals</t>
  </si>
  <si>
    <t>Initial stocks</t>
  </si>
  <si>
    <t>Final stocks</t>
  </si>
  <si>
    <t>Numerical examples - Cattle</t>
  </si>
  <si>
    <t>1 000 heads</t>
  </si>
  <si>
    <t>Numerical example - Pigs</t>
  </si>
  <si>
    <t>Numerical example - Sheep and goats</t>
  </si>
  <si>
    <t>Numerical example - Poultry</t>
  </si>
  <si>
    <t>Carcass weight (kg)</t>
  </si>
  <si>
    <t>Gross indigenous production (1 000 tons live weight)</t>
  </si>
  <si>
    <t>Numerical example - Milk</t>
  </si>
  <si>
    <t>Numerical example - Equines, other animals</t>
  </si>
  <si>
    <t>Production in 1 000 tons dead weight</t>
  </si>
  <si>
    <t>(NC 12110)</t>
  </si>
  <si>
    <t>Intra-unit consumption: Seeds</t>
  </si>
  <si>
    <t>Usable output minus own feedingstuffs</t>
  </si>
  <si>
    <t>Net export of animals for breeding and production (1 000 tons live weight)</t>
  </si>
  <si>
    <t>Numerical example - Eggs</t>
  </si>
  <si>
    <t>(NC 12210)</t>
  </si>
  <si>
    <t>Numerical example - Other animal products</t>
  </si>
  <si>
    <t>Numerical example - Agricultural services output</t>
  </si>
  <si>
    <t>(NC 15100)</t>
  </si>
  <si>
    <t>Numerical example - Non-agricultural secondary activities (inseparable)</t>
  </si>
  <si>
    <t>(NC 17900)</t>
  </si>
  <si>
    <t>Value</t>
  </si>
  <si>
    <t>Numerical example - Seeds and planting stock (intermediate consumption)</t>
  </si>
  <si>
    <t>19011 Seeds and planting stock supplied by other agricultural holdings</t>
  </si>
  <si>
    <t>(NC 19010)</t>
  </si>
  <si>
    <t>Numerical example - Energy, lubricants</t>
  </si>
  <si>
    <t>(NC 19020)</t>
  </si>
  <si>
    <t>19020 Energy, lubricants</t>
  </si>
  <si>
    <t>Price index</t>
  </si>
  <si>
    <t>Volume Index</t>
  </si>
  <si>
    <t>Numerical example - Fertilisers and soil improvers</t>
  </si>
  <si>
    <t>(NC 19030)</t>
  </si>
  <si>
    <t>19031 Fertilisers supplied by other agricultural holdings</t>
  </si>
  <si>
    <t>19032 Fertilisers purchased from outside the agricultural industry</t>
  </si>
  <si>
    <t>Numerical example - Plant protection products, herbicides, insecticides and pesticides</t>
  </si>
  <si>
    <t>(NC 19040)</t>
  </si>
  <si>
    <t>Numerical example - Veterinary expenses</t>
  </si>
  <si>
    <t>(NC 19050)</t>
  </si>
  <si>
    <t>Numerical example - Feedingstuffs (intermediate consumption)</t>
  </si>
  <si>
    <t>(NC 19060)</t>
  </si>
  <si>
    <t>19060 Feedingstuffs (intermediate consumption)</t>
  </si>
  <si>
    <t>19061 Feedingstuffs supplied by other agricultural holdings</t>
  </si>
  <si>
    <t>19062 Feedingstuffs purchased from outside the agricultural industry</t>
  </si>
  <si>
    <t>19063 Feedingstuffs produced and consumed by the same holding</t>
  </si>
  <si>
    <t>Numerical example - Maintenance of materials</t>
  </si>
  <si>
    <t>(NC 19070)</t>
  </si>
  <si>
    <t>Numerical example - Maintenance of buildings</t>
  </si>
  <si>
    <t>Numerical example - Agricultural services</t>
  </si>
  <si>
    <t>(NC 19090)</t>
  </si>
  <si>
    <t>19090 Agricultural services</t>
  </si>
  <si>
    <t>Volume index</t>
  </si>
  <si>
    <t>Numerical example - Financial Intermediation Services Indirectly Measured (FISIM)</t>
  </si>
  <si>
    <t>(NC 19095)</t>
  </si>
  <si>
    <t>Numerical example - Other goods and services</t>
  </si>
  <si>
    <t>(NC 19900)</t>
  </si>
  <si>
    <t>(NC 23000)</t>
  </si>
  <si>
    <t>Components</t>
  </si>
  <si>
    <t>Numerical example - Compensation of Employees</t>
  </si>
  <si>
    <t>Total gross wages and salaries (D.11)</t>
  </si>
  <si>
    <t>Numerical example - Other taxes on production</t>
  </si>
  <si>
    <t>(NC 24000)</t>
  </si>
  <si>
    <t>Employers' social contributions (D.12)</t>
  </si>
  <si>
    <t>Numerical example - Other subsidies on production</t>
  </si>
  <si>
    <t>(NC 25000)</t>
  </si>
  <si>
    <t>Numerical example - Rents and other real estate rental charges to be paid</t>
  </si>
  <si>
    <t>(NC 28000)</t>
  </si>
  <si>
    <t>(NC 29000)</t>
  </si>
  <si>
    <t>(NC 30000)</t>
  </si>
  <si>
    <t>Numerical examples - GFCF in agricultural products</t>
  </si>
  <si>
    <t>Quantities in 1 000 tons live weight</t>
  </si>
  <si>
    <t>Numerical examples - GFCF in non-agricultural products</t>
  </si>
  <si>
    <t>Numerical examples - Consumption of fixed capital (CFC)</t>
  </si>
  <si>
    <t>(NC36000)</t>
  </si>
  <si>
    <t>Changes in output stocks</t>
  </si>
  <si>
    <t>Numerical example - Capital transfers</t>
  </si>
  <si>
    <t>(NC 37000)</t>
  </si>
  <si>
    <t>Capital transfers</t>
  </si>
  <si>
    <t>Since all agricultural services simultaneously represent intra-unit consumption of the agricultural industry, the output of agricultural services corresponds to the intermediate consumption item "Agricultural services" on the uses side of the production account.</t>
  </si>
  <si>
    <t/>
  </si>
  <si>
    <t>Prices in NAC/1 000 kg</t>
  </si>
  <si>
    <t>Values in million NAC</t>
  </si>
  <si>
    <t>Price index (2019=100)</t>
  </si>
  <si>
    <t>Volume index (2019=100)</t>
  </si>
  <si>
    <t>Prices in NAC/1 000 pieces</t>
  </si>
  <si>
    <t>Prices in NAC/hectare</t>
  </si>
  <si>
    <t>in million NAC</t>
  </si>
  <si>
    <t>Sugar beet 2020</t>
  </si>
  <si>
    <t>Capital transfers 2020</t>
  </si>
  <si>
    <t>Changes in stocks 2020</t>
  </si>
  <si>
    <t>Interest received 2020</t>
  </si>
  <si>
    <t>Interest paid 2020</t>
  </si>
  <si>
    <t>Rents and other real estate rental charges to be paid 2020</t>
  </si>
  <si>
    <t>Other subsidies on production 2020</t>
  </si>
  <si>
    <t>Other taxes on production 2020</t>
  </si>
  <si>
    <t>Compensation of Employees 2020</t>
  </si>
  <si>
    <t>Other goods and services 2020</t>
  </si>
  <si>
    <t>FISIM 2020</t>
  </si>
  <si>
    <t>Agricultural services 2020</t>
  </si>
  <si>
    <t>Maintenance of buildings 2020</t>
  </si>
  <si>
    <t>Maintenance of materials 2020</t>
  </si>
  <si>
    <t>Feedingstuffs (intermediate consumption) 2020</t>
  </si>
  <si>
    <t>Veterinary expenses 2020</t>
  </si>
  <si>
    <t>Plant protection products, herbicides, insecticides and pesticides 2020</t>
  </si>
  <si>
    <t>Fertilisers and soil improvers 2020</t>
  </si>
  <si>
    <t>Energy, lubricants 2020</t>
  </si>
  <si>
    <t>Seeds and planting stock (intermediate consumption) 2020</t>
  </si>
  <si>
    <t>Other inseparable secondary activities (goods and services) 2020</t>
  </si>
  <si>
    <t>Agricultural Services 2020</t>
  </si>
  <si>
    <t>Hen eggs 2020</t>
  </si>
  <si>
    <t>Cows' milk 2020</t>
  </si>
  <si>
    <t>Wine 2020</t>
  </si>
  <si>
    <t>Potatoes 2020</t>
  </si>
  <si>
    <t>(2019=100)</t>
  </si>
  <si>
    <t>Numerical examples - Changes in inventories</t>
  </si>
  <si>
    <t>Numerical example - Interest receivable</t>
  </si>
  <si>
    <t>Numerical example - Interest payable</t>
  </si>
  <si>
    <r>
      <rPr>
        <b/>
        <sz val="16"/>
        <color theme="1"/>
        <rFont val="Arial"/>
        <family val="2"/>
      </rPr>
      <t>EAA Inventory 2020</t>
    </r>
    <r>
      <rPr>
        <sz val="9"/>
        <color theme="1"/>
        <rFont val="Arial"/>
        <family val="2"/>
      </rPr>
      <t xml:space="preserve">
</t>
    </r>
    <r>
      <rPr>
        <b/>
        <sz val="14"/>
        <color theme="1"/>
        <rFont val="Arial"/>
        <family val="2"/>
      </rPr>
      <t>Numerical example</t>
    </r>
  </si>
  <si>
    <t>This workbook is designed to be used as support to describe your different numerical examples requested in conjunction with the EAA Inventory 2020. It allows you to enter the relevant information referring to the  "NUMERICAL EXAMPLE" where you may detail in numbers how your values are calculated.</t>
  </si>
  <si>
    <t>Estonia</t>
  </si>
  <si>
    <t>Pille Veidenberg</t>
  </si>
  <si>
    <t>Soft wheat and spelt 2020</t>
  </si>
  <si>
    <t>Rape and turnip rape 2020</t>
  </si>
  <si>
    <t>(NC 02110)</t>
  </si>
  <si>
    <t>Protein crops 2020</t>
  </si>
  <si>
    <t>(NC 02200)</t>
  </si>
  <si>
    <t>(NC 02930)</t>
  </si>
  <si>
    <t>Other forage plants 2020</t>
  </si>
  <si>
    <t>(NC 03900)</t>
  </si>
  <si>
    <t>Tomatoes 2020</t>
  </si>
  <si>
    <t>(NC 04120)</t>
  </si>
  <si>
    <t>Ornamental plants and flowers 2020</t>
  </si>
  <si>
    <t>(NC 04220)</t>
  </si>
  <si>
    <t>Plantations 2020</t>
  </si>
  <si>
    <t>(NC 04230)</t>
  </si>
  <si>
    <t>Apples 2020</t>
  </si>
  <si>
    <t>(NC 06110)</t>
  </si>
  <si>
    <t>Seeds 2020</t>
  </si>
  <si>
    <t>(NC 09200)</t>
  </si>
  <si>
    <t>Cattle 2020</t>
  </si>
  <si>
    <t>(NC 11100)</t>
  </si>
  <si>
    <t>Other cattle</t>
  </si>
  <si>
    <t>Dairy cows</t>
  </si>
  <si>
    <t>Total cattle</t>
  </si>
  <si>
    <t>Slaughtering in slaughterhouses</t>
  </si>
  <si>
    <t>Other slaughtering</t>
  </si>
  <si>
    <t>Other pigs</t>
  </si>
  <si>
    <t>Sows</t>
  </si>
  <si>
    <t>Total pigs</t>
  </si>
  <si>
    <t>Import (1 000 tons live weight)</t>
  </si>
  <si>
    <t>Export (1 000 tons live weight)</t>
  </si>
  <si>
    <t>Slaughtered in slaughterhouses (1 000 tons live weight)</t>
  </si>
  <si>
    <t>Other slaughtering (1 000 tons live weight)</t>
  </si>
  <si>
    <t>Slaughtered in slaughterhouses (1 000 heads)</t>
  </si>
  <si>
    <t>Other slaughtering (1 000 heads)</t>
  </si>
  <si>
    <t>(NC 11500)</t>
  </si>
  <si>
    <t>Poultry 2020</t>
  </si>
  <si>
    <t>Pigs 2020</t>
  </si>
  <si>
    <t>(NC 11200)</t>
  </si>
  <si>
    <t>Other sheep and goats 2020</t>
  </si>
  <si>
    <t>Other sheep and goats</t>
  </si>
  <si>
    <t>Total sheep and goats</t>
  </si>
  <si>
    <t>(NC 11400)</t>
  </si>
  <si>
    <t>Ewes and female breeding goats</t>
  </si>
  <si>
    <t>(NC 11300)</t>
  </si>
  <si>
    <t>Equines 2020</t>
  </si>
  <si>
    <t>Raw wool 2020</t>
  </si>
  <si>
    <t>(NC 12910)</t>
  </si>
  <si>
    <t>(NC 21000)</t>
  </si>
  <si>
    <t>CFC 2020</t>
  </si>
  <si>
    <t>(NC 32000)</t>
  </si>
  <si>
    <t>GFCF in non-agricultural products 2020</t>
  </si>
  <si>
    <t>(NC 33000)</t>
  </si>
  <si>
    <t>GFCF in agricultural products 2020</t>
  </si>
  <si>
    <t>Value, million NAC</t>
  </si>
  <si>
    <t>Entries of chicks (import+hatching) (1 000 heads)</t>
  </si>
  <si>
    <t>Values are used</t>
  </si>
  <si>
    <t>19021 Electricity, legal persons</t>
  </si>
  <si>
    <t>19021 Electricity, natural persons</t>
  </si>
  <si>
    <t>19021 Electricity, total</t>
  </si>
  <si>
    <t>19023 Other fuels and propellants, total</t>
  </si>
  <si>
    <t>19023 Other fuels and propellants, legal persons</t>
  </si>
  <si>
    <t>19023 Other fuels and propellants, natural persons</t>
  </si>
  <si>
    <t>19029 Other, total</t>
  </si>
  <si>
    <t>19029 Other, legal persons</t>
  </si>
  <si>
    <t>19029 Other, natural persons</t>
  </si>
  <si>
    <t>19010 Seeds and planting stock (intermediate consumption), total</t>
  </si>
  <si>
    <t>19010 Seeds and planting stock (intermediate consumption), legal persons</t>
  </si>
  <si>
    <t>19010 Seeds and planting stock (intermediate consumption), natural persons</t>
  </si>
  <si>
    <t>19030 Fertilisers and soil improvers, total</t>
  </si>
  <si>
    <t>19030 Fertilisers and soil improvers, legal persons</t>
  </si>
  <si>
    <t>19030 Fertilisers and soil improvers, natural persons</t>
  </si>
  <si>
    <t>19040 Plant protection products, herbicides, insecticides and pesticides, total</t>
  </si>
  <si>
    <t>19040 Plant protection products, herbicides, insecticides and pesticides, legal persons</t>
  </si>
  <si>
    <t>19040 Plant protection products, herbicides, insecticides and pesticides, natural persons</t>
  </si>
  <si>
    <t>19050 Veterinary expenses, total</t>
  </si>
  <si>
    <t>19050 Veterinary expenses, legal persons</t>
  </si>
  <si>
    <t>19050 Veterinary expenses, natural persons</t>
  </si>
  <si>
    <t>19061+19062, total</t>
  </si>
  <si>
    <t>19061+19062, legal persons</t>
  </si>
  <si>
    <t>19061+19062, natural persons</t>
  </si>
  <si>
    <t>Soft wheat</t>
  </si>
  <si>
    <t>Rye</t>
  </si>
  <si>
    <t>Barley</t>
  </si>
  <si>
    <t>Oats</t>
  </si>
  <si>
    <t>Other cereals</t>
  </si>
  <si>
    <t>Other oilseeds</t>
  </si>
  <si>
    <t>Protein crops</t>
  </si>
  <si>
    <t>Fodder roots</t>
  </si>
  <si>
    <t>Other forage crops</t>
  </si>
  <si>
    <t>19070 Maintenance of materials, total</t>
  </si>
  <si>
    <t>19070 Maintenance of materials, legal persons</t>
  </si>
  <si>
    <t>19070 Maintenance of materials, natural persons</t>
  </si>
  <si>
    <t>19080 Maintenance of buildings, total</t>
  </si>
  <si>
    <t>19080 Maintenance of buildings, legal persons</t>
  </si>
  <si>
    <t>19080 Maintenance of buildings, natural persons</t>
  </si>
  <si>
    <t>19095 FISIM, total</t>
  </si>
  <si>
    <t>19095 FISIM, sector S.11 total</t>
  </si>
  <si>
    <t>19095 FISIM, sector S.11, Q1</t>
  </si>
  <si>
    <t>19095 FISIM, sector S.11, Q2</t>
  </si>
  <si>
    <t>19095 FISIM, sector S.11, Q3</t>
  </si>
  <si>
    <t>19095 FISIM, sector S.11, Q4</t>
  </si>
  <si>
    <t>19095 FISIM, sector S.14 total</t>
  </si>
  <si>
    <t>19900 Other goods and services</t>
  </si>
  <si>
    <t>24000 Other taxes on production, legal persons</t>
  </si>
  <si>
    <t>24000 Other taxes on production, natural persons</t>
  </si>
  <si>
    <t>24000 Other taxes on production, total</t>
  </si>
  <si>
    <t>25000 Other subsidies on production</t>
  </si>
  <si>
    <t>28000 Rents and other real estate rental charges to be paid, total</t>
  </si>
  <si>
    <t>28000 Rents and other real estate rental charges to be paid, legal persons</t>
  </si>
  <si>
    <t>28000 Rents and other real estate rental charges to be paid, natural persons</t>
  </si>
  <si>
    <t>29000 Interest paid, total</t>
  </si>
  <si>
    <t>29000 Interest paid, legal persons</t>
  </si>
  <si>
    <t>29000 Interest paid, natural persons</t>
  </si>
  <si>
    <t>30000 Interest received, total</t>
  </si>
  <si>
    <t>23000 Compensation of employees</t>
  </si>
  <si>
    <t>32000 GFCF in agricultural products</t>
  </si>
  <si>
    <t>AN.1151, M.A.01</t>
  </si>
  <si>
    <t>AN.1151, H.A.01</t>
  </si>
  <si>
    <t>32000 GFCF in plantations</t>
  </si>
  <si>
    <t>32000 GFCF in livestock</t>
  </si>
  <si>
    <t>AN.1152, M.A.01</t>
  </si>
  <si>
    <t>AN.1152, H.A.01</t>
  </si>
  <si>
    <t>33000 GFCF in non-agricultural products</t>
  </si>
  <si>
    <t>33100 GFCF in materials</t>
  </si>
  <si>
    <t>33110 GFCF in machines and equipment</t>
  </si>
  <si>
    <t>33120 GFCF in transport equipment</t>
  </si>
  <si>
    <t>33200 GFCF in buildings</t>
  </si>
  <si>
    <t>33210 GFCF in farm buildings (non-residential)</t>
  </si>
  <si>
    <t>33900 Other GFCF</t>
  </si>
  <si>
    <t>33910 GFCF in intangible fixed assets</t>
  </si>
  <si>
    <t>33921 GFCF in major land improvements</t>
  </si>
  <si>
    <t xml:space="preserve">Processing by producers </t>
  </si>
  <si>
    <t>Not grown in Estonia</t>
  </si>
  <si>
    <t>Not produced in Estonia</t>
  </si>
  <si>
    <t>Non-financial corporations sector</t>
  </si>
  <si>
    <t>S.11</t>
  </si>
  <si>
    <t>S.14</t>
  </si>
  <si>
    <t>Households</t>
  </si>
  <si>
    <t>AN113</t>
  </si>
  <si>
    <t>AN1132, 1139</t>
  </si>
  <si>
    <t>AN1131</t>
  </si>
  <si>
    <t>AN112</t>
  </si>
  <si>
    <t>AN1121</t>
  </si>
  <si>
    <t>AN1122</t>
  </si>
  <si>
    <t>AN1173</t>
  </si>
  <si>
    <t>AN1123</t>
  </si>
  <si>
    <t>AN.111, total</t>
  </si>
  <si>
    <t>AN.112, total</t>
  </si>
  <si>
    <t>AN.1121, total</t>
  </si>
  <si>
    <t>AN.11221, total</t>
  </si>
  <si>
    <t>AN.11222, total</t>
  </si>
  <si>
    <t>AN.1123, total</t>
  </si>
  <si>
    <t>AN.11231, total</t>
  </si>
  <si>
    <t>AN.1131, total</t>
  </si>
  <si>
    <t>AN.11321, total</t>
  </si>
  <si>
    <t>AN.11322, total</t>
  </si>
  <si>
    <t>AN.1139, total</t>
  </si>
  <si>
    <t>AN.115, total</t>
  </si>
  <si>
    <t>AN.1151, total</t>
  </si>
  <si>
    <t>AN.1152, total</t>
  </si>
  <si>
    <t>AN.1171, total</t>
  </si>
  <si>
    <t>AN.1173, total</t>
  </si>
  <si>
    <t>AN.111, M.A.01</t>
  </si>
  <si>
    <t>AN.112, M.A.01</t>
  </si>
  <si>
    <t>AN.1121, M.A.01</t>
  </si>
  <si>
    <t>AN.11221, M.A.01</t>
  </si>
  <si>
    <t>AN.11222, M.A.01</t>
  </si>
  <si>
    <t>AN.1123, M.A.01</t>
  </si>
  <si>
    <t>AN.11231, M.A.01</t>
  </si>
  <si>
    <t>AN.1131, M.A.01</t>
  </si>
  <si>
    <t>AN.11321, M.A.01</t>
  </si>
  <si>
    <t>AN.11322, M.A.01</t>
  </si>
  <si>
    <t>AN.1139, M.A.01</t>
  </si>
  <si>
    <t>AN.115, M.A.01</t>
  </si>
  <si>
    <t>AN.1171, M.A.01</t>
  </si>
  <si>
    <t>AN.1173, M.A.01</t>
  </si>
  <si>
    <t>AN.111, H.A.01</t>
  </si>
  <si>
    <t>AN.112, H.A.01</t>
  </si>
  <si>
    <t>AN.1121, H.A.01</t>
  </si>
  <si>
    <t>AN.11221, H.A.01</t>
  </si>
  <si>
    <t>AN.11222, H.A.01</t>
  </si>
  <si>
    <t>AN.1123, H.A.01</t>
  </si>
  <si>
    <t>AN.11231, H.A.01</t>
  </si>
  <si>
    <t>AN.1131, H.A.01</t>
  </si>
  <si>
    <t>AN.11321, H.A.01</t>
  </si>
  <si>
    <t>AN.11322, H.A.01</t>
  </si>
  <si>
    <t>AN.1139, H.A.01</t>
  </si>
  <si>
    <t>AN.115, H.A.01</t>
  </si>
  <si>
    <t>AN.1171, H.A.01</t>
  </si>
  <si>
    <t>AN.1173, H.A.01</t>
  </si>
  <si>
    <t>21000 Fixed capital consumption</t>
  </si>
  <si>
    <t>21100 Equipment</t>
  </si>
  <si>
    <t>21200 Buildings</t>
  </si>
  <si>
    <t>21300 Plantations</t>
  </si>
  <si>
    <t>21900 Others</t>
  </si>
  <si>
    <t>Single Area Payment Scheme</t>
  </si>
  <si>
    <t>Greening</t>
  </si>
  <si>
    <t>Young Farmer Scheme</t>
  </si>
  <si>
    <t>Small farmers scheme</t>
  </si>
  <si>
    <t>Compensation of removal and destruction of fallen stock</t>
  </si>
  <si>
    <t>Support for farm animal breeding</t>
  </si>
  <si>
    <t xml:space="preserve">Practical Training Support </t>
  </si>
  <si>
    <t xml:space="preserve">Support for replacement of agricultural producer </t>
  </si>
  <si>
    <t>Support for market development</t>
  </si>
  <si>
    <t>Apiculture support</t>
  </si>
  <si>
    <t>Transitional national payment for arable crops</t>
  </si>
  <si>
    <t>Transitional national payment for certified seeds</t>
  </si>
  <si>
    <t xml:space="preserve">Transitional national payment for cattle </t>
  </si>
  <si>
    <t>Transitional national payment for milk</t>
  </si>
  <si>
    <t>Transitional national payment for ewes</t>
  </si>
  <si>
    <t>Other industrial crops: others 2020</t>
  </si>
  <si>
    <t>Prices in NAC/1 000 l</t>
  </si>
  <si>
    <t>Losses (1 000 heads)</t>
  </si>
  <si>
    <t>Export (1 000 heads)</t>
  </si>
  <si>
    <t>Initial stocks (1 000 heads)</t>
  </si>
  <si>
    <t>Final stocks (1 000 heads)</t>
  </si>
  <si>
    <t>Changes in stocks (1 000 heads)</t>
  </si>
  <si>
    <t>Covid support for agricultural enterprise (state aid)</t>
  </si>
  <si>
    <t xml:space="preserve">Support for dangerous pest control measures </t>
  </si>
  <si>
    <t>RDP 2007–2013 measure 2.3 Support for environmentally friendly management</t>
  </si>
  <si>
    <t>RDP 2014–2020 measure 10.1.1 Support for environmentally friendly management</t>
  </si>
  <si>
    <t>RDP 2014–2020 measure 11. Organic farming</t>
  </si>
  <si>
    <t>RDP 2014–2020 measure 14. Animal welfare</t>
  </si>
  <si>
    <t>RDP 2014–2020 measure 12.1 Natura 2000 support for agricultural land</t>
  </si>
  <si>
    <t>RDP 2014–2020 Measure 17. Risk management (insurance support)</t>
  </si>
  <si>
    <t>Business start-up subsidy in the agricultural sector for unemployed persons</t>
  </si>
  <si>
    <t>Support for demolition of agricultural, industrial or military buildings that have fallen out of use</t>
  </si>
  <si>
    <t>Project "BreedExpo" CB784 (EPKK), providing support for connection to high-speed electronic communications networks (Consumer Protection and Technical Regulatory Authority)</t>
  </si>
  <si>
    <t>Compensation of damages caused by wild animals and birds</t>
  </si>
  <si>
    <t>33220 GFCF in other works except land improvements</t>
  </si>
  <si>
    <t>33920 Addition to the value of non-financial non-produced assets</t>
  </si>
  <si>
    <t xml:space="preserve">RDP 2014–2020 5.2 Restoring agricultural production potential damaged by natural disasters and catastrophic events and introduction of appropriate prevention actions </t>
  </si>
  <si>
    <t>RDP 2014–2020 measure 4. Investments in physical assets</t>
  </si>
  <si>
    <t>RDP 2014–2020 measure 6. Farm and business development</t>
  </si>
  <si>
    <t>Finished animals (1 000 heads)</t>
  </si>
  <si>
    <t>Finished animals (1 000 tons live weight)</t>
  </si>
  <si>
    <t>19012 Seeds and planting stock purchased from outside the agricultural industry</t>
  </si>
  <si>
    <t>Guarantees and loans (only state aid or de minimis element, non-investment) included in financial instruments via RDP 2014–2020</t>
  </si>
  <si>
    <t>RDF guarantees and loans (for investment) included in financial instruments via RDP 2014–2020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</si>
</sst>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000"/>
    <numFmt numFmtId="168" formatCode="0.0000"/>
    <numFmt numFmtId="169" formatCode="0.0000%"/>
    <numFmt numFmtId="170" formatCode="#,##0.000"/>
  </numFmts>
  <fonts count="41">
    <font>
      <sz val="11"/>
      <color theme="1"/>
      <name val="Calibri"/>
      <family val="2"/>
      <scheme val="minor"/>
    </font>
    <font>
      <sz val="10"/>
      <name val="Arial"/>
      <family val="2"/>
    </font>
    <font>
      <sz val="11"/>
      <color theme="1"/>
      <name val="Arial"/>
      <family val="2"/>
    </font>
    <font>
      <b/>
      <sz val="11"/>
      <color theme="1"/>
      <name val="Calibri"/>
      <family val="2"/>
      <scheme val="minor"/>
    </font>
    <font>
      <b/>
      <sz val="14"/>
      <color theme="1"/>
      <name val="Calibri"/>
      <family val="2"/>
      <scheme val="minor"/>
    </font>
    <font>
      <b/>
      <u val="single"/>
      <sz val="11"/>
      <color theme="1"/>
      <name val="Calibri"/>
      <family val="2"/>
      <scheme val="minor"/>
    </font>
    <font>
      <b/>
      <sz val="15"/>
      <color theme="3"/>
      <name val="Calibri"/>
      <family val="2"/>
      <scheme val="minor"/>
    </font>
    <font>
      <u val="single"/>
      <sz val="10"/>
      <color theme="10"/>
      <name val="Arial"/>
      <family val="2"/>
    </font>
    <font>
      <sz val="9"/>
      <color theme="1"/>
      <name val="Arial"/>
      <family val="2"/>
    </font>
    <font>
      <b/>
      <sz val="16"/>
      <color rgb="FF808080"/>
      <name val="Arial"/>
      <family val="2"/>
    </font>
    <font>
      <u val="single"/>
      <sz val="10"/>
      <color rgb="FF0000FF"/>
      <name val="Arial"/>
      <family val="2"/>
    </font>
    <font>
      <b/>
      <sz val="16"/>
      <color theme="1"/>
      <name val="Arial"/>
      <family val="2"/>
    </font>
    <font>
      <b/>
      <sz val="14"/>
      <color theme="1"/>
      <name val="Arial"/>
      <family val="2"/>
    </font>
    <font>
      <sz val="11"/>
      <color rgb="FF660033"/>
      <name val="Calibri"/>
      <family val="2"/>
      <scheme val="minor"/>
    </font>
    <font>
      <i/>
      <sz val="11"/>
      <color rgb="FFFF0000"/>
      <name val="Calibri"/>
      <family val="2"/>
      <scheme val="minor"/>
    </font>
    <font>
      <sz val="11"/>
      <color rgb="FFFF0000"/>
      <name val="Calibri"/>
      <family val="2"/>
      <scheme val="minor"/>
    </font>
    <font>
      <b/>
      <sz val="18"/>
      <color theme="3"/>
      <name val="Calibri Light"/>
      <family val="2"/>
      <scheme val="major"/>
    </font>
    <font>
      <sz val="11"/>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sz val="11"/>
      <color theme="1"/>
      <name val="Calibri"/>
      <family val="2"/>
    </font>
    <font>
      <b/>
      <sz val="13"/>
      <color theme="3"/>
      <name val="Calibri"/>
      <family val="2"/>
      <scheme val="minor"/>
    </font>
    <font>
      <b/>
      <sz val="11"/>
      <color theme="3"/>
      <name val="Calibri"/>
      <family val="2"/>
      <scheme val="minor"/>
    </font>
    <font>
      <sz val="11"/>
      <color rgb="FFFA7D00"/>
      <name val="Calibri"/>
      <family val="2"/>
      <scheme val="minor"/>
    </font>
    <font>
      <b/>
      <sz val="11"/>
      <color theme="0"/>
      <name val="Calibri"/>
      <family val="2"/>
      <scheme val="minor"/>
    </font>
    <font>
      <sz val="9"/>
      <color theme="1"/>
      <name val="Calibri"/>
      <family val="2"/>
      <scheme val="minor"/>
    </font>
    <font>
      <i/>
      <sz val="11"/>
      <color rgb="FFC00000"/>
      <name val="Calibri"/>
      <family val="2"/>
      <scheme val="minor"/>
    </font>
    <font>
      <sz val="11"/>
      <color rgb="FFC00000"/>
      <name val="Calibri"/>
      <family val="2"/>
      <scheme val="minor"/>
    </font>
    <font>
      <sz val="11"/>
      <name val="Calibri"/>
      <family val="2"/>
      <scheme val="minor"/>
    </font>
    <font>
      <sz val="8"/>
      <name val="Calibri"/>
      <family val="2"/>
      <scheme val="minor"/>
    </font>
    <font>
      <sz val="10"/>
      <name val="Times New Roman"/>
      <family val="1"/>
    </font>
    <font>
      <b/>
      <sz val="10"/>
      <name val="Times New Roman"/>
      <family val="1"/>
    </font>
    <font>
      <b/>
      <sz val="11"/>
      <color theme="1"/>
      <name val="Times New Roman"/>
      <family val="1"/>
    </font>
    <font>
      <b/>
      <sz val="11"/>
      <color theme="1" tint="0.5"/>
      <name val="Arial"/>
      <family val="2"/>
    </font>
    <font>
      <b/>
      <sz val="11"/>
      <color rgb="FF000000" tint="0.5"/>
      <name val="Arial"/>
      <family val="2"/>
    </font>
  </fonts>
  <fills count="16">
    <fill>
      <patternFill/>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70">
    <border>
      <left/>
      <right/>
      <top/>
      <bottom/>
      <diagonal/>
    </border>
    <border>
      <left/>
      <right/>
      <top/>
      <bottom style="thick">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thin"/>
      <bottom style="thin"/>
    </border>
    <border>
      <left style="medium"/>
      <right style="medium"/>
      <top style="thin"/>
      <bottom style="medium"/>
    </border>
    <border>
      <left style="thin"/>
      <right style="medium"/>
      <top style="thin"/>
      <bottom style="thin"/>
    </border>
    <border>
      <left style="medium"/>
      <right style="thin"/>
      <top style="thin"/>
      <bottom style="thin"/>
    </border>
    <border>
      <left style="medium"/>
      <right style="medium"/>
      <top style="medium"/>
      <bottom style="medium"/>
    </border>
    <border>
      <left style="thin"/>
      <right style="medium"/>
      <top style="medium"/>
      <bottom style="medium"/>
    </border>
    <border>
      <left style="medium"/>
      <right style="thin"/>
      <top style="medium"/>
      <bottom style="medium"/>
    </border>
    <border>
      <left/>
      <right style="medium"/>
      <top style="thin"/>
      <bottom style="thin"/>
    </border>
    <border>
      <left/>
      <right style="medium"/>
      <top style="thin"/>
      <bottom style="medium"/>
    </border>
    <border>
      <left style="medium"/>
      <right style="medium"/>
      <top/>
      <bottom style="thin"/>
    </border>
    <border>
      <left/>
      <right style="medium"/>
      <top/>
      <bottom style="thin"/>
    </border>
    <border>
      <left style="thin"/>
      <right/>
      <top style="thin"/>
      <bottom style="thin"/>
    </border>
    <border>
      <left style="thin"/>
      <right/>
      <top style="thin"/>
      <bottom style="medium"/>
    </border>
    <border>
      <left style="medium"/>
      <right style="thin"/>
      <top style="thin"/>
      <bottom style="medium"/>
    </border>
    <border>
      <left style="thin"/>
      <right style="medium"/>
      <top style="thin"/>
      <bottom style="medium"/>
    </border>
    <border>
      <left style="medium"/>
      <right style="thin"/>
      <top style="thin"/>
      <bottom/>
    </border>
    <border>
      <left style="thin"/>
      <right/>
      <top style="thin"/>
      <bottom/>
    </border>
    <border>
      <left style="thin"/>
      <right style="medium"/>
      <top style="thin"/>
      <bottom/>
    </border>
    <border>
      <left/>
      <right style="medium"/>
      <top style="medium"/>
      <bottom style="thin"/>
    </border>
    <border>
      <left style="medium"/>
      <right style="thin"/>
      <top/>
      <bottom style="thin"/>
    </border>
    <border>
      <left style="thin"/>
      <right style="medium"/>
      <top/>
      <bottom style="thin"/>
    </border>
    <border>
      <left style="thin"/>
      <right style="medium"/>
      <top/>
      <bottom style="medium"/>
    </border>
    <border>
      <left/>
      <right style="medium"/>
      <top style="medium"/>
      <bottom style="medium"/>
    </border>
    <border>
      <left style="thin"/>
      <right style="medium"/>
      <top/>
      <bottom/>
    </border>
    <border>
      <left/>
      <right style="thin"/>
      <top style="thin"/>
      <bottom style="medium"/>
    </border>
    <border>
      <left style="thin"/>
      <right/>
      <top/>
      <bottom style="thin"/>
    </border>
    <border>
      <left style="medium"/>
      <right style="medium"/>
      <top style="medium"/>
      <bottom style="thin"/>
    </border>
    <border>
      <left style="medium"/>
      <right style="medium"/>
      <top/>
      <bottom/>
    </border>
    <border>
      <left style="medium"/>
      <right style="medium"/>
      <top/>
      <bottom style="medium"/>
    </border>
    <border>
      <left/>
      <right/>
      <top/>
      <bottom style="thin"/>
    </border>
    <border>
      <left/>
      <right style="thin"/>
      <top style="thin"/>
      <bottom/>
    </border>
    <border>
      <left style="medium"/>
      <right style="thin"/>
      <top style="medium"/>
      <bottom style="thin"/>
    </border>
    <border>
      <left style="thin"/>
      <right style="thin"/>
      <top style="thin"/>
      <bottom style="thin"/>
    </border>
    <border>
      <left style="thin"/>
      <right style="thin"/>
      <top style="thin"/>
      <bottom style="medium"/>
    </border>
    <border>
      <left style="thin"/>
      <right style="medium"/>
      <top style="medium"/>
      <bottom style="thin"/>
    </border>
    <border>
      <left style="medium"/>
      <right style="thin"/>
      <top/>
      <bottom style="medium"/>
    </border>
    <border>
      <left style="medium"/>
      <right/>
      <top/>
      <bottom/>
    </border>
    <border>
      <left style="medium"/>
      <right/>
      <top style="thin"/>
      <bottom style="medium"/>
    </border>
    <border>
      <left style="thin"/>
      <right style="medium"/>
      <top style="medium"/>
      <bottom/>
    </border>
    <border>
      <left/>
      <right style="thin"/>
      <top/>
      <bottom style="thin"/>
    </border>
    <border>
      <left style="medium"/>
      <right/>
      <top style="medium"/>
      <bottom style="medium"/>
    </border>
    <border>
      <left/>
      <right style="medium"/>
      <top/>
      <bottom style="medium"/>
    </border>
    <border>
      <left style="thin"/>
      <right style="thin"/>
      <top style="medium"/>
      <bottom style="thin"/>
    </border>
    <border>
      <left/>
      <right style="thin"/>
      <top style="medium"/>
      <bottom style="thin"/>
    </border>
    <border>
      <left/>
      <right style="thin"/>
      <top style="thin"/>
      <bottom style="thin"/>
    </border>
    <border>
      <left style="thin"/>
      <right/>
      <top/>
      <bottom style="medium"/>
    </border>
    <border>
      <left style="thin"/>
      <right/>
      <top style="medium"/>
      <bottom style="medium"/>
    </border>
    <border>
      <left style="medium"/>
      <right style="medium"/>
      <top style="medium"/>
      <bottom/>
    </border>
    <border>
      <left/>
      <right style="medium"/>
      <top style="medium"/>
      <bottom/>
    </border>
    <border>
      <left/>
      <right style="medium"/>
      <top style="hair"/>
      <bottom style="hair"/>
    </border>
    <border>
      <left style="medium"/>
      <right style="medium"/>
      <top style="hair"/>
      <bottom style="hair"/>
    </border>
    <border>
      <left style="medium"/>
      <right style="medium"/>
      <top/>
      <bottom style="hair"/>
    </border>
    <border>
      <left/>
      <right style="medium"/>
      <top/>
      <bottom style="hair"/>
    </border>
    <border>
      <left style="medium"/>
      <right style="medium"/>
      <top style="thin"/>
      <bottom/>
    </border>
    <border>
      <left/>
      <right style="medium"/>
      <top style="thin"/>
      <bottom/>
    </border>
    <border>
      <left/>
      <right style="medium"/>
      <top/>
      <bottom/>
    </border>
    <border>
      <left style="medium"/>
      <right style="medium"/>
      <top style="hair"/>
      <bottom style="medium"/>
    </border>
    <border>
      <left style="medium"/>
      <right/>
      <top style="medium"/>
      <bottom style="thin"/>
    </border>
    <border>
      <left style="medium"/>
      <right style="thin"/>
      <top style="medium"/>
      <bottom/>
    </border>
    <border>
      <left/>
      <right/>
      <top/>
      <bottom style="mediu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1" applyNumberFormat="0" applyFill="0" applyAlignment="0" applyProtection="0"/>
    <xf numFmtId="0" fontId="7" fillId="0" borderId="0" applyNumberFormat="0" applyFill="0" applyBorder="0" applyAlignment="0" applyProtection="0"/>
    <xf numFmtId="0" fontId="2" fillId="0" borderId="0">
      <alignment/>
      <protection/>
    </xf>
    <xf numFmtId="0" fontId="0" fillId="0" borderId="0">
      <alignment/>
      <protection/>
    </xf>
    <xf numFmtId="0" fontId="16" fillId="0" borderId="0" applyNumberFormat="0" applyFill="0" applyBorder="0" applyAlignment="0" applyProtection="0"/>
    <xf numFmtId="0" fontId="17"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9" fillId="8" borderId="2" applyNumberFormat="0" applyAlignment="0" applyProtection="0"/>
    <xf numFmtId="0" fontId="20" fillId="8" borderId="3" applyNumberFormat="0" applyAlignment="0" applyProtection="0"/>
    <xf numFmtId="0" fontId="21" fillId="9" borderId="3" applyNumberFormat="0" applyAlignment="0" applyProtection="0"/>
    <xf numFmtId="0" fontId="3" fillId="0" borderId="4" applyNumberFormat="0" applyFill="0" applyAlignment="0" applyProtection="0"/>
    <xf numFmtId="0" fontId="22"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0" fillId="12" borderId="5" applyNumberFormat="0" applyFont="0" applyAlignment="0" applyProtection="0"/>
    <xf numFmtId="0" fontId="25" fillId="13" borderId="0" applyNumberFormat="0" applyBorder="0" applyAlignment="0" applyProtection="0"/>
    <xf numFmtId="0" fontId="17" fillId="0" borderId="0">
      <alignment/>
      <protection/>
    </xf>
    <xf numFmtId="0" fontId="0" fillId="0" borderId="0">
      <alignment/>
      <protection/>
    </xf>
    <xf numFmtId="0" fontId="26" fillId="0" borderId="0">
      <alignment/>
      <protection/>
    </xf>
    <xf numFmtId="0" fontId="6" fillId="0" borderId="1"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15" fillId="0" borderId="0" applyNumberFormat="0" applyFill="0" applyBorder="0" applyAlignment="0" applyProtection="0"/>
    <xf numFmtId="0" fontId="30" fillId="14" borderId="9" applyNumberFormat="0" applyAlignment="0" applyProtection="0"/>
    <xf numFmtId="0" fontId="17" fillId="0" borderId="0">
      <alignment/>
      <protection/>
    </xf>
    <xf numFmtId="0" fontId="2" fillId="0" borderId="0">
      <alignment/>
      <protection/>
    </xf>
    <xf numFmtId="0" fontId="17" fillId="0" borderId="0">
      <alignment/>
      <protection/>
    </xf>
    <xf numFmtId="0" fontId="2" fillId="0" borderId="0">
      <alignment/>
      <protection/>
    </xf>
    <xf numFmtId="0" fontId="1" fillId="0" borderId="0">
      <alignment/>
      <protection/>
    </xf>
  </cellStyleXfs>
  <cellXfs count="411">
    <xf numFmtId="0" fontId="0" fillId="0" borderId="0" xfId="0"/>
    <xf numFmtId="0" fontId="4" fillId="0" borderId="0" xfId="0" applyFont="1"/>
    <xf numFmtId="0" fontId="8" fillId="0" borderId="0" xfId="0" applyFont="1" applyFill="1" applyBorder="1"/>
    <xf numFmtId="0" fontId="8" fillId="0" borderId="0" xfId="0" applyFont="1" applyFill="1" applyBorder="1" applyAlignment="1">
      <alignment vertical="center"/>
    </xf>
    <xf numFmtId="0" fontId="0" fillId="0" borderId="0" xfId="22" applyFont="1">
      <alignment/>
      <protection/>
    </xf>
    <xf numFmtId="0" fontId="0" fillId="0" borderId="0" xfId="23">
      <alignment/>
      <protection/>
    </xf>
    <xf numFmtId="0" fontId="4" fillId="0" borderId="0" xfId="23" applyFont="1">
      <alignment/>
      <protection/>
    </xf>
    <xf numFmtId="0" fontId="5" fillId="0" borderId="0" xfId="23" applyFont="1">
      <alignment/>
      <protection/>
    </xf>
    <xf numFmtId="0" fontId="0" fillId="0" borderId="0" xfId="23" applyFont="1">
      <alignment/>
      <protection/>
    </xf>
    <xf numFmtId="0" fontId="3" fillId="0" borderId="0" xfId="23" applyFont="1" applyAlignment="1">
      <alignment horizontal="right"/>
      <protection/>
    </xf>
    <xf numFmtId="0" fontId="13" fillId="0" borderId="0" xfId="23" applyFont="1" applyAlignment="1">
      <alignment horizontal="center"/>
      <protection/>
    </xf>
    <xf numFmtId="0" fontId="0" fillId="0" borderId="10" xfId="23" applyBorder="1" quotePrefix="1">
      <alignment/>
      <protection/>
    </xf>
    <xf numFmtId="0" fontId="3" fillId="0" borderId="10" xfId="23" applyFont="1" applyBorder="1">
      <alignment/>
      <protection/>
    </xf>
    <xf numFmtId="0" fontId="3" fillId="0" borderId="11" xfId="23" applyFont="1" applyBorder="1">
      <alignment/>
      <protection/>
    </xf>
    <xf numFmtId="0" fontId="0" fillId="0" borderId="0" xfId="23" quotePrefix="1">
      <alignment/>
      <protection/>
    </xf>
    <xf numFmtId="3" fontId="0" fillId="0" borderId="0" xfId="23" applyNumberFormat="1">
      <alignment/>
      <protection/>
    </xf>
    <xf numFmtId="0" fontId="3" fillId="0" borderId="0" xfId="23" applyFont="1">
      <alignment/>
      <protection/>
    </xf>
    <xf numFmtId="3" fontId="3" fillId="0" borderId="0" xfId="23" applyNumberFormat="1" applyFont="1">
      <alignment/>
      <protection/>
    </xf>
    <xf numFmtId="0" fontId="0" fillId="0" borderId="10" xfId="23" applyFont="1" applyBorder="1">
      <alignment/>
      <protection/>
    </xf>
    <xf numFmtId="1" fontId="0" fillId="0" borderId="12" xfId="23" applyNumberFormat="1" applyBorder="1">
      <alignment/>
      <protection/>
    </xf>
    <xf numFmtId="165" fontId="0" fillId="0" borderId="13" xfId="23" applyNumberFormat="1" applyBorder="1">
      <alignment/>
      <protection/>
    </xf>
    <xf numFmtId="165" fontId="0" fillId="0" borderId="12" xfId="23" applyNumberFormat="1" applyBorder="1">
      <alignment/>
      <protection/>
    </xf>
    <xf numFmtId="0" fontId="3" fillId="0" borderId="14" xfId="23" applyFont="1" applyBorder="1">
      <alignment/>
      <protection/>
    </xf>
    <xf numFmtId="0" fontId="0" fillId="0" borderId="15" xfId="23" applyBorder="1">
      <alignment/>
      <protection/>
    </xf>
    <xf numFmtId="165" fontId="3" fillId="0" borderId="16" xfId="23" applyNumberFormat="1" applyFont="1" applyBorder="1">
      <alignment/>
      <protection/>
    </xf>
    <xf numFmtId="165" fontId="3" fillId="0" borderId="15" xfId="23" applyNumberFormat="1" applyFont="1" applyBorder="1">
      <alignment/>
      <protection/>
    </xf>
    <xf numFmtId="0" fontId="14" fillId="0" borderId="0" xfId="23" applyFont="1">
      <alignment/>
      <protection/>
    </xf>
    <xf numFmtId="0" fontId="0" fillId="0" borderId="0" xfId="23" applyFont="1">
      <alignment/>
      <protection/>
    </xf>
    <xf numFmtId="0" fontId="0" fillId="0" borderId="0" xfId="22" applyFont="1">
      <alignment/>
      <protection/>
    </xf>
    <xf numFmtId="1" fontId="0" fillId="0" borderId="17" xfId="23" applyNumberFormat="1" applyBorder="1">
      <alignment/>
      <protection/>
    </xf>
    <xf numFmtId="1" fontId="3" fillId="0" borderId="17" xfId="23" applyNumberFormat="1" applyFont="1" applyBorder="1">
      <alignment/>
      <protection/>
    </xf>
    <xf numFmtId="1" fontId="0" fillId="0" borderId="13" xfId="23" applyNumberFormat="1" applyBorder="1">
      <alignment/>
      <protection/>
    </xf>
    <xf numFmtId="1" fontId="3" fillId="0" borderId="16" xfId="23" applyNumberFormat="1" applyFont="1" applyBorder="1">
      <alignment/>
      <protection/>
    </xf>
    <xf numFmtId="0" fontId="3" fillId="0" borderId="0" xfId="23" applyFont="1" applyBorder="1">
      <alignment/>
      <protection/>
    </xf>
    <xf numFmtId="1" fontId="0" fillId="0" borderId="0" xfId="23" applyNumberFormat="1" applyBorder="1">
      <alignment/>
      <protection/>
    </xf>
    <xf numFmtId="1" fontId="3" fillId="0" borderId="18" xfId="23" applyNumberFormat="1" applyFont="1" applyBorder="1">
      <alignment/>
      <protection/>
    </xf>
    <xf numFmtId="1" fontId="0" fillId="0" borderId="0" xfId="23" applyNumberFormat="1">
      <alignment/>
      <protection/>
    </xf>
    <xf numFmtId="164" fontId="0" fillId="0" borderId="13" xfId="23" applyNumberFormat="1" applyBorder="1">
      <alignment/>
      <protection/>
    </xf>
    <xf numFmtId="164" fontId="0" fillId="0" borderId="17" xfId="23" applyNumberFormat="1" applyBorder="1">
      <alignment/>
      <protection/>
    </xf>
    <xf numFmtId="164" fontId="3" fillId="0" borderId="18" xfId="23" applyNumberFormat="1" applyFont="1" applyBorder="1">
      <alignment/>
      <protection/>
    </xf>
    <xf numFmtId="166" fontId="0" fillId="0" borderId="0" xfId="23" applyNumberFormat="1">
      <alignment/>
      <protection/>
    </xf>
    <xf numFmtId="166" fontId="3" fillId="0" borderId="17" xfId="23" applyNumberFormat="1" applyFont="1" applyBorder="1">
      <alignment/>
      <protection/>
    </xf>
    <xf numFmtId="166" fontId="3" fillId="0" borderId="18" xfId="23" applyNumberFormat="1" applyFont="1" applyBorder="1">
      <alignment/>
      <protection/>
    </xf>
    <xf numFmtId="164" fontId="3" fillId="0" borderId="16" xfId="23" applyNumberFormat="1" applyFont="1" applyBorder="1">
      <alignment/>
      <protection/>
    </xf>
    <xf numFmtId="166" fontId="3" fillId="0" borderId="16" xfId="23" applyNumberFormat="1" applyFont="1" applyBorder="1">
      <alignment/>
      <protection/>
    </xf>
    <xf numFmtId="0" fontId="0" fillId="0" borderId="19" xfId="23" applyFont="1" applyBorder="1">
      <alignment/>
      <protection/>
    </xf>
    <xf numFmtId="164" fontId="0" fillId="0" borderId="20" xfId="23" applyNumberFormat="1" applyBorder="1">
      <alignment/>
      <protection/>
    </xf>
    <xf numFmtId="164" fontId="0" fillId="0" borderId="0" xfId="23" applyNumberFormat="1" applyFont="1" applyBorder="1">
      <alignment/>
      <protection/>
    </xf>
    <xf numFmtId="0" fontId="5" fillId="0" borderId="0" xfId="23" applyFont="1" applyAlignment="1">
      <alignment vertical="top" wrapText="1"/>
      <protection/>
    </xf>
    <xf numFmtId="0" fontId="0" fillId="0" borderId="0" xfId="22" applyFont="1" applyAlignment="1">
      <alignment vertical="top"/>
      <protection/>
    </xf>
    <xf numFmtId="0" fontId="3" fillId="0" borderId="13" xfId="23" applyFont="1" applyBorder="1" applyAlignment="1">
      <alignment horizontal="center" vertical="top" wrapText="1"/>
      <protection/>
    </xf>
    <xf numFmtId="0" fontId="0" fillId="0" borderId="10" xfId="23" applyFont="1" applyBorder="1" applyAlignment="1">
      <alignment vertical="top" wrapText="1"/>
      <protection/>
    </xf>
    <xf numFmtId="165" fontId="0" fillId="0" borderId="13" xfId="23" applyNumberFormat="1" applyBorder="1">
      <alignment/>
      <protection/>
    </xf>
    <xf numFmtId="0" fontId="0" fillId="0" borderId="11" xfId="23" applyFont="1" applyBorder="1" applyAlignment="1">
      <alignment vertical="top" wrapText="1"/>
      <protection/>
    </xf>
    <xf numFmtId="165" fontId="0" fillId="0" borderId="21" xfId="23" applyNumberFormat="1" applyBorder="1">
      <alignment/>
      <protection/>
    </xf>
    <xf numFmtId="165" fontId="0" fillId="0" borderId="22" xfId="23" applyNumberFormat="1" applyBorder="1">
      <alignment/>
      <protection/>
    </xf>
    <xf numFmtId="164" fontId="0" fillId="0" borderId="13" xfId="23" applyNumberFormat="1" applyBorder="1">
      <alignment/>
      <protection/>
    </xf>
    <xf numFmtId="164" fontId="0" fillId="0" borderId="13" xfId="23" applyNumberFormat="1" applyFont="1" applyBorder="1" applyAlignment="1">
      <alignment horizontal="right"/>
      <protection/>
    </xf>
    <xf numFmtId="164" fontId="0" fillId="0" borderId="23" xfId="23" applyNumberFormat="1" applyBorder="1">
      <alignment/>
      <protection/>
    </xf>
    <xf numFmtId="164" fontId="0" fillId="0" borderId="24" xfId="23" applyNumberFormat="1" applyBorder="1">
      <alignment/>
      <protection/>
    </xf>
    <xf numFmtId="0" fontId="0" fillId="0" borderId="0" xfId="23" applyFont="1" applyFill="1">
      <alignment/>
      <protection/>
    </xf>
    <xf numFmtId="165" fontId="0" fillId="0" borderId="25" xfId="23" applyNumberFormat="1" applyFont="1" applyBorder="1" applyAlignment="1">
      <alignment horizontal="right"/>
      <protection/>
    </xf>
    <xf numFmtId="165" fontId="0" fillId="0" borderId="26" xfId="23" applyNumberFormat="1" applyFont="1" applyBorder="1" applyAlignment="1">
      <alignment horizontal="right"/>
      <protection/>
    </xf>
    <xf numFmtId="164" fontId="0" fillId="0" borderId="25" xfId="23" applyNumberFormat="1" applyFont="1" applyBorder="1" applyAlignment="1">
      <alignment horizontal="right"/>
      <protection/>
    </xf>
    <xf numFmtId="164" fontId="0" fillId="0" borderId="27" xfId="23" applyNumberFormat="1" applyFont="1" applyBorder="1" applyAlignment="1">
      <alignment horizontal="right"/>
      <protection/>
    </xf>
    <xf numFmtId="164" fontId="0" fillId="0" borderId="0" xfId="23" applyNumberFormat="1">
      <alignment/>
      <protection/>
    </xf>
    <xf numFmtId="164" fontId="0" fillId="0" borderId="24" xfId="23" applyNumberFormat="1" applyBorder="1">
      <alignment/>
      <protection/>
    </xf>
    <xf numFmtId="0" fontId="3" fillId="0" borderId="0" xfId="23" applyFont="1" applyBorder="1" applyAlignment="1">
      <alignment horizontal="center" vertical="top"/>
      <protection/>
    </xf>
    <xf numFmtId="0" fontId="0" fillId="0" borderId="0" xfId="23" applyFont="1" applyBorder="1" applyAlignment="1">
      <alignment horizontal="center" vertical="top" wrapText="1"/>
      <protection/>
    </xf>
    <xf numFmtId="164" fontId="0" fillId="0" borderId="0" xfId="23" applyNumberFormat="1" applyBorder="1">
      <alignment/>
      <protection/>
    </xf>
    <xf numFmtId="1" fontId="0" fillId="0" borderId="28" xfId="23" applyNumberFormat="1" applyFont="1" applyFill="1" applyBorder="1">
      <alignment/>
      <protection/>
    </xf>
    <xf numFmtId="0" fontId="0" fillId="0" borderId="0" xfId="23" applyFill="1">
      <alignment/>
      <protection/>
    </xf>
    <xf numFmtId="0" fontId="32" fillId="0" borderId="0" xfId="23" applyFont="1">
      <alignment/>
      <protection/>
    </xf>
    <xf numFmtId="167" fontId="32" fillId="0" borderId="0" xfId="23" applyNumberFormat="1" applyFont="1">
      <alignment/>
      <protection/>
    </xf>
    <xf numFmtId="0" fontId="0" fillId="0" borderId="19" xfId="23" applyFont="1" applyBorder="1">
      <alignment/>
      <protection/>
    </xf>
    <xf numFmtId="1" fontId="0" fillId="0" borderId="29" xfId="23" applyNumberFormat="1" applyBorder="1">
      <alignment/>
      <protection/>
    </xf>
    <xf numFmtId="1" fontId="0" fillId="0" borderId="30" xfId="23" applyNumberFormat="1" applyBorder="1">
      <alignment/>
      <protection/>
    </xf>
    <xf numFmtId="165" fontId="0" fillId="0" borderId="29" xfId="23" applyNumberFormat="1" applyBorder="1">
      <alignment/>
      <protection/>
    </xf>
    <xf numFmtId="165" fontId="0" fillId="0" borderId="30" xfId="23" applyNumberFormat="1" applyBorder="1">
      <alignment/>
      <protection/>
    </xf>
    <xf numFmtId="0" fontId="3" fillId="0" borderId="23" xfId="23" applyFont="1" applyBorder="1" applyAlignment="1">
      <alignment horizontal="center" vertical="top" wrapText="1"/>
      <protection/>
    </xf>
    <xf numFmtId="0" fontId="3" fillId="0" borderId="24" xfId="23" applyFont="1" applyBorder="1" applyAlignment="1">
      <alignment horizontal="center" vertical="top" wrapText="1"/>
      <protection/>
    </xf>
    <xf numFmtId="0" fontId="3" fillId="0" borderId="31" xfId="23" applyFont="1" applyBorder="1" applyAlignment="1">
      <alignment horizontal="center" vertical="top" wrapText="1"/>
      <protection/>
    </xf>
    <xf numFmtId="0" fontId="0" fillId="0" borderId="19" xfId="23" applyBorder="1">
      <alignment/>
      <protection/>
    </xf>
    <xf numFmtId="1" fontId="0" fillId="0" borderId="20" xfId="23" applyNumberFormat="1" applyBorder="1">
      <alignment/>
      <protection/>
    </xf>
    <xf numFmtId="0" fontId="0" fillId="0" borderId="14" xfId="23" applyBorder="1">
      <alignment/>
      <protection/>
    </xf>
    <xf numFmtId="0" fontId="3" fillId="0" borderId="32" xfId="23" applyFont="1" applyBorder="1" applyAlignment="1">
      <alignment horizontal="center"/>
      <protection/>
    </xf>
    <xf numFmtId="164" fontId="0" fillId="0" borderId="33" xfId="23" applyNumberFormat="1" applyBorder="1">
      <alignment/>
      <protection/>
    </xf>
    <xf numFmtId="0" fontId="3" fillId="0" borderId="15" xfId="23" applyFont="1" applyBorder="1">
      <alignment/>
      <protection/>
    </xf>
    <xf numFmtId="0" fontId="3" fillId="0" borderId="23" xfId="23" applyFont="1" applyBorder="1" applyAlignment="1">
      <alignment horizontal="right" vertical="top" wrapText="1"/>
      <protection/>
    </xf>
    <xf numFmtId="0" fontId="3" fillId="0" borderId="31" xfId="23" applyFont="1" applyBorder="1" applyAlignment="1">
      <alignment horizontal="right" vertical="top" wrapText="1"/>
      <protection/>
    </xf>
    <xf numFmtId="0" fontId="0" fillId="0" borderId="34" xfId="23" applyFont="1" applyBorder="1" applyAlignment="1">
      <alignment horizontal="center" vertical="top" wrapText="1"/>
      <protection/>
    </xf>
    <xf numFmtId="0" fontId="3" fillId="0" borderId="12" xfId="23" applyFont="1" applyBorder="1" applyAlignment="1">
      <alignment horizontal="center" vertical="top" wrapText="1"/>
      <protection/>
    </xf>
    <xf numFmtId="0" fontId="0" fillId="0" borderId="23" xfId="23" applyFont="1" applyBorder="1" applyAlignment="1">
      <alignment horizontal="center" vertical="top" wrapText="1"/>
      <protection/>
    </xf>
    <xf numFmtId="165" fontId="0" fillId="0" borderId="29" xfId="23" applyNumberFormat="1" applyFont="1" applyBorder="1">
      <alignment/>
      <protection/>
    </xf>
    <xf numFmtId="165" fontId="0" fillId="0" borderId="35" xfId="23" applyNumberFormat="1" applyFont="1" applyBorder="1">
      <alignment/>
      <protection/>
    </xf>
    <xf numFmtId="164" fontId="0" fillId="0" borderId="29" xfId="23" applyNumberFormat="1" applyFont="1" applyBorder="1">
      <alignment/>
      <protection/>
    </xf>
    <xf numFmtId="164" fontId="0" fillId="0" borderId="30" xfId="23" applyNumberFormat="1" applyFont="1" applyBorder="1">
      <alignment/>
      <protection/>
    </xf>
    <xf numFmtId="0" fontId="3" fillId="0" borderId="14" xfId="23" applyFont="1" applyBorder="1" applyAlignment="1">
      <alignment vertical="top" wrapText="1"/>
      <protection/>
    </xf>
    <xf numFmtId="0" fontId="3" fillId="0" borderId="36" xfId="23" applyFont="1" applyBorder="1" applyAlignment="1">
      <alignment horizontal="center" vertical="center"/>
      <protection/>
    </xf>
    <xf numFmtId="0" fontId="3" fillId="0" borderId="10" xfId="23" applyFont="1" applyBorder="1" applyAlignment="1">
      <alignment horizontal="center" vertical="top" wrapText="1"/>
      <protection/>
    </xf>
    <xf numFmtId="0" fontId="0" fillId="0" borderId="11" xfId="23" applyFont="1" applyBorder="1" applyAlignment="1">
      <alignment horizontal="center" vertical="top" wrapText="1"/>
      <protection/>
    </xf>
    <xf numFmtId="0" fontId="0" fillId="0" borderId="0" xfId="23" applyAlignment="1">
      <alignment vertical="top"/>
      <protection/>
    </xf>
    <xf numFmtId="0" fontId="32" fillId="0" borderId="0" xfId="23" applyFont="1" applyAlignment="1">
      <alignment horizontal="right"/>
      <protection/>
    </xf>
    <xf numFmtId="0" fontId="15" fillId="0" borderId="0" xfId="23" applyFont="1">
      <alignment/>
      <protection/>
    </xf>
    <xf numFmtId="0" fontId="31" fillId="0" borderId="0" xfId="23" applyFont="1">
      <alignment/>
      <protection/>
    </xf>
    <xf numFmtId="169" fontId="0" fillId="0" borderId="0" xfId="23" applyNumberFormat="1">
      <alignment/>
      <protection/>
    </xf>
    <xf numFmtId="9" fontId="0" fillId="0" borderId="0" xfId="23" applyNumberFormat="1">
      <alignment/>
      <protection/>
    </xf>
    <xf numFmtId="168" fontId="32" fillId="0" borderId="0" xfId="23" applyNumberFormat="1" applyFont="1">
      <alignment/>
      <protection/>
    </xf>
    <xf numFmtId="0" fontId="0" fillId="0" borderId="0" xfId="23" applyAlignment="1">
      <alignment horizontal="right"/>
      <protection/>
    </xf>
    <xf numFmtId="0" fontId="0" fillId="0" borderId="0" xfId="23" applyFont="1" applyAlignment="1" quotePrefix="1">
      <alignment vertical="top"/>
      <protection/>
    </xf>
    <xf numFmtId="0" fontId="33" fillId="0" borderId="0" xfId="23" applyFont="1">
      <alignment/>
      <protection/>
    </xf>
    <xf numFmtId="0" fontId="0" fillId="0" borderId="0" xfId="23">
      <alignment/>
      <protection/>
    </xf>
    <xf numFmtId="0" fontId="0" fillId="0" borderId="37" xfId="23" applyBorder="1">
      <alignment/>
      <protection/>
    </xf>
    <xf numFmtId="0" fontId="0" fillId="0" borderId="11" xfId="23" applyBorder="1">
      <alignment/>
      <protection/>
    </xf>
    <xf numFmtId="0" fontId="0" fillId="0" borderId="24" xfId="23" applyFont="1" applyBorder="1" applyAlignment="1">
      <alignment horizontal="center" vertical="top" wrapText="1"/>
      <protection/>
    </xf>
    <xf numFmtId="0" fontId="0" fillId="0" borderId="23" xfId="23" applyFont="1" applyBorder="1" applyAlignment="1">
      <alignment horizontal="center" vertical="top" wrapText="1"/>
      <protection/>
    </xf>
    <xf numFmtId="0" fontId="0" fillId="0" borderId="24" xfId="23" applyFont="1" applyBorder="1" applyAlignment="1">
      <alignment horizontal="center" vertical="top" wrapText="1"/>
      <protection/>
    </xf>
    <xf numFmtId="0" fontId="0" fillId="0" borderId="23" xfId="23" applyFont="1" applyBorder="1" applyAlignment="1">
      <alignment horizontal="center" vertical="top" wrapText="1"/>
      <protection/>
    </xf>
    <xf numFmtId="0" fontId="0" fillId="0" borderId="24" xfId="23" applyFont="1" applyBorder="1" applyAlignment="1">
      <alignment horizontal="center" vertical="top" wrapText="1"/>
      <protection/>
    </xf>
    <xf numFmtId="0" fontId="0" fillId="0" borderId="23" xfId="23" applyFont="1" applyBorder="1" applyAlignment="1">
      <alignment horizontal="center" vertical="top" wrapText="1"/>
      <protection/>
    </xf>
    <xf numFmtId="0" fontId="0" fillId="0" borderId="24" xfId="23" applyFont="1" applyBorder="1" applyAlignment="1">
      <alignment horizontal="center" vertical="top" wrapText="1"/>
      <protection/>
    </xf>
    <xf numFmtId="0" fontId="0" fillId="0" borderId="23" xfId="23" applyFont="1" applyBorder="1" applyAlignment="1">
      <alignment horizontal="center" vertical="top" wrapText="1"/>
      <protection/>
    </xf>
    <xf numFmtId="0" fontId="0" fillId="0" borderId="24" xfId="23" applyFont="1" applyBorder="1" applyAlignment="1">
      <alignment horizontal="center" vertical="top" wrapText="1"/>
      <protection/>
    </xf>
    <xf numFmtId="0" fontId="0" fillId="0" borderId="23" xfId="23" applyFont="1" applyBorder="1" applyAlignment="1">
      <alignment horizontal="center" vertical="top" wrapText="1"/>
      <protection/>
    </xf>
    <xf numFmtId="0" fontId="0" fillId="0" borderId="24" xfId="23" applyFont="1" applyBorder="1" applyAlignment="1">
      <alignment horizontal="center" vertical="top" wrapText="1"/>
      <protection/>
    </xf>
    <xf numFmtId="0" fontId="0" fillId="0" borderId="23" xfId="23" applyFont="1" applyBorder="1" applyAlignment="1">
      <alignment horizontal="center" vertical="top" wrapText="1"/>
      <protection/>
    </xf>
    <xf numFmtId="0" fontId="0" fillId="0" borderId="24" xfId="23" applyFont="1" applyBorder="1" applyAlignment="1">
      <alignment horizontal="center" vertical="top" wrapText="1"/>
      <protection/>
    </xf>
    <xf numFmtId="0" fontId="0" fillId="0" borderId="23" xfId="23" applyFont="1" applyBorder="1" applyAlignment="1">
      <alignment horizontal="center" vertical="top" wrapText="1"/>
      <protection/>
    </xf>
    <xf numFmtId="0" fontId="0" fillId="0" borderId="24" xfId="23" applyFont="1" applyBorder="1" applyAlignment="1">
      <alignment horizontal="center" vertical="top" wrapText="1"/>
      <protection/>
    </xf>
    <xf numFmtId="0" fontId="0" fillId="0" borderId="23" xfId="23" applyFont="1" applyBorder="1" applyAlignment="1">
      <alignment horizontal="center" vertical="top" wrapText="1"/>
      <protection/>
    </xf>
    <xf numFmtId="0" fontId="0" fillId="0" borderId="24" xfId="23" applyFont="1" applyBorder="1" applyAlignment="1">
      <alignment horizontal="center" vertical="top" wrapText="1"/>
      <protection/>
    </xf>
    <xf numFmtId="0" fontId="0" fillId="0" borderId="23" xfId="23" applyFont="1" applyBorder="1" applyAlignment="1">
      <alignment horizontal="center" vertical="top" wrapText="1"/>
      <protection/>
    </xf>
    <xf numFmtId="0" fontId="0" fillId="0" borderId="36" xfId="23" applyFont="1" applyBorder="1">
      <alignment/>
      <protection/>
    </xf>
    <xf numFmtId="0" fontId="0" fillId="0" borderId="24" xfId="23" applyFont="1" applyBorder="1" applyAlignment="1">
      <alignment horizontal="center" vertical="top" wrapText="1"/>
      <protection/>
    </xf>
    <xf numFmtId="0" fontId="0" fillId="0" borderId="23" xfId="23" applyFont="1" applyBorder="1" applyAlignment="1">
      <alignment horizontal="center" vertical="top" wrapText="1"/>
      <protection/>
    </xf>
    <xf numFmtId="0" fontId="0" fillId="0" borderId="11" xfId="23" applyFont="1" applyBorder="1">
      <alignment/>
      <protection/>
    </xf>
    <xf numFmtId="0" fontId="0" fillId="0" borderId="38" xfId="23" applyFont="1" applyBorder="1">
      <alignment/>
      <protection/>
    </xf>
    <xf numFmtId="0" fontId="0" fillId="0" borderId="37" xfId="23" applyFont="1" applyBorder="1">
      <alignment/>
      <protection/>
    </xf>
    <xf numFmtId="0" fontId="0" fillId="0" borderId="10" xfId="23" applyFont="1" applyFill="1" applyBorder="1">
      <alignment/>
      <protection/>
    </xf>
    <xf numFmtId="0" fontId="0" fillId="0" borderId="10" xfId="23" applyFont="1" applyFill="1" applyBorder="1" quotePrefix="1">
      <alignment/>
      <protection/>
    </xf>
    <xf numFmtId="164" fontId="0" fillId="0" borderId="17" xfId="23" applyNumberFormat="1" applyFont="1" applyFill="1" applyBorder="1">
      <alignment/>
      <protection/>
    </xf>
    <xf numFmtId="0" fontId="0" fillId="0" borderId="10" xfId="23" applyFont="1" applyFill="1" applyBorder="1">
      <alignment/>
      <protection/>
    </xf>
    <xf numFmtId="0" fontId="3" fillId="0" borderId="38" xfId="23" applyFont="1" applyFill="1" applyBorder="1">
      <alignment/>
      <protection/>
    </xf>
    <xf numFmtId="0" fontId="0" fillId="0" borderId="19" xfId="23" applyFont="1" applyFill="1" applyBorder="1" applyAlignment="1">
      <alignment vertical="top" wrapText="1"/>
      <protection/>
    </xf>
    <xf numFmtId="0" fontId="0" fillId="0" borderId="10" xfId="23" applyFont="1" applyFill="1" applyBorder="1" applyAlignment="1">
      <alignment vertical="top" wrapText="1"/>
      <protection/>
    </xf>
    <xf numFmtId="0" fontId="0" fillId="0" borderId="10" xfId="23" applyFont="1" applyFill="1" applyBorder="1" applyAlignment="1">
      <alignment horizontal="left" vertical="top" wrapText="1"/>
      <protection/>
    </xf>
    <xf numFmtId="0" fontId="0" fillId="0" borderId="19" xfId="23" applyFont="1" applyFill="1" applyBorder="1" applyAlignment="1">
      <alignment horizontal="left" vertical="top" wrapText="1" indent="1"/>
      <protection/>
    </xf>
    <xf numFmtId="0" fontId="0" fillId="0" borderId="10" xfId="23" applyFont="1" applyBorder="1">
      <alignment/>
      <protection/>
    </xf>
    <xf numFmtId="1" fontId="0" fillId="0" borderId="13" xfId="23" applyNumberFormat="1" applyBorder="1">
      <alignment/>
      <protection/>
    </xf>
    <xf numFmtId="1" fontId="0" fillId="0" borderId="12" xfId="23" applyNumberFormat="1" applyBorder="1">
      <alignment/>
      <protection/>
    </xf>
    <xf numFmtId="165" fontId="0" fillId="0" borderId="12" xfId="23" applyNumberFormat="1" applyBorder="1">
      <alignment/>
      <protection/>
    </xf>
    <xf numFmtId="0" fontId="0" fillId="15" borderId="10" xfId="23" applyFont="1" applyFill="1" applyBorder="1">
      <alignment/>
      <protection/>
    </xf>
    <xf numFmtId="0" fontId="3" fillId="0" borderId="0" xfId="23" applyFont="1">
      <alignment/>
      <protection/>
    </xf>
    <xf numFmtId="0" fontId="3" fillId="0" borderId="0" xfId="23" applyFont="1" applyBorder="1">
      <alignment/>
      <protection/>
    </xf>
    <xf numFmtId="0" fontId="0" fillId="0" borderId="0" xfId="23" applyBorder="1">
      <alignment/>
      <protection/>
    </xf>
    <xf numFmtId="0" fontId="3" fillId="0" borderId="0" xfId="23" applyFont="1" applyBorder="1" applyAlignment="1">
      <alignment horizontal="center"/>
      <protection/>
    </xf>
    <xf numFmtId="1" fontId="3" fillId="0" borderId="0" xfId="23" applyNumberFormat="1" applyFont="1" applyBorder="1">
      <alignment/>
      <protection/>
    </xf>
    <xf numFmtId="3" fontId="3" fillId="0" borderId="16" xfId="23" applyNumberFormat="1" applyFont="1" applyBorder="1">
      <alignment/>
      <protection/>
    </xf>
    <xf numFmtId="0" fontId="34" fillId="0" borderId="0" xfId="23" applyFont="1">
      <alignment/>
      <protection/>
    </xf>
    <xf numFmtId="164" fontId="0" fillId="0" borderId="0" xfId="23" applyNumberFormat="1" applyFont="1" applyFill="1" applyBorder="1" applyAlignment="1">
      <alignment horizontal="right" vertical="top" wrapText="1"/>
      <protection/>
    </xf>
    <xf numFmtId="0" fontId="0" fillId="0" borderId="0" xfId="23" applyFont="1" applyFill="1" applyBorder="1" applyAlignment="1">
      <alignment horizontal="right" vertical="top" wrapText="1"/>
      <protection/>
    </xf>
    <xf numFmtId="164" fontId="0" fillId="0" borderId="0" xfId="23" applyNumberFormat="1" applyFill="1" applyBorder="1" applyAlignment="1">
      <alignment vertical="top"/>
      <protection/>
    </xf>
    <xf numFmtId="165" fontId="0" fillId="0" borderId="39" xfId="23" applyNumberFormat="1" applyBorder="1">
      <alignment/>
      <protection/>
    </xf>
    <xf numFmtId="164" fontId="0" fillId="0" borderId="12" xfId="23" applyNumberFormat="1" applyFont="1" applyBorder="1" applyAlignment="1">
      <alignment horizontal="right"/>
      <protection/>
    </xf>
    <xf numFmtId="164" fontId="0" fillId="0" borderId="25" xfId="23" applyNumberFormat="1" applyBorder="1">
      <alignment/>
      <protection/>
    </xf>
    <xf numFmtId="164" fontId="0" fillId="0" borderId="27" xfId="23" applyNumberFormat="1" applyBorder="1">
      <alignment/>
      <protection/>
    </xf>
    <xf numFmtId="165" fontId="0" fillId="0" borderId="40" xfId="23" applyNumberFormat="1" applyFont="1" applyBorder="1" applyAlignment="1">
      <alignment horizontal="right"/>
      <protection/>
    </xf>
    <xf numFmtId="165" fontId="0" fillId="0" borderId="34" xfId="23" applyNumberFormat="1" applyBorder="1">
      <alignment/>
      <protection/>
    </xf>
    <xf numFmtId="0" fontId="3" fillId="0" borderId="19" xfId="23" applyFont="1" applyBorder="1" applyAlignment="1">
      <alignment vertical="top" wrapText="1"/>
      <protection/>
    </xf>
    <xf numFmtId="0" fontId="3" fillId="0" borderId="10" xfId="23" applyFont="1" applyBorder="1" applyAlignment="1">
      <alignment vertical="top" wrapText="1"/>
      <protection/>
    </xf>
    <xf numFmtId="0" fontId="3" fillId="0" borderId="11" xfId="23" applyFont="1" applyBorder="1" applyAlignment="1">
      <alignment vertical="top" wrapText="1"/>
      <protection/>
    </xf>
    <xf numFmtId="0" fontId="0" fillId="0" borderId="0" xfId="23" applyFont="1" applyBorder="1" applyAlignment="1">
      <alignment vertical="top" wrapText="1"/>
      <protection/>
    </xf>
    <xf numFmtId="165" fontId="0" fillId="0" borderId="0" xfId="23" applyNumberFormat="1" applyFont="1" applyBorder="1">
      <alignment/>
      <protection/>
    </xf>
    <xf numFmtId="0" fontId="3" fillId="0" borderId="41" xfId="23" applyFont="1" applyBorder="1" applyAlignment="1">
      <alignment vertical="top" wrapText="1"/>
      <protection/>
    </xf>
    <xf numFmtId="0" fontId="0" fillId="0" borderId="42" xfId="23" applyFont="1" applyBorder="1" applyAlignment="1">
      <alignment horizontal="center" vertical="top" wrapText="1"/>
      <protection/>
    </xf>
    <xf numFmtId="0" fontId="0" fillId="0" borderId="12" xfId="23" applyFont="1" applyBorder="1" applyAlignment="1">
      <alignment horizontal="center" vertical="top" wrapText="1"/>
      <protection/>
    </xf>
    <xf numFmtId="165" fontId="0" fillId="0" borderId="43" xfId="23" applyNumberFormat="1" applyFont="1" applyBorder="1">
      <alignment/>
      <protection/>
    </xf>
    <xf numFmtId="164" fontId="0" fillId="0" borderId="43" xfId="23" applyNumberFormat="1" applyFont="1" applyBorder="1">
      <alignment/>
      <protection/>
    </xf>
    <xf numFmtId="164" fontId="0" fillId="0" borderId="24" xfId="23" applyNumberFormat="1" applyFont="1" applyBorder="1">
      <alignment/>
      <protection/>
    </xf>
    <xf numFmtId="165" fontId="0" fillId="0" borderId="34" xfId="23" applyNumberFormat="1" applyFont="1" applyBorder="1">
      <alignment/>
      <protection/>
    </xf>
    <xf numFmtId="0" fontId="0" fillId="0" borderId="0" xfId="23" applyFont="1" applyBorder="1" applyAlignment="1">
      <alignment vertical="top" wrapText="1"/>
      <protection/>
    </xf>
    <xf numFmtId="165" fontId="0" fillId="0" borderId="0" xfId="23" applyNumberFormat="1" applyBorder="1">
      <alignment/>
      <protection/>
    </xf>
    <xf numFmtId="165" fontId="0" fillId="0" borderId="23" xfId="23" applyNumberFormat="1" applyFont="1" applyBorder="1" applyAlignment="1">
      <alignment horizontal="right"/>
      <protection/>
    </xf>
    <xf numFmtId="165" fontId="0" fillId="0" borderId="22" xfId="23" applyNumberFormat="1" applyFont="1" applyBorder="1" applyAlignment="1">
      <alignment horizontal="right"/>
      <protection/>
    </xf>
    <xf numFmtId="164" fontId="0" fillId="0" borderId="23" xfId="23" applyNumberFormat="1" applyFont="1" applyBorder="1" applyAlignment="1">
      <alignment horizontal="right"/>
      <protection/>
    </xf>
    <xf numFmtId="164" fontId="0" fillId="0" borderId="24" xfId="23" applyNumberFormat="1" applyFont="1" applyBorder="1" applyAlignment="1">
      <alignment horizontal="right"/>
      <protection/>
    </xf>
    <xf numFmtId="165" fontId="0" fillId="0" borderId="43" xfId="23" applyNumberFormat="1" applyFont="1" applyBorder="1" applyAlignment="1">
      <alignment horizontal="right"/>
      <protection/>
    </xf>
    <xf numFmtId="164" fontId="0" fillId="0" borderId="42" xfId="23" applyNumberFormat="1" applyFont="1" applyBorder="1" applyAlignment="1">
      <alignment horizontal="right" vertical="top" wrapText="1"/>
      <protection/>
    </xf>
    <xf numFmtId="0" fontId="0" fillId="0" borderId="0" xfId="23" applyFont="1" applyBorder="1" applyAlignment="1">
      <alignment horizontal="left" vertical="top"/>
      <protection/>
    </xf>
    <xf numFmtId="0" fontId="0" fillId="0" borderId="41" xfId="23" applyBorder="1">
      <alignment/>
      <protection/>
    </xf>
    <xf numFmtId="0" fontId="0" fillId="0" borderId="44" xfId="22" applyFont="1" applyBorder="1">
      <alignment/>
      <protection/>
    </xf>
    <xf numFmtId="2" fontId="0" fillId="0" borderId="24" xfId="23" applyNumberFormat="1" applyBorder="1">
      <alignment/>
      <protection/>
    </xf>
    <xf numFmtId="0" fontId="3" fillId="0" borderId="13" xfId="23" applyFont="1" applyBorder="1">
      <alignment/>
      <protection/>
    </xf>
    <xf numFmtId="0" fontId="0" fillId="0" borderId="41" xfId="23" applyFont="1" applyBorder="1">
      <alignment/>
      <protection/>
    </xf>
    <xf numFmtId="0" fontId="3" fillId="0" borderId="41" xfId="23" applyFont="1" applyBorder="1">
      <alignment/>
      <protection/>
    </xf>
    <xf numFmtId="0" fontId="3" fillId="0" borderId="41" xfId="23" applyFont="1" applyBorder="1" applyAlignment="1">
      <alignment vertical="top" wrapText="1"/>
      <protection/>
    </xf>
    <xf numFmtId="0" fontId="3" fillId="0" borderId="13" xfId="23" applyFont="1" applyBorder="1" applyAlignment="1">
      <alignment vertical="top" wrapText="1"/>
      <protection/>
    </xf>
    <xf numFmtId="0" fontId="3" fillId="0" borderId="23" xfId="23" applyFont="1" applyBorder="1" applyAlignment="1">
      <alignment vertical="top" wrapText="1"/>
      <protection/>
    </xf>
    <xf numFmtId="0" fontId="3" fillId="0" borderId="13" xfId="23" applyFont="1" applyBorder="1" applyAlignment="1">
      <alignment vertical="top" wrapText="1"/>
      <protection/>
    </xf>
    <xf numFmtId="170" fontId="37" fillId="0" borderId="42" xfId="0" applyNumberFormat="1" applyFont="1" applyFill="1" applyBorder="1"/>
    <xf numFmtId="170" fontId="37" fillId="0" borderId="12" xfId="0" applyNumberFormat="1" applyFont="1" applyFill="1" applyBorder="1"/>
    <xf numFmtId="0" fontId="0" fillId="15" borderId="10" xfId="23" applyFill="1" applyBorder="1">
      <alignment/>
      <protection/>
    </xf>
    <xf numFmtId="164" fontId="0" fillId="0" borderId="29" xfId="23" applyNumberFormat="1" applyBorder="1">
      <alignment/>
      <protection/>
    </xf>
    <xf numFmtId="1" fontId="0" fillId="0" borderId="41" xfId="23" applyNumberFormat="1" applyBorder="1">
      <alignment/>
      <protection/>
    </xf>
    <xf numFmtId="1" fontId="0" fillId="0" borderId="45" xfId="23" applyNumberFormat="1" applyBorder="1">
      <alignment/>
      <protection/>
    </xf>
    <xf numFmtId="164" fontId="3" fillId="0" borderId="17" xfId="23" applyNumberFormat="1" applyFont="1" applyBorder="1">
      <alignment/>
      <protection/>
    </xf>
    <xf numFmtId="0" fontId="0" fillId="0" borderId="46" xfId="23" applyBorder="1">
      <alignment/>
      <protection/>
    </xf>
    <xf numFmtId="0" fontId="0" fillId="0" borderId="47" xfId="23" applyBorder="1">
      <alignment/>
      <protection/>
    </xf>
    <xf numFmtId="0" fontId="3" fillId="0" borderId="48" xfId="23" applyFont="1" applyBorder="1">
      <alignment/>
      <protection/>
    </xf>
    <xf numFmtId="0" fontId="0" fillId="0" borderId="32" xfId="23" applyBorder="1">
      <alignment/>
      <protection/>
    </xf>
    <xf numFmtId="164" fontId="0" fillId="0" borderId="10" xfId="23" applyNumberFormat="1" applyBorder="1">
      <alignment/>
      <protection/>
    </xf>
    <xf numFmtId="164" fontId="3" fillId="0" borderId="14" xfId="23" applyNumberFormat="1" applyFont="1" applyBorder="1">
      <alignment/>
      <protection/>
    </xf>
    <xf numFmtId="164" fontId="0" fillId="0" borderId="30" xfId="23" applyNumberFormat="1" applyBorder="1">
      <alignment/>
      <protection/>
    </xf>
    <xf numFmtId="164" fontId="0" fillId="0" borderId="12" xfId="23" applyNumberFormat="1" applyBorder="1">
      <alignment/>
      <protection/>
    </xf>
    <xf numFmtId="165" fontId="0" fillId="0" borderId="27" xfId="23" applyNumberFormat="1" applyBorder="1">
      <alignment/>
      <protection/>
    </xf>
    <xf numFmtId="166" fontId="0" fillId="0" borderId="30" xfId="23" applyNumberFormat="1" applyBorder="1">
      <alignment/>
      <protection/>
    </xf>
    <xf numFmtId="166" fontId="0" fillId="0" borderId="12" xfId="23" applyNumberFormat="1" applyBorder="1">
      <alignment/>
      <protection/>
    </xf>
    <xf numFmtId="166" fontId="0" fillId="0" borderId="12" xfId="23" applyNumberFormat="1" applyBorder="1">
      <alignment/>
      <protection/>
    </xf>
    <xf numFmtId="2" fontId="0" fillId="0" borderId="33" xfId="23" applyNumberFormat="1" applyBorder="1">
      <alignment/>
      <protection/>
    </xf>
    <xf numFmtId="166" fontId="0" fillId="0" borderId="44" xfId="23" applyNumberFormat="1" applyBorder="1">
      <alignment/>
      <protection/>
    </xf>
    <xf numFmtId="166" fontId="0" fillId="0" borderId="31" xfId="23" applyNumberFormat="1" applyBorder="1">
      <alignment/>
      <protection/>
    </xf>
    <xf numFmtId="2" fontId="0" fillId="0" borderId="36" xfId="23" applyNumberFormat="1" applyBorder="1">
      <alignment/>
      <protection/>
    </xf>
    <xf numFmtId="166" fontId="0" fillId="0" borderId="36" xfId="23" applyNumberFormat="1" applyBorder="1">
      <alignment/>
      <protection/>
    </xf>
    <xf numFmtId="166" fontId="0" fillId="0" borderId="49" xfId="23" applyNumberFormat="1" applyBorder="1">
      <alignment/>
      <protection/>
    </xf>
    <xf numFmtId="166" fontId="0" fillId="0" borderId="17" xfId="23" applyNumberFormat="1" applyBorder="1">
      <alignment/>
      <protection/>
    </xf>
    <xf numFmtId="166" fontId="0" fillId="0" borderId="14" xfId="23" applyNumberFormat="1" applyBorder="1">
      <alignment/>
      <protection/>
    </xf>
    <xf numFmtId="164" fontId="0" fillId="0" borderId="11" xfId="23" applyNumberFormat="1" applyBorder="1">
      <alignment/>
      <protection/>
    </xf>
    <xf numFmtId="170" fontId="3" fillId="0" borderId="16" xfId="23" applyNumberFormat="1" applyFont="1" applyBorder="1">
      <alignment/>
      <protection/>
    </xf>
    <xf numFmtId="170" fontId="3" fillId="0" borderId="15" xfId="23" applyNumberFormat="1" applyFont="1" applyBorder="1">
      <alignment/>
      <protection/>
    </xf>
    <xf numFmtId="170" fontId="3" fillId="0" borderId="50" xfId="23" applyNumberFormat="1" applyFont="1" applyBorder="1">
      <alignment/>
      <protection/>
    </xf>
    <xf numFmtId="170" fontId="0" fillId="0" borderId="15" xfId="23" applyNumberFormat="1" applyBorder="1">
      <alignment/>
      <protection/>
    </xf>
    <xf numFmtId="166" fontId="3" fillId="0" borderId="15" xfId="23" applyNumberFormat="1" applyFont="1" applyBorder="1">
      <alignment/>
      <protection/>
    </xf>
    <xf numFmtId="166" fontId="3" fillId="0" borderId="51" xfId="23" applyNumberFormat="1" applyFont="1" applyFill="1" applyBorder="1">
      <alignment/>
      <protection/>
    </xf>
    <xf numFmtId="166" fontId="0" fillId="0" borderId="15" xfId="23" applyNumberFormat="1" applyBorder="1">
      <alignment/>
      <protection/>
    </xf>
    <xf numFmtId="164" fontId="0" fillId="0" borderId="20" xfId="23" applyNumberFormat="1" applyFont="1" applyFill="1" applyBorder="1">
      <alignment/>
      <protection/>
    </xf>
    <xf numFmtId="164" fontId="0" fillId="0" borderId="17" xfId="15" applyNumberFormat="1" applyFont="1" applyFill="1" applyBorder="1"/>
    <xf numFmtId="170" fontId="3" fillId="0" borderId="29" xfId="23" applyNumberFormat="1" applyFont="1" applyBorder="1">
      <alignment/>
      <protection/>
    </xf>
    <xf numFmtId="170" fontId="3" fillId="0" borderId="30" xfId="23" applyNumberFormat="1" applyFont="1" applyBorder="1">
      <alignment/>
      <protection/>
    </xf>
    <xf numFmtId="170" fontId="0" fillId="0" borderId="13" xfId="23" applyNumberFormat="1" applyFont="1" applyBorder="1" applyAlignment="1">
      <alignment horizontal="right"/>
      <protection/>
    </xf>
    <xf numFmtId="170" fontId="0" fillId="0" borderId="12" xfId="23" applyNumberFormat="1" applyFont="1" applyBorder="1" applyAlignment="1">
      <alignment horizontal="right"/>
      <protection/>
    </xf>
    <xf numFmtId="170" fontId="0" fillId="0" borderId="23" xfId="23" applyNumberFormat="1" applyBorder="1">
      <alignment/>
      <protection/>
    </xf>
    <xf numFmtId="170" fontId="0" fillId="0" borderId="24" xfId="23" applyNumberFormat="1" applyBorder="1">
      <alignment/>
      <protection/>
    </xf>
    <xf numFmtId="170" fontId="3" fillId="0" borderId="13" xfId="23" applyNumberFormat="1" applyFont="1" applyBorder="1" applyAlignment="1">
      <alignment horizontal="right"/>
      <protection/>
    </xf>
    <xf numFmtId="170" fontId="3" fillId="0" borderId="12" xfId="23" applyNumberFormat="1" applyFont="1" applyBorder="1" applyAlignment="1">
      <alignment horizontal="right"/>
      <protection/>
    </xf>
    <xf numFmtId="170" fontId="3" fillId="0" borderId="23" xfId="23" applyNumberFormat="1" applyFont="1" applyBorder="1">
      <alignment/>
      <protection/>
    </xf>
    <xf numFmtId="170" fontId="3" fillId="0" borderId="24" xfId="23" applyNumberFormat="1" applyFont="1" applyBorder="1">
      <alignment/>
      <protection/>
    </xf>
    <xf numFmtId="170" fontId="3" fillId="0" borderId="35" xfId="23" applyNumberFormat="1" applyFont="1" applyBorder="1">
      <alignment/>
      <protection/>
    </xf>
    <xf numFmtId="170" fontId="3" fillId="0" borderId="13" xfId="23" applyNumberFormat="1" applyFont="1" applyBorder="1">
      <alignment/>
      <protection/>
    </xf>
    <xf numFmtId="170" fontId="3" fillId="0" borderId="21" xfId="23" applyNumberFormat="1" applyFont="1" applyBorder="1">
      <alignment/>
      <protection/>
    </xf>
    <xf numFmtId="170" fontId="3" fillId="0" borderId="21" xfId="23" applyNumberFormat="1" applyFont="1" applyBorder="1" applyAlignment="1">
      <alignment horizontal="right"/>
      <protection/>
    </xf>
    <xf numFmtId="170" fontId="3" fillId="0" borderId="12" xfId="23" applyNumberFormat="1" applyFont="1" applyBorder="1">
      <alignment/>
      <protection/>
    </xf>
    <xf numFmtId="170" fontId="3" fillId="0" borderId="25" xfId="23" applyNumberFormat="1" applyFont="1" applyBorder="1" applyAlignment="1">
      <alignment horizontal="right"/>
      <protection/>
    </xf>
    <xf numFmtId="170" fontId="3" fillId="0" borderId="26" xfId="23" applyNumberFormat="1" applyFont="1" applyBorder="1" applyAlignment="1">
      <alignment horizontal="right"/>
      <protection/>
    </xf>
    <xf numFmtId="170" fontId="3" fillId="0" borderId="25" xfId="23" applyNumberFormat="1" applyFont="1" applyBorder="1">
      <alignment/>
      <protection/>
    </xf>
    <xf numFmtId="170" fontId="3" fillId="0" borderId="27" xfId="23" applyNumberFormat="1" applyFont="1" applyBorder="1">
      <alignment/>
      <protection/>
    </xf>
    <xf numFmtId="170" fontId="0" fillId="0" borderId="21" xfId="23" applyNumberFormat="1" applyFont="1" applyBorder="1" applyAlignment="1">
      <alignment horizontal="right"/>
      <protection/>
    </xf>
    <xf numFmtId="170" fontId="3" fillId="0" borderId="52" xfId="23" applyNumberFormat="1" applyFont="1" applyBorder="1" applyAlignment="1">
      <alignment horizontal="right" vertical="top" wrapText="1"/>
      <protection/>
    </xf>
    <xf numFmtId="170" fontId="3" fillId="0" borderId="52" xfId="23" applyNumberFormat="1" applyFont="1" applyBorder="1" applyAlignment="1">
      <alignment horizontal="center" vertical="top" wrapText="1"/>
      <protection/>
    </xf>
    <xf numFmtId="170" fontId="3" fillId="0" borderId="44" xfId="23" applyNumberFormat="1" applyFont="1" applyBorder="1" applyAlignment="1">
      <alignment horizontal="center" vertical="top" wrapText="1"/>
      <protection/>
    </xf>
    <xf numFmtId="0" fontId="3" fillId="0" borderId="14" xfId="23" applyFont="1" applyBorder="1" applyAlignment="1">
      <alignment vertical="top" wrapText="1"/>
      <protection/>
    </xf>
    <xf numFmtId="166" fontId="3" fillId="0" borderId="52" xfId="23" applyNumberFormat="1" applyFont="1" applyBorder="1" applyAlignment="1">
      <alignment horizontal="right" vertical="top" wrapText="1"/>
      <protection/>
    </xf>
    <xf numFmtId="166" fontId="3" fillId="0" borderId="44" xfId="23" applyNumberFormat="1" applyFont="1" applyBorder="1" applyAlignment="1">
      <alignment horizontal="right" vertical="top" wrapText="1"/>
      <protection/>
    </xf>
    <xf numFmtId="170" fontId="3" fillId="0" borderId="53" xfId="23" applyNumberFormat="1" applyFont="1" applyBorder="1" applyAlignment="1">
      <alignment horizontal="right" vertical="top" wrapText="1"/>
      <protection/>
    </xf>
    <xf numFmtId="164" fontId="0" fillId="0" borderId="54" xfId="23" applyNumberFormat="1" applyFont="1" applyBorder="1" applyAlignment="1">
      <alignment horizontal="right" vertical="top" wrapText="1"/>
      <protection/>
    </xf>
    <xf numFmtId="170" fontId="3" fillId="0" borderId="27" xfId="23" applyNumberFormat="1" applyFont="1" applyBorder="1" applyAlignment="1">
      <alignment horizontal="right"/>
      <protection/>
    </xf>
    <xf numFmtId="170" fontId="3" fillId="0" borderId="44" xfId="23" applyNumberFormat="1" applyFont="1" applyBorder="1" applyAlignment="1">
      <alignment horizontal="right" vertical="top" wrapText="1"/>
      <protection/>
    </xf>
    <xf numFmtId="0" fontId="3" fillId="0" borderId="38" xfId="23" applyFont="1" applyBorder="1" applyAlignment="1">
      <alignment vertical="top" wrapText="1"/>
      <protection/>
    </xf>
    <xf numFmtId="170" fontId="3" fillId="0" borderId="45" xfId="23" applyNumberFormat="1" applyFont="1" applyBorder="1">
      <alignment/>
      <protection/>
    </xf>
    <xf numFmtId="170" fontId="3" fillId="0" borderId="55" xfId="23" applyNumberFormat="1" applyFont="1" applyBorder="1">
      <alignment/>
      <protection/>
    </xf>
    <xf numFmtId="170" fontId="3" fillId="0" borderId="31" xfId="23" applyNumberFormat="1" applyFont="1" applyBorder="1">
      <alignment/>
      <protection/>
    </xf>
    <xf numFmtId="166" fontId="3" fillId="0" borderId="0" xfId="0" applyNumberFormat="1" applyFont="1" applyFill="1"/>
    <xf numFmtId="166" fontId="3" fillId="0" borderId="28" xfId="0" applyNumberFormat="1" applyFont="1" applyFill="1" applyBorder="1"/>
    <xf numFmtId="166" fontId="3" fillId="0" borderId="42" xfId="0" applyNumberFormat="1" applyFont="1" applyBorder="1"/>
    <xf numFmtId="166" fontId="3" fillId="0" borderId="17" xfId="0" applyNumberFormat="1" applyFont="1" applyBorder="1"/>
    <xf numFmtId="170" fontId="3" fillId="0" borderId="56" xfId="23" applyNumberFormat="1" applyFont="1" applyBorder="1">
      <alignment/>
      <protection/>
    </xf>
    <xf numFmtId="170" fontId="3" fillId="0" borderId="44" xfId="23" applyNumberFormat="1" applyFont="1" applyBorder="1">
      <alignment/>
      <protection/>
    </xf>
    <xf numFmtId="170" fontId="3" fillId="0" borderId="12" xfId="23" applyNumberFormat="1" applyFont="1" applyFill="1" applyBorder="1">
      <alignment/>
      <protection/>
    </xf>
    <xf numFmtId="170" fontId="3" fillId="0" borderId="24" xfId="23" applyNumberFormat="1" applyFont="1" applyFill="1" applyBorder="1">
      <alignment/>
      <protection/>
    </xf>
    <xf numFmtId="166" fontId="3" fillId="0" borderId="12" xfId="23" applyNumberFormat="1" applyFont="1" applyBorder="1">
      <alignment/>
      <protection/>
    </xf>
    <xf numFmtId="164" fontId="0" fillId="0" borderId="12" xfId="22" applyNumberFormat="1" applyFont="1" applyBorder="1">
      <alignment/>
      <protection/>
    </xf>
    <xf numFmtId="166" fontId="3" fillId="0" borderId="42" xfId="0" applyNumberFormat="1" applyFont="1" applyFill="1" applyBorder="1"/>
    <xf numFmtId="166" fontId="3" fillId="0" borderId="12" xfId="0" applyNumberFormat="1" applyFont="1" applyFill="1" applyBorder="1"/>
    <xf numFmtId="166" fontId="3" fillId="0" borderId="52" xfId="0" applyNumberFormat="1" applyFont="1" applyFill="1" applyBorder="1"/>
    <xf numFmtId="166" fontId="3" fillId="0" borderId="44" xfId="0" applyNumberFormat="1" applyFont="1" applyFill="1" applyBorder="1"/>
    <xf numFmtId="0" fontId="0" fillId="0" borderId="23" xfId="23" applyBorder="1" applyAlignment="1">
      <alignment horizontal="center" vertical="top" wrapText="1"/>
      <protection/>
    </xf>
    <xf numFmtId="0" fontId="0" fillId="0" borderId="24" xfId="23" applyBorder="1" applyAlignment="1">
      <alignment horizontal="center" vertical="top" wrapText="1"/>
      <protection/>
    </xf>
    <xf numFmtId="166" fontId="0" fillId="0" borderId="30" xfId="22" applyNumberFormat="1" applyFont="1" applyBorder="1">
      <alignment/>
      <protection/>
    </xf>
    <xf numFmtId="166" fontId="0" fillId="0" borderId="24" xfId="22" applyNumberFormat="1" applyFont="1" applyBorder="1">
      <alignment/>
      <protection/>
    </xf>
    <xf numFmtId="166" fontId="0" fillId="0" borderId="44" xfId="22" applyNumberFormat="1" applyFont="1" applyBorder="1">
      <alignment/>
      <protection/>
    </xf>
    <xf numFmtId="170" fontId="3" fillId="0" borderId="14" xfId="23" applyNumberFormat="1" applyFont="1" applyBorder="1" applyAlignment="1">
      <alignment vertical="top"/>
      <protection/>
    </xf>
    <xf numFmtId="164" fontId="0" fillId="0" borderId="42" xfId="0" applyNumberFormat="1" applyBorder="1"/>
    <xf numFmtId="164" fontId="0" fillId="0" borderId="17" xfId="0" applyNumberFormat="1" applyBorder="1"/>
    <xf numFmtId="164" fontId="0" fillId="0" borderId="43" xfId="0" applyNumberFormat="1" applyBorder="1"/>
    <xf numFmtId="164" fontId="0" fillId="0" borderId="18" xfId="0" applyNumberFormat="1" applyBorder="1"/>
    <xf numFmtId="165" fontId="36" fillId="0" borderId="42" xfId="0" applyNumberFormat="1" applyFont="1" applyBorder="1"/>
    <xf numFmtId="165" fontId="36" fillId="0" borderId="12" xfId="0" applyNumberFormat="1" applyFont="1" applyBorder="1"/>
    <xf numFmtId="165" fontId="36" fillId="0" borderId="43" xfId="0" applyNumberFormat="1" applyFont="1" applyBorder="1"/>
    <xf numFmtId="165" fontId="36" fillId="0" borderId="24" xfId="0" applyNumberFormat="1" applyFont="1" applyBorder="1"/>
    <xf numFmtId="170" fontId="0" fillId="0" borderId="0" xfId="23" applyNumberFormat="1">
      <alignment/>
      <protection/>
    </xf>
    <xf numFmtId="2" fontId="0" fillId="0" borderId="12" xfId="23" applyNumberFormat="1" applyBorder="1">
      <alignment/>
      <protection/>
    </xf>
    <xf numFmtId="166" fontId="0" fillId="0" borderId="13" xfId="23" applyNumberFormat="1" applyBorder="1">
      <alignment/>
      <protection/>
    </xf>
    <xf numFmtId="2" fontId="0" fillId="0" borderId="30" xfId="23" applyNumberFormat="1" applyBorder="1">
      <alignment/>
      <protection/>
    </xf>
    <xf numFmtId="1" fontId="0" fillId="0" borderId="54" xfId="23" applyNumberFormat="1" applyBorder="1">
      <alignment/>
      <protection/>
    </xf>
    <xf numFmtId="3" fontId="0" fillId="0" borderId="29" xfId="23" applyNumberFormat="1" applyBorder="1">
      <alignment/>
      <protection/>
    </xf>
    <xf numFmtId="1" fontId="0" fillId="0" borderId="49" xfId="23" applyNumberFormat="1" applyBorder="1">
      <alignment/>
      <protection/>
    </xf>
    <xf numFmtId="3" fontId="0" fillId="0" borderId="13" xfId="23" applyNumberFormat="1" applyBorder="1">
      <alignment/>
      <protection/>
    </xf>
    <xf numFmtId="1" fontId="0" fillId="0" borderId="10" xfId="23" applyNumberFormat="1" applyBorder="1">
      <alignment/>
      <protection/>
    </xf>
    <xf numFmtId="3" fontId="0" fillId="0" borderId="13" xfId="23" applyNumberFormat="1" applyBorder="1">
      <alignment/>
      <protection/>
    </xf>
    <xf numFmtId="0" fontId="0" fillId="0" borderId="10" xfId="23" applyBorder="1">
      <alignment/>
      <protection/>
    </xf>
    <xf numFmtId="0" fontId="0" fillId="0" borderId="10" xfId="23" applyFont="1" applyBorder="1">
      <alignment/>
      <protection/>
    </xf>
    <xf numFmtId="170" fontId="0" fillId="0" borderId="19" xfId="23" applyNumberFormat="1" applyFont="1" applyFill="1" applyBorder="1" applyAlignment="1">
      <alignment vertical="top"/>
      <protection/>
    </xf>
    <xf numFmtId="170" fontId="0" fillId="0" borderId="19" xfId="23" applyNumberFormat="1" applyFont="1" applyFill="1" applyBorder="1" applyAlignment="1">
      <alignment vertical="top"/>
      <protection/>
    </xf>
    <xf numFmtId="170" fontId="0" fillId="0" borderId="10" xfId="23" applyNumberFormat="1" applyFont="1" applyFill="1" applyBorder="1" applyAlignment="1">
      <alignment vertical="top"/>
      <protection/>
    </xf>
    <xf numFmtId="170" fontId="0" fillId="0" borderId="10" xfId="23" applyNumberFormat="1" applyBorder="1">
      <alignment/>
      <protection/>
    </xf>
    <xf numFmtId="170" fontId="0" fillId="0" borderId="10" xfId="23" applyNumberFormat="1" applyFont="1" applyBorder="1">
      <alignment/>
      <protection/>
    </xf>
    <xf numFmtId="170" fontId="0" fillId="0" borderId="11" xfId="23" applyNumberFormat="1" applyBorder="1">
      <alignment/>
      <protection/>
    </xf>
    <xf numFmtId="0" fontId="0" fillId="0" borderId="14" xfId="23" applyFill="1" applyBorder="1">
      <alignment/>
      <protection/>
    </xf>
    <xf numFmtId="0" fontId="3" fillId="0" borderId="32" xfId="23" applyFont="1" applyFill="1" applyBorder="1" applyAlignment="1">
      <alignment horizontal="center"/>
      <protection/>
    </xf>
    <xf numFmtId="0" fontId="0" fillId="0" borderId="19" xfId="23" applyFont="1" applyFill="1" applyBorder="1">
      <alignment/>
      <protection/>
    </xf>
    <xf numFmtId="164" fontId="0" fillId="0" borderId="20" xfId="23" applyNumberFormat="1" applyFill="1" applyBorder="1">
      <alignment/>
      <protection/>
    </xf>
    <xf numFmtId="1" fontId="0" fillId="0" borderId="20" xfId="23" applyNumberFormat="1" applyFill="1" applyBorder="1">
      <alignment/>
      <protection/>
    </xf>
    <xf numFmtId="164" fontId="0" fillId="0" borderId="57" xfId="23" applyNumberFormat="1" applyFill="1" applyBorder="1">
      <alignment/>
      <protection/>
    </xf>
    <xf numFmtId="1" fontId="0" fillId="0" borderId="58" xfId="23" applyNumberFormat="1" applyFill="1" applyBorder="1">
      <alignment/>
      <protection/>
    </xf>
    <xf numFmtId="1" fontId="0" fillId="0" borderId="10" xfId="23" applyNumberFormat="1" applyFill="1" applyBorder="1">
      <alignment/>
      <protection/>
    </xf>
    <xf numFmtId="164" fontId="0" fillId="0" borderId="59" xfId="23" applyNumberFormat="1" applyFill="1" applyBorder="1">
      <alignment/>
      <protection/>
    </xf>
    <xf numFmtId="1" fontId="0" fillId="0" borderId="60" xfId="23" applyNumberFormat="1" applyFill="1" applyBorder="1">
      <alignment/>
      <protection/>
    </xf>
    <xf numFmtId="164" fontId="0" fillId="0" borderId="61" xfId="23" applyNumberFormat="1" applyFill="1" applyBorder="1">
      <alignment/>
      <protection/>
    </xf>
    <xf numFmtId="1" fontId="0" fillId="0" borderId="62" xfId="23" applyNumberFormat="1" applyFill="1" applyBorder="1">
      <alignment/>
      <protection/>
    </xf>
    <xf numFmtId="0" fontId="0" fillId="0" borderId="10" xfId="23" applyFont="1" applyFill="1" applyBorder="1" quotePrefix="1">
      <alignment/>
      <protection/>
    </xf>
    <xf numFmtId="164" fontId="0" fillId="0" borderId="60" xfId="23" applyNumberFormat="1" applyFill="1" applyBorder="1">
      <alignment/>
      <protection/>
    </xf>
    <xf numFmtId="1" fontId="0" fillId="0" borderId="59" xfId="23" applyNumberFormat="1" applyFill="1" applyBorder="1">
      <alignment/>
      <protection/>
    </xf>
    <xf numFmtId="0" fontId="3" fillId="0" borderId="11" xfId="23" applyFont="1" applyFill="1" applyBorder="1">
      <alignment/>
      <protection/>
    </xf>
    <xf numFmtId="166" fontId="3" fillId="0" borderId="18" xfId="23" applyNumberFormat="1" applyFont="1" applyFill="1" applyBorder="1">
      <alignment/>
      <protection/>
    </xf>
    <xf numFmtId="166" fontId="3" fillId="0" borderId="11" xfId="23" applyNumberFormat="1" applyFont="1" applyFill="1" applyBorder="1">
      <alignment/>
      <protection/>
    </xf>
    <xf numFmtId="0" fontId="0" fillId="0" borderId="63" xfId="23" applyFont="1" applyFill="1" applyBorder="1">
      <alignment/>
      <protection/>
    </xf>
    <xf numFmtId="164" fontId="0" fillId="0" borderId="63" xfId="23" applyNumberFormat="1" applyFill="1" applyBorder="1">
      <alignment/>
      <protection/>
    </xf>
    <xf numFmtId="1" fontId="0" fillId="0" borderId="64" xfId="23" applyNumberFormat="1" applyFill="1" applyBorder="1">
      <alignment/>
      <protection/>
    </xf>
    <xf numFmtId="164" fontId="0" fillId="0" borderId="65" xfId="23" applyNumberFormat="1" applyFill="1" applyBorder="1">
      <alignment/>
      <protection/>
    </xf>
    <xf numFmtId="1" fontId="0" fillId="0" borderId="65" xfId="23" applyNumberFormat="1" applyFill="1" applyBorder="1">
      <alignment/>
      <protection/>
    </xf>
    <xf numFmtId="0" fontId="0" fillId="0" borderId="66" xfId="23" applyFont="1" applyFill="1" applyBorder="1">
      <alignment/>
      <protection/>
    </xf>
    <xf numFmtId="164" fontId="0" fillId="0" borderId="66" xfId="23" applyNumberFormat="1" applyFill="1" applyBorder="1">
      <alignment/>
      <protection/>
    </xf>
    <xf numFmtId="0" fontId="0" fillId="0" borderId="10" xfId="23" applyFont="1" applyFill="1" applyBorder="1">
      <alignment/>
      <protection/>
    </xf>
    <xf numFmtId="164" fontId="0" fillId="0" borderId="17" xfId="23" applyNumberFormat="1" applyFill="1" applyBorder="1">
      <alignment/>
      <protection/>
    </xf>
    <xf numFmtId="1" fontId="0" fillId="0" borderId="17" xfId="23" applyNumberFormat="1" applyFill="1" applyBorder="1">
      <alignment/>
      <protection/>
    </xf>
    <xf numFmtId="164" fontId="0" fillId="0" borderId="64" xfId="23" applyNumberFormat="1" applyFont="1" applyFill="1" applyBorder="1">
      <alignment/>
      <protection/>
    </xf>
    <xf numFmtId="1" fontId="0" fillId="0" borderId="64" xfId="23" applyNumberFormat="1" applyFont="1" applyFill="1" applyBorder="1">
      <alignment/>
      <protection/>
    </xf>
    <xf numFmtId="0" fontId="0" fillId="0" borderId="11" xfId="23" applyFill="1" applyBorder="1">
      <alignment/>
      <protection/>
    </xf>
    <xf numFmtId="164" fontId="0" fillId="0" borderId="11" xfId="23" applyNumberFormat="1" applyFill="1" applyBorder="1">
      <alignment/>
      <protection/>
    </xf>
    <xf numFmtId="0" fontId="0" fillId="0" borderId="36" xfId="23" applyFont="1" applyFill="1" applyBorder="1">
      <alignment/>
      <protection/>
    </xf>
    <xf numFmtId="166" fontId="0" fillId="0" borderId="44" xfId="23" applyNumberFormat="1" applyFill="1" applyBorder="1">
      <alignment/>
      <protection/>
    </xf>
    <xf numFmtId="0" fontId="0" fillId="0" borderId="10" xfId="23" applyFont="1" applyFill="1" applyBorder="1" applyAlignment="1">
      <alignment vertical="top" wrapText="1"/>
      <protection/>
    </xf>
    <xf numFmtId="0" fontId="3" fillId="0" borderId="10" xfId="23" applyFont="1" applyFill="1" applyBorder="1" applyAlignment="1">
      <alignment vertical="top" wrapText="1"/>
      <protection/>
    </xf>
    <xf numFmtId="0" fontId="3" fillId="0" borderId="63" xfId="23" applyFont="1" applyFill="1" applyBorder="1" applyAlignment="1">
      <alignment vertical="top" wrapText="1"/>
      <protection/>
    </xf>
    <xf numFmtId="0" fontId="0" fillId="0" borderId="11" xfId="23" applyFont="1" applyFill="1" applyBorder="1" applyAlignment="1">
      <alignment vertical="top" wrapText="1"/>
      <protection/>
    </xf>
    <xf numFmtId="0" fontId="0" fillId="0" borderId="19" xfId="23" applyFont="1" applyFill="1" applyBorder="1" applyAlignment="1">
      <alignment vertical="top" wrapText="1"/>
      <protection/>
    </xf>
    <xf numFmtId="0" fontId="0" fillId="0" borderId="13" xfId="23" applyFont="1" applyFill="1" applyBorder="1" applyAlignment="1">
      <alignment vertical="top" wrapText="1"/>
      <protection/>
    </xf>
    <xf numFmtId="0" fontId="0" fillId="0" borderId="23" xfId="23" applyFont="1" applyFill="1" applyBorder="1" applyAlignment="1">
      <alignment vertical="top" wrapText="1"/>
      <protection/>
    </xf>
    <xf numFmtId="0" fontId="0" fillId="0" borderId="11" xfId="23" applyFont="1" applyFill="1" applyBorder="1" applyAlignment="1">
      <alignment vertical="top" wrapText="1"/>
      <protection/>
    </xf>
    <xf numFmtId="0" fontId="0" fillId="0" borderId="63" xfId="23" applyFont="1" applyFill="1" applyBorder="1" applyAlignment="1">
      <alignment vertical="top" wrapText="1"/>
      <protection/>
    </xf>
    <xf numFmtId="0" fontId="3" fillId="0" borderId="13" xfId="23" applyFont="1" applyFill="1" applyBorder="1" applyAlignment="1">
      <alignment vertical="top" wrapText="1"/>
      <protection/>
    </xf>
    <xf numFmtId="0" fontId="0" fillId="0" borderId="13" xfId="23" applyFill="1" applyBorder="1">
      <alignment/>
      <protection/>
    </xf>
    <xf numFmtId="0" fontId="0" fillId="0" borderId="23" xfId="23" applyFill="1" applyBorder="1">
      <alignment/>
      <protection/>
    </xf>
    <xf numFmtId="0" fontId="0" fillId="0" borderId="13" xfId="23" applyFont="1" applyFill="1" applyBorder="1">
      <alignment/>
      <protection/>
    </xf>
    <xf numFmtId="0" fontId="0" fillId="0" borderId="23" xfId="23" applyFont="1" applyFill="1" applyBorder="1">
      <alignment/>
      <protection/>
    </xf>
    <xf numFmtId="0" fontId="0" fillId="0" borderId="13" xfId="23" applyFont="1" applyFill="1" applyBorder="1" applyAlignment="1">
      <alignment vertical="top" wrapText="1"/>
      <protection/>
    </xf>
    <xf numFmtId="0" fontId="0" fillId="0" borderId="23" xfId="23" applyFont="1" applyFill="1" applyBorder="1" applyAlignment="1">
      <alignment vertical="top" wrapText="1"/>
      <protection/>
    </xf>
    <xf numFmtId="0" fontId="3" fillId="0" borderId="41" xfId="23" applyFont="1" applyFill="1" applyBorder="1" applyAlignment="1">
      <alignment vertical="top" wrapText="1"/>
      <protection/>
    </xf>
    <xf numFmtId="2" fontId="3" fillId="0" borderId="52" xfId="0" applyNumberFormat="1" applyFont="1" applyFill="1" applyBorder="1"/>
    <xf numFmtId="2" fontId="3" fillId="0" borderId="44" xfId="0" applyNumberFormat="1" applyFont="1" applyFill="1" applyBorder="1"/>
    <xf numFmtId="0" fontId="37" fillId="0" borderId="13" xfId="0" applyFont="1" applyFill="1" applyBorder="1"/>
    <xf numFmtId="170" fontId="34" fillId="0" borderId="42" xfId="0" applyNumberFormat="1" applyFont="1" applyFill="1" applyBorder="1"/>
    <xf numFmtId="170" fontId="34" fillId="0" borderId="12" xfId="0" applyNumberFormat="1" applyFont="1" applyFill="1" applyBorder="1"/>
    <xf numFmtId="0" fontId="36" fillId="0" borderId="13" xfId="0" applyFont="1" applyFill="1" applyBorder="1"/>
    <xf numFmtId="0" fontId="36" fillId="0" borderId="23" xfId="0" applyFont="1" applyFill="1" applyBorder="1"/>
    <xf numFmtId="170" fontId="34" fillId="0" borderId="43" xfId="0" applyNumberFormat="1" applyFont="1" applyFill="1" applyBorder="1"/>
    <xf numFmtId="170" fontId="34" fillId="0" borderId="24" xfId="0" applyNumberFormat="1" applyFont="1" applyFill="1" applyBorder="1"/>
    <xf numFmtId="0" fontId="0" fillId="0" borderId="0" xfId="0" applyFill="1"/>
    <xf numFmtId="2" fontId="38" fillId="0" borderId="52" xfId="0" applyNumberFormat="1" applyFont="1" applyFill="1" applyBorder="1"/>
    <xf numFmtId="0" fontId="3" fillId="0" borderId="29" xfId="23" applyFont="1" applyFill="1" applyBorder="1" applyAlignment="1">
      <alignment horizontal="left"/>
      <protection/>
    </xf>
    <xf numFmtId="0" fontId="3" fillId="0" borderId="23" xfId="23" applyFont="1" applyFill="1" applyBorder="1" applyAlignment="1">
      <alignment horizontal="left"/>
      <protection/>
    </xf>
    <xf numFmtId="0" fontId="0" fillId="0" borderId="11" xfId="23" applyFont="1" applyFill="1" applyBorder="1" applyAlignment="1">
      <alignment horizontal="left" vertical="top" wrapText="1" indent="1"/>
      <protection/>
    </xf>
    <xf numFmtId="170" fontId="0" fillId="0" borderId="11" xfId="23" applyNumberFormat="1" applyFont="1" applyFill="1" applyBorder="1" applyAlignment="1">
      <alignment vertical="top"/>
      <protection/>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0" fillId="0" borderId="0" xfId="21" applyFont="1" applyFill="1" applyBorder="1" applyAlignment="1">
      <alignment horizontal="center" vertical="top" wrapText="1"/>
    </xf>
    <xf numFmtId="0" fontId="8" fillId="0" borderId="0" xfId="0" applyFont="1" applyFill="1" applyBorder="1" applyAlignment="1">
      <alignment horizontal="left" vertical="top" wrapText="1"/>
    </xf>
    <xf numFmtId="0" fontId="9" fillId="0" borderId="0" xfId="20" applyFont="1" applyFill="1" applyBorder="1" applyAlignment="1">
      <alignment horizontal="left" vertical="top" wrapText="1"/>
    </xf>
    <xf numFmtId="0" fontId="3" fillId="0" borderId="67" xfId="23" applyFont="1" applyBorder="1" applyAlignment="1">
      <alignment horizontal="center" vertical="center"/>
      <protection/>
    </xf>
    <xf numFmtId="0" fontId="3" fillId="0" borderId="28" xfId="23" applyFont="1" applyBorder="1" applyAlignment="1">
      <alignment horizontal="center" vertical="center"/>
      <protection/>
    </xf>
    <xf numFmtId="0" fontId="3" fillId="0" borderId="57" xfId="23" applyFont="1" applyBorder="1" applyAlignment="1">
      <alignment vertical="top"/>
      <protection/>
    </xf>
    <xf numFmtId="0" fontId="0" fillId="0" borderId="38" xfId="23" applyBorder="1" applyAlignment="1">
      <alignment vertical="top"/>
      <protection/>
    </xf>
    <xf numFmtId="0" fontId="3" fillId="0" borderId="68" xfId="23" applyFont="1" applyBorder="1" applyAlignment="1">
      <alignment horizontal="center" vertical="top"/>
      <protection/>
    </xf>
    <xf numFmtId="0" fontId="0" fillId="0" borderId="45" xfId="23" applyBorder="1" applyAlignment="1">
      <alignment horizontal="center" vertical="top"/>
      <protection/>
    </xf>
    <xf numFmtId="0" fontId="3" fillId="0" borderId="48" xfId="23" applyFont="1" applyBorder="1" applyAlignment="1">
      <alignment horizontal="center" vertical="top"/>
      <protection/>
    </xf>
    <xf numFmtId="0" fontId="0" fillId="0" borderId="31" xfId="23" applyBorder="1" applyAlignment="1">
      <alignment horizontal="center" vertical="top"/>
      <protection/>
    </xf>
    <xf numFmtId="0" fontId="3" fillId="0" borderId="41" xfId="23" applyFont="1" applyBorder="1" applyAlignment="1">
      <alignment horizontal="center" vertical="center"/>
      <protection/>
    </xf>
    <xf numFmtId="0" fontId="3" fillId="0" borderId="44" xfId="23" applyFont="1" applyBorder="1" applyAlignment="1">
      <alignment horizontal="center" vertical="center"/>
      <protection/>
    </xf>
    <xf numFmtId="0" fontId="3" fillId="0" borderId="38" xfId="23" applyFont="1" applyBorder="1" applyAlignment="1">
      <alignment vertical="top"/>
      <protection/>
    </xf>
    <xf numFmtId="0" fontId="3" fillId="0" borderId="45" xfId="23" applyFont="1" applyBorder="1" applyAlignment="1">
      <alignment horizontal="center" vertical="top"/>
      <protection/>
    </xf>
    <xf numFmtId="0" fontId="3" fillId="0" borderId="31" xfId="23" applyFont="1" applyBorder="1" applyAlignment="1">
      <alignment horizontal="center" vertical="top"/>
      <protection/>
    </xf>
    <xf numFmtId="0" fontId="3" fillId="0" borderId="69" xfId="23" applyFont="1" applyBorder="1" applyAlignment="1">
      <alignment horizontal="center"/>
      <protection/>
    </xf>
    <xf numFmtId="0" fontId="0" fillId="0" borderId="69" xfId="23" applyBorder="1" applyAlignment="1">
      <alignment horizontal="center"/>
      <protection/>
    </xf>
    <xf numFmtId="0" fontId="0" fillId="0" borderId="0" xfId="23" applyFont="1" applyAlignment="1">
      <alignment horizontal="left" vertical="top" wrapText="1"/>
      <protection/>
    </xf>
    <xf numFmtId="0" fontId="3" fillId="0" borderId="29" xfId="23" applyFont="1" applyBorder="1" applyAlignment="1">
      <alignment horizontal="center" vertical="top"/>
      <protection/>
    </xf>
    <xf numFmtId="0" fontId="3" fillId="0" borderId="30" xfId="23" applyFont="1" applyBorder="1" applyAlignment="1">
      <alignment horizontal="center" vertical="top"/>
      <protection/>
    </xf>
    <xf numFmtId="0" fontId="3" fillId="0" borderId="57" xfId="23" applyFont="1" applyBorder="1" applyAlignment="1">
      <alignment horizontal="center" vertical="top"/>
      <protection/>
    </xf>
    <xf numFmtId="0" fontId="3" fillId="0" borderId="37" xfId="23" applyFont="1" applyBorder="1" applyAlignment="1">
      <alignment horizontal="center" vertical="top"/>
      <protection/>
    </xf>
    <xf numFmtId="0" fontId="3" fillId="0" borderId="38" xfId="23" applyFont="1" applyBorder="1" applyAlignment="1">
      <alignment horizontal="center" vertical="top"/>
      <protection/>
    </xf>
    <xf numFmtId="0" fontId="3" fillId="0" borderId="57" xfId="23" applyFont="1" applyBorder="1" applyAlignment="1">
      <alignment horizontal="left" vertical="top"/>
      <protection/>
    </xf>
    <xf numFmtId="0" fontId="3" fillId="0" borderId="37" xfId="23" applyFont="1" applyBorder="1" applyAlignment="1">
      <alignment horizontal="left" vertical="top"/>
      <protection/>
    </xf>
    <xf numFmtId="0" fontId="3" fillId="0" borderId="38" xfId="23" applyFont="1" applyBorder="1" applyAlignment="1">
      <alignment horizontal="left" vertical="top"/>
      <protection/>
    </xf>
  </cellXfs>
  <cellStyles count="42">
    <cellStyle name="Normal" xfId="0"/>
    <cellStyle name="Percent" xfId="15"/>
    <cellStyle name="Currency" xfId="16"/>
    <cellStyle name="Currency [0]" xfId="17"/>
    <cellStyle name="Comma" xfId="18"/>
    <cellStyle name="Comma [0]" xfId="19"/>
    <cellStyle name="Heading 1" xfId="20"/>
    <cellStyle name="Hyperlink" xfId="21"/>
    <cellStyle name="Standard 2" xfId="22"/>
    <cellStyle name="Standard 2 2" xfId="23"/>
    <cellStyle name="Title" xfId="24"/>
    <cellStyle name="Standard 5" xfId="25"/>
    <cellStyle name="Akzent1 2" xfId="26"/>
    <cellStyle name="Akzent2 2" xfId="27"/>
    <cellStyle name="Akzent3 2" xfId="28"/>
    <cellStyle name="Akzent4 2" xfId="29"/>
    <cellStyle name="Akzent5 2" xfId="30"/>
    <cellStyle name="Akzent6 2" xfId="31"/>
    <cellStyle name="Ausgabe 2" xfId="32"/>
    <cellStyle name="Berechnung 2" xfId="33"/>
    <cellStyle name="Eingabe 2" xfId="34"/>
    <cellStyle name="Ergebnis 2" xfId="35"/>
    <cellStyle name="Erklärender Text 2" xfId="36"/>
    <cellStyle name="Gut 2" xfId="37"/>
    <cellStyle name="Neutral 2" xfId="38"/>
    <cellStyle name="Notiz 2" xfId="39"/>
    <cellStyle name="Schlecht 2" xfId="40"/>
    <cellStyle name="Standard 2 3" xfId="41"/>
    <cellStyle name="Standard 3" xfId="42"/>
    <cellStyle name="Standard 4" xfId="43"/>
    <cellStyle name="Überschrift 1 2" xfId="44"/>
    <cellStyle name="Überschrift 2 2" xfId="45"/>
    <cellStyle name="Überschrift 3 2" xfId="46"/>
    <cellStyle name="Überschrift 4 2" xfId="47"/>
    <cellStyle name="Verknüpfte Zelle 2" xfId="48"/>
    <cellStyle name="Warnender Text 2" xfId="49"/>
    <cellStyle name="Zelle überprüfen 2" xfId="50"/>
    <cellStyle name="Standard 6" xfId="51"/>
    <cellStyle name="Standard 2 5" xfId="52"/>
    <cellStyle name="Standard 6 2" xfId="53"/>
    <cellStyle name="Standard 2 4" xfId="54"/>
    <cellStyle name="Standard_euro-bnk" xfId="55"/>
  </cellStyles>
  <dxfs count="286">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3</xdr:row>
      <xdr:rowOff>9525</xdr:rowOff>
    </xdr:from>
    <xdr:ext cx="3238500" cy="361950"/>
    <xdr:sp macro="" textlink="">
      <xdr:nvSpPr>
        <xdr:cNvPr id="2" name="TextBox 1"/>
        <xdr:cNvSpPr txBox="1"/>
      </xdr:nvSpPr>
      <xdr:spPr>
        <a:xfrm>
          <a:off x="19050" y="466725"/>
          <a:ext cx="3238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lumMod val="50000"/>
                  <a:lumOff val="50000"/>
                </a:sysClr>
              </a:solidFill>
              <a:effectLst/>
              <a:uLnTx/>
              <a:uFillTx/>
              <a:latin typeface="Arial" panose="020B0604020202020204" pitchFamily="34" charset="0"/>
              <a:ea typeface="+mn-ea"/>
              <a:cs typeface="Arial" panose="020B0604020202020204" pitchFamily="34" charset="0"/>
            </a:rPr>
            <a:t>Directorate E: Sectoral and regional statistics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lumMod val="50000"/>
                  <a:lumOff val="50000"/>
                </a:sysClr>
              </a:solidFill>
              <a:effectLst/>
              <a:uLnTx/>
              <a:uFillTx/>
              <a:latin typeface="Arial" panose="020B0604020202020204" pitchFamily="34" charset="0"/>
              <a:ea typeface="+mn-ea"/>
              <a:cs typeface="Arial" panose="020B0604020202020204" pitchFamily="34" charset="0"/>
            </a:rPr>
            <a:t>Unit E1: Agriculture and fisheries</a:t>
          </a:r>
        </a:p>
      </xdr:txBody>
    </xdr:sp>
    <xdr:clientData/>
  </xdr:oneCellAnchor>
  <xdr:twoCellAnchor editAs="absolute">
    <xdr:from>
      <xdr:col>9</xdr:col>
      <xdr:colOff>276225</xdr:colOff>
      <xdr:row>2</xdr:row>
      <xdr:rowOff>0</xdr:rowOff>
    </xdr:from>
    <xdr:to>
      <xdr:col>13</xdr:col>
      <xdr:colOff>485775</xdr:colOff>
      <xdr:row>3</xdr:row>
      <xdr:rowOff>133350</xdr:rowOff>
    </xdr:to>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771900" y="304800"/>
          <a:ext cx="2247900" cy="285750"/>
        </a:xfrm>
        <a:prstGeom prst="rect">
          <a:avLst/>
        </a:prstGeom>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0:N20"/>
  <sheetViews>
    <sheetView showGridLines="0" zoomScale="130" zoomScaleNormal="130" workbookViewId="0" topLeftCell="A1">
      <selection activeCell="B18" sqref="B18:N18"/>
    </sheetView>
  </sheetViews>
  <sheetFormatPr defaultColWidth="0" defaultRowHeight="15"/>
  <cols>
    <col min="1" max="1" width="1.28515625" style="2" customWidth="1"/>
    <col min="2" max="2" width="10.57421875" style="2" customWidth="1"/>
    <col min="3" max="8" width="5.7109375" style="2" customWidth="1"/>
    <col min="9" max="9" width="6.28125" style="2" customWidth="1"/>
    <col min="10" max="10" width="4.57421875" style="2" customWidth="1"/>
    <col min="11" max="11" width="5.00390625" style="2" customWidth="1"/>
    <col min="12" max="12" width="11.7109375" style="2" customWidth="1"/>
    <col min="13" max="14" width="9.28125" style="2" customWidth="1"/>
    <col min="15" max="15" width="1.57421875" style="2" customWidth="1"/>
    <col min="16" max="16384" width="9.28125" style="2" hidden="1" customWidth="1"/>
  </cols>
  <sheetData>
    <row r="1" ht="12"/>
    <row r="2" ht="12"/>
    <row r="3" ht="12"/>
    <row r="4" ht="12"/>
    <row r="5" ht="12"/>
    <row r="6" ht="12"/>
    <row r="10" spans="2:14" s="3" customFormat="1" ht="51.75" customHeight="1">
      <c r="B10" s="382" t="s">
        <v>181</v>
      </c>
      <c r="C10" s="383"/>
      <c r="D10" s="383"/>
      <c r="E10" s="383"/>
      <c r="F10" s="383"/>
      <c r="G10" s="383"/>
      <c r="H10" s="383"/>
      <c r="I10" s="383"/>
      <c r="J10" s="383"/>
      <c r="K10" s="383"/>
      <c r="L10" s="383"/>
      <c r="M10" s="383"/>
      <c r="N10" s="383"/>
    </row>
    <row r="12" spans="2:14" ht="24" customHeight="1">
      <c r="B12" s="386" t="s">
        <v>14</v>
      </c>
      <c r="C12" s="386"/>
      <c r="D12" s="386"/>
      <c r="E12" s="386"/>
      <c r="F12" s="386"/>
      <c r="G12" s="386"/>
      <c r="H12" s="386"/>
      <c r="I12" s="386"/>
      <c r="J12" s="386"/>
      <c r="K12" s="386"/>
      <c r="L12" s="386"/>
      <c r="M12" s="386"/>
      <c r="N12" s="386"/>
    </row>
    <row r="13" spans="2:14" ht="62.25" customHeight="1">
      <c r="B13" s="385" t="s">
        <v>182</v>
      </c>
      <c r="C13" s="385"/>
      <c r="D13" s="385"/>
      <c r="E13" s="385"/>
      <c r="F13" s="385"/>
      <c r="G13" s="385"/>
      <c r="H13" s="385"/>
      <c r="I13" s="385"/>
      <c r="J13" s="385"/>
      <c r="K13" s="385"/>
      <c r="L13" s="385"/>
      <c r="M13" s="385"/>
      <c r="N13" s="385"/>
    </row>
    <row r="14" spans="2:14" ht="15" customHeight="1">
      <c r="B14" s="385"/>
      <c r="C14" s="385"/>
      <c r="D14" s="385"/>
      <c r="E14" s="385"/>
      <c r="F14" s="385"/>
      <c r="G14" s="385"/>
      <c r="H14" s="385"/>
      <c r="I14" s="385"/>
      <c r="J14" s="385"/>
      <c r="K14" s="385"/>
      <c r="L14" s="385"/>
      <c r="M14" s="385"/>
      <c r="N14" s="385"/>
    </row>
    <row r="15" spans="2:14" ht="28.5" customHeight="1">
      <c r="B15" s="385" t="s">
        <v>18</v>
      </c>
      <c r="C15" s="385"/>
      <c r="D15" s="385"/>
      <c r="E15" s="385"/>
      <c r="F15" s="385"/>
      <c r="G15" s="385"/>
      <c r="H15" s="385"/>
      <c r="I15" s="385"/>
      <c r="J15" s="385"/>
      <c r="K15" s="385"/>
      <c r="L15" s="385"/>
      <c r="M15" s="385"/>
      <c r="N15" s="385"/>
    </row>
    <row r="16" spans="2:14" ht="24.75" customHeight="1">
      <c r="B16" s="385"/>
      <c r="C16" s="385"/>
      <c r="D16" s="385"/>
      <c r="E16" s="385"/>
      <c r="F16" s="385"/>
      <c r="G16" s="385"/>
      <c r="H16" s="385"/>
      <c r="I16" s="385"/>
      <c r="J16" s="385"/>
      <c r="K16" s="385"/>
      <c r="L16" s="385"/>
      <c r="M16" s="385"/>
      <c r="N16" s="385"/>
    </row>
    <row r="17" spans="2:14" ht="23.25" customHeight="1">
      <c r="B17" s="386" t="s">
        <v>15</v>
      </c>
      <c r="C17" s="386"/>
      <c r="D17" s="386"/>
      <c r="E17" s="386"/>
      <c r="F17" s="386"/>
      <c r="G17" s="386"/>
      <c r="H17" s="386"/>
      <c r="I17" s="386"/>
      <c r="J17" s="386"/>
      <c r="K17" s="386"/>
      <c r="L17" s="386"/>
      <c r="M17" s="386"/>
      <c r="N17" s="386"/>
    </row>
    <row r="18" spans="2:14" ht="131.25" customHeight="1">
      <c r="B18" s="385" t="s">
        <v>19</v>
      </c>
      <c r="C18" s="385"/>
      <c r="D18" s="385"/>
      <c r="E18" s="385"/>
      <c r="F18" s="385"/>
      <c r="G18" s="385"/>
      <c r="H18" s="385"/>
      <c r="I18" s="385"/>
      <c r="J18" s="385"/>
      <c r="K18" s="385"/>
      <c r="L18" s="385"/>
      <c r="M18" s="385"/>
      <c r="N18" s="385"/>
    </row>
    <row r="19" spans="2:14" ht="61.5" customHeight="1">
      <c r="B19" s="385"/>
      <c r="C19" s="385"/>
      <c r="D19" s="385"/>
      <c r="E19" s="385"/>
      <c r="F19" s="385"/>
      <c r="G19" s="385"/>
      <c r="H19" s="385"/>
      <c r="I19" s="385"/>
      <c r="J19" s="385"/>
      <c r="K19" s="385"/>
      <c r="L19" s="385"/>
      <c r="M19" s="385"/>
      <c r="N19" s="385"/>
    </row>
    <row r="20" spans="2:14" ht="174.75" customHeight="1">
      <c r="B20" s="384" t="s">
        <v>16</v>
      </c>
      <c r="C20" s="384"/>
      <c r="D20" s="384"/>
      <c r="E20" s="384"/>
      <c r="F20" s="384"/>
      <c r="G20" s="384"/>
      <c r="H20" s="384"/>
      <c r="I20" s="384"/>
      <c r="J20" s="384"/>
      <c r="K20" s="384"/>
      <c r="L20" s="384"/>
      <c r="M20" s="384"/>
      <c r="N20" s="384"/>
    </row>
  </sheetData>
  <mergeCells count="10">
    <mergeCell ref="B10:N10"/>
    <mergeCell ref="B20:N20"/>
    <mergeCell ref="B18:N18"/>
    <mergeCell ref="B19:N19"/>
    <mergeCell ref="B12:N12"/>
    <mergeCell ref="B13:N13"/>
    <mergeCell ref="B14:N14"/>
    <mergeCell ref="B15:N15"/>
    <mergeCell ref="B16:N16"/>
    <mergeCell ref="B17:N17"/>
  </mergeCells>
  <hyperlinks>
    <hyperlink ref="B20" r:id="rId1" display="ESTAT-EAP@ec.europa.eu"/>
    <hyperlink ref="B20:K20" r:id="rId2" tooltip="E-mail" display="CONTACT for doubts on filling table: ESTAT-EAP@ec.europa.eu"/>
  </hyperlinks>
  <printOptions/>
  <pageMargins left="0.7" right="0.7" top="0.75" bottom="0.75" header="0.3" footer="0.3"/>
  <pageSetup horizontalDpi="600" verticalDpi="600" orientation="portrait" paperSize="9" scale="95" r:id="rId4"/>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20"/>
  <sheetViews>
    <sheetView zoomScale="70" zoomScaleNormal="70" workbookViewId="0" topLeftCell="A1">
      <selection activeCell="G1" sqref="G1"/>
    </sheetView>
  </sheetViews>
  <sheetFormatPr defaultColWidth="8.7109375" defaultRowHeight="15"/>
  <cols>
    <col min="1" max="1" width="5.00390625" style="5" bestFit="1" customWidth="1"/>
    <col min="2" max="2" width="42.7109375" style="5" bestFit="1" customWidth="1"/>
    <col min="3" max="3" width="20.7109375" style="5" bestFit="1" customWidth="1"/>
    <col min="4" max="4" width="8.7109375" style="5"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45</v>
      </c>
    </row>
    <row r="2" ht="4.5" customHeight="1"/>
    <row r="3" spans="2:3" ht="15">
      <c r="B3" s="7" t="s">
        <v>195</v>
      </c>
      <c r="C3" s="4" t="s">
        <v>46</v>
      </c>
    </row>
    <row r="4" spans="2:3" ht="15">
      <c r="B4" s="27" t="s">
        <v>196</v>
      </c>
      <c r="C4" s="4" t="s">
        <v>148</v>
      </c>
    </row>
    <row r="5" ht="14.25" customHeight="1">
      <c r="C5" s="4" t="s">
        <v>145</v>
      </c>
    </row>
    <row r="6" ht="14.25" customHeight="1"/>
    <row r="7" spans="2:3" ht="15">
      <c r="B7" s="14"/>
      <c r="C7" s="15"/>
    </row>
    <row r="8" spans="2:3" ht="15" thickBot="1">
      <c r="B8" s="16"/>
      <c r="C8" s="17"/>
    </row>
    <row r="9" spans="2:14" ht="16.5" customHeight="1">
      <c r="B9" s="389" t="s">
        <v>1</v>
      </c>
      <c r="C9" s="391" t="s">
        <v>3</v>
      </c>
      <c r="D9" s="393" t="s">
        <v>4</v>
      </c>
      <c r="E9" s="387" t="s">
        <v>5</v>
      </c>
      <c r="F9" s="388"/>
      <c r="G9" s="387" t="s">
        <v>6</v>
      </c>
      <c r="H9" s="388"/>
      <c r="I9" s="387" t="s">
        <v>12</v>
      </c>
      <c r="J9" s="388"/>
      <c r="K9" s="387" t="s">
        <v>7</v>
      </c>
      <c r="L9" s="388"/>
      <c r="N9" s="26"/>
    </row>
    <row r="10" spans="2:12" ht="15" thickBot="1">
      <c r="B10" s="397"/>
      <c r="C10" s="398"/>
      <c r="D10" s="399"/>
      <c r="E10" s="79" t="s">
        <v>10</v>
      </c>
      <c r="F10" s="80" t="s">
        <v>11</v>
      </c>
      <c r="G10" s="79" t="s">
        <v>10</v>
      </c>
      <c r="H10" s="80" t="s">
        <v>11</v>
      </c>
      <c r="I10" s="79" t="s">
        <v>10</v>
      </c>
      <c r="J10" s="80" t="s">
        <v>11</v>
      </c>
      <c r="K10" s="79" t="s">
        <v>10</v>
      </c>
      <c r="L10" s="81" t="s">
        <v>11</v>
      </c>
    </row>
    <row r="11" spans="1:12" ht="15" thickBot="1">
      <c r="A11" s="10">
        <v>17</v>
      </c>
      <c r="B11" s="22" t="s">
        <v>9</v>
      </c>
      <c r="C11" s="43"/>
      <c r="D11" s="23"/>
      <c r="E11" s="43">
        <v>8.84336653846154</v>
      </c>
      <c r="F11" s="25">
        <f>E11/C16</f>
        <v>8.66391857507597</v>
      </c>
      <c r="G11" s="24">
        <v>0</v>
      </c>
      <c r="H11" s="25">
        <v>0</v>
      </c>
      <c r="I11" s="24">
        <v>0</v>
      </c>
      <c r="J11" s="25">
        <v>0</v>
      </c>
      <c r="K11" s="24">
        <f>E11+G11-I11</f>
        <v>8.84336653846154</v>
      </c>
      <c r="L11" s="25">
        <f>F11+H11-J11</f>
        <v>8.66391857507597</v>
      </c>
    </row>
    <row r="12" spans="3:12" ht="15">
      <c r="C12" s="14"/>
      <c r="E12" s="14"/>
      <c r="F12" s="14"/>
      <c r="G12" s="14"/>
      <c r="H12" s="14"/>
      <c r="I12" s="14"/>
      <c r="J12" s="14"/>
      <c r="K12" s="14"/>
      <c r="L12" s="14"/>
    </row>
    <row r="13" ht="15">
      <c r="B13" s="26"/>
    </row>
    <row r="14" ht="15" thickBot="1"/>
    <row r="15" spans="2:3" ht="15" thickBot="1">
      <c r="B15" s="84"/>
      <c r="C15" s="87">
        <v>2020</v>
      </c>
    </row>
    <row r="16" spans="2:3" ht="15">
      <c r="B16" s="137" t="s">
        <v>146</v>
      </c>
      <c r="C16" s="219">
        <f>102.071210178519/100</f>
        <v>1.02071210178519</v>
      </c>
    </row>
    <row r="17" spans="2:3" ht="15" thickBot="1">
      <c r="B17" s="135" t="s">
        <v>147</v>
      </c>
      <c r="C17" s="220">
        <f>83.259087038189/100</f>
        <v>0.83259087038189</v>
      </c>
    </row>
    <row r="20" ht="15">
      <c r="B20" s="110"/>
    </row>
  </sheetData>
  <mergeCells count="7">
    <mergeCell ref="K9:L9"/>
    <mergeCell ref="B9:B10"/>
    <mergeCell ref="C9:C10"/>
    <mergeCell ref="D9:D10"/>
    <mergeCell ref="E9:F9"/>
    <mergeCell ref="I9:J9"/>
    <mergeCell ref="G9:H9"/>
  </mergeCells>
  <conditionalFormatting sqref="C13">
    <cfRule type="cellIs" priority="13" dxfId="1" operator="equal">
      <formula>FALSE</formula>
    </cfRule>
    <cfRule type="cellIs" priority="14" dxfId="0" operator="equal">
      <formula>TRUE</formula>
    </cfRule>
  </conditionalFormatting>
  <conditionalFormatting sqref="E13">
    <cfRule type="cellIs" priority="11" dxfId="1" operator="equal">
      <formula>FALSE</formula>
    </cfRule>
    <cfRule type="cellIs" priority="12" dxfId="0" operator="equal">
      <formula>TRUE</formula>
    </cfRule>
  </conditionalFormatting>
  <conditionalFormatting sqref="F13">
    <cfRule type="cellIs" priority="9" dxfId="1" operator="equal">
      <formula>FALSE</formula>
    </cfRule>
    <cfRule type="cellIs" priority="10" dxfId="0" operator="equal">
      <formula>TRUE</formula>
    </cfRule>
  </conditionalFormatting>
  <conditionalFormatting sqref="K13">
    <cfRule type="cellIs" priority="7" dxfId="1" operator="equal">
      <formula>FALSE</formula>
    </cfRule>
    <cfRule type="cellIs" priority="8" dxfId="0" operator="equal">
      <formula>TRUE</formula>
    </cfRule>
  </conditionalFormatting>
  <conditionalFormatting sqref="L13">
    <cfRule type="cellIs" priority="5" dxfId="1" operator="equal">
      <formula>FALSE</formula>
    </cfRule>
    <cfRule type="cellIs" priority="6"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7"/>
  <sheetViews>
    <sheetView zoomScale="80" zoomScaleNormal="80" workbookViewId="0" topLeftCell="A1">
      <selection activeCell="E1" sqref="E1"/>
    </sheetView>
  </sheetViews>
  <sheetFormatPr defaultColWidth="8.7109375" defaultRowHeight="15"/>
  <cols>
    <col min="1" max="1" width="5.00390625" style="5" bestFit="1" customWidth="1"/>
    <col min="2" max="2" width="42.7109375" style="5" bestFit="1" customWidth="1"/>
    <col min="3" max="3" width="20.7109375" style="5" bestFit="1" customWidth="1"/>
    <col min="4" max="4" width="8.7109375" style="5"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47</v>
      </c>
    </row>
    <row r="2" ht="4.5" customHeight="1"/>
    <row r="3" spans="2:3" ht="15">
      <c r="B3" s="7" t="s">
        <v>197</v>
      </c>
      <c r="C3" s="4" t="s">
        <v>48</v>
      </c>
    </row>
    <row r="4" spans="2:3" ht="15">
      <c r="B4" s="8" t="s">
        <v>198</v>
      </c>
      <c r="C4" s="28" t="s">
        <v>149</v>
      </c>
    </row>
    <row r="5" ht="14.25" customHeight="1">
      <c r="C5" s="4" t="s">
        <v>145</v>
      </c>
    </row>
    <row r="6" ht="14.25" customHeight="1"/>
    <row r="7" spans="2:3" ht="15">
      <c r="B7" s="14"/>
      <c r="C7" s="15"/>
    </row>
    <row r="8" spans="2:3" ht="15" thickBot="1">
      <c r="B8" s="16"/>
      <c r="C8" s="17"/>
    </row>
    <row r="9" spans="2:14" ht="16.5" customHeight="1">
      <c r="B9" s="389" t="s">
        <v>1</v>
      </c>
      <c r="C9" s="391" t="s">
        <v>3</v>
      </c>
      <c r="D9" s="393" t="s">
        <v>4</v>
      </c>
      <c r="E9" s="395" t="s">
        <v>5</v>
      </c>
      <c r="F9" s="396"/>
      <c r="G9" s="395" t="s">
        <v>6</v>
      </c>
      <c r="H9" s="396"/>
      <c r="I9" s="395" t="s">
        <v>12</v>
      </c>
      <c r="J9" s="396"/>
      <c r="K9" s="387" t="s">
        <v>7</v>
      </c>
      <c r="L9" s="388"/>
      <c r="N9" s="26"/>
    </row>
    <row r="10" spans="2:12" ht="15" thickBot="1">
      <c r="B10" s="390"/>
      <c r="C10" s="392"/>
      <c r="D10" s="394"/>
      <c r="E10" s="79" t="s">
        <v>10</v>
      </c>
      <c r="F10" s="80" t="s">
        <v>11</v>
      </c>
      <c r="G10" s="79" t="s">
        <v>10</v>
      </c>
      <c r="H10" s="80" t="s">
        <v>11</v>
      </c>
      <c r="I10" s="79" t="s">
        <v>10</v>
      </c>
      <c r="J10" s="80" t="s">
        <v>11</v>
      </c>
      <c r="K10" s="79" t="s">
        <v>10</v>
      </c>
      <c r="L10" s="81" t="s">
        <v>11</v>
      </c>
    </row>
    <row r="11" spans="1:12" ht="15" thickBot="1">
      <c r="A11" s="10">
        <v>17</v>
      </c>
      <c r="B11" s="22" t="s">
        <v>9</v>
      </c>
      <c r="C11" s="43"/>
      <c r="D11" s="23"/>
      <c r="E11" s="44">
        <v>1.12289670108991</v>
      </c>
      <c r="F11" s="231">
        <f>E11/C16</f>
        <v>1.1001110882549574</v>
      </c>
      <c r="G11" s="24">
        <v>0</v>
      </c>
      <c r="H11" s="25">
        <v>0</v>
      </c>
      <c r="I11" s="24">
        <v>0</v>
      </c>
      <c r="J11" s="25">
        <v>0</v>
      </c>
      <c r="K11" s="227">
        <f>E11+G11-I11</f>
        <v>1.12289670108991</v>
      </c>
      <c r="L11" s="228">
        <f>F11+H11-J11</f>
        <v>1.1001110882549574</v>
      </c>
    </row>
    <row r="12" spans="3:12" ht="15">
      <c r="C12" s="14"/>
      <c r="E12" s="14"/>
      <c r="F12" s="14"/>
      <c r="G12" s="14"/>
      <c r="H12" s="14"/>
      <c r="I12" s="14"/>
      <c r="J12" s="14"/>
      <c r="K12" s="14"/>
      <c r="L12" s="14"/>
    </row>
    <row r="13" ht="15">
      <c r="B13" s="26"/>
    </row>
    <row r="14" ht="15" thickBot="1"/>
    <row r="15" spans="2:3" ht="15" thickBot="1">
      <c r="B15" s="84"/>
      <c r="C15" s="87">
        <v>2020</v>
      </c>
    </row>
    <row r="16" spans="2:3" ht="15" thickBot="1">
      <c r="B16" s="112" t="s">
        <v>146</v>
      </c>
      <c r="C16" s="222">
        <f>102.071210178519/100</f>
        <v>1.02071210178519</v>
      </c>
    </row>
    <row r="17" spans="2:3" ht="15" thickBot="1">
      <c r="B17" s="113" t="s">
        <v>147</v>
      </c>
      <c r="C17" s="225">
        <f>819.721040773201/100</f>
        <v>8.19721040773201</v>
      </c>
    </row>
  </sheetData>
  <mergeCells count="7">
    <mergeCell ref="K9:L9"/>
    <mergeCell ref="B9:B10"/>
    <mergeCell ref="C9:C10"/>
    <mergeCell ref="D9:D10"/>
    <mergeCell ref="E9:F9"/>
    <mergeCell ref="G9:H9"/>
    <mergeCell ref="I9:J9"/>
  </mergeCells>
  <conditionalFormatting sqref="C13">
    <cfRule type="cellIs" priority="13" dxfId="1" operator="equal">
      <formula>FALSE</formula>
    </cfRule>
    <cfRule type="cellIs" priority="14" dxfId="0" operator="equal">
      <formula>TRUE</formula>
    </cfRule>
  </conditionalFormatting>
  <conditionalFormatting sqref="E13">
    <cfRule type="cellIs" priority="11" dxfId="1" operator="equal">
      <formula>FALSE</formula>
    </cfRule>
    <cfRule type="cellIs" priority="12" dxfId="0" operator="equal">
      <formula>TRUE</formula>
    </cfRule>
  </conditionalFormatting>
  <conditionalFormatting sqref="F13">
    <cfRule type="cellIs" priority="9" dxfId="1" operator="equal">
      <formula>FALSE</formula>
    </cfRule>
    <cfRule type="cellIs" priority="10" dxfId="0" operator="equal">
      <formula>TRUE</formula>
    </cfRule>
  </conditionalFormatting>
  <conditionalFormatting sqref="K13">
    <cfRule type="cellIs" priority="7" dxfId="1" operator="equal">
      <formula>FALSE</formula>
    </cfRule>
    <cfRule type="cellIs" priority="8" dxfId="0" operator="equal">
      <formula>TRUE</formula>
    </cfRule>
  </conditionalFormatting>
  <conditionalFormatting sqref="L13">
    <cfRule type="cellIs" priority="5" dxfId="1" operator="equal">
      <formula>FALSE</formula>
    </cfRule>
    <cfRule type="cellIs" priority="6"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34"/>
  <sheetViews>
    <sheetView zoomScale="70" zoomScaleNormal="70" workbookViewId="0" topLeftCell="A1">
      <selection activeCell="E1" sqref="E1"/>
    </sheetView>
  </sheetViews>
  <sheetFormatPr defaultColWidth="8.7109375" defaultRowHeight="15"/>
  <cols>
    <col min="1" max="1" width="5.00390625" style="5" bestFit="1" customWidth="1"/>
    <col min="2" max="2" width="42.7109375" style="5" bestFit="1" customWidth="1"/>
    <col min="3" max="3" width="20.7109375" style="5" bestFit="1" customWidth="1"/>
    <col min="4" max="4" width="8.7109375" style="5"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49</v>
      </c>
    </row>
    <row r="2" ht="4.5" customHeight="1"/>
    <row r="3" spans="2:3" ht="15">
      <c r="B3" s="7" t="s">
        <v>176</v>
      </c>
      <c r="C3" s="4" t="s">
        <v>23</v>
      </c>
    </row>
    <row r="4" spans="2:3" ht="15">
      <c r="B4" s="8" t="s">
        <v>50</v>
      </c>
      <c r="C4" s="4" t="s">
        <v>144</v>
      </c>
    </row>
    <row r="5" ht="14.25" customHeight="1">
      <c r="C5" s="4" t="s">
        <v>145</v>
      </c>
    </row>
    <row r="6" ht="14.25" customHeight="1" thickBot="1"/>
    <row r="7" spans="2:4" ht="16.5" customHeight="1" thickBot="1">
      <c r="B7" s="84"/>
      <c r="C7" s="85" t="s">
        <v>3</v>
      </c>
      <c r="D7" s="9"/>
    </row>
    <row r="8" spans="1:3" ht="15">
      <c r="A8" s="10">
        <v>1</v>
      </c>
      <c r="B8" s="82" t="s">
        <v>0</v>
      </c>
      <c r="C8" s="46">
        <f>94414/1000</f>
        <v>94.414</v>
      </c>
    </row>
    <row r="9" spans="1:3" ht="15">
      <c r="A9" s="10">
        <v>2</v>
      </c>
      <c r="B9" s="11" t="s">
        <v>8</v>
      </c>
      <c r="C9" s="38">
        <f>2727/1000</f>
        <v>2.727</v>
      </c>
    </row>
    <row r="10" spans="1:4" ht="15">
      <c r="A10" s="10">
        <v>3</v>
      </c>
      <c r="B10" s="12" t="s">
        <v>2</v>
      </c>
      <c r="C10" s="41">
        <f>C8-C9</f>
        <v>91.687</v>
      </c>
      <c r="D10" s="15"/>
    </row>
    <row r="11" spans="1:3" ht="15">
      <c r="A11" s="10">
        <v>6</v>
      </c>
      <c r="B11" s="11" t="s">
        <v>25</v>
      </c>
      <c r="C11" s="38">
        <f>7612.34957045414/1000</f>
        <v>7.61234957045414</v>
      </c>
    </row>
    <row r="12" spans="2:3" ht="15" thickBot="1">
      <c r="B12" s="13" t="s">
        <v>26</v>
      </c>
      <c r="C12" s="42">
        <f>IF(ISNUMBER(C11)=TRUE,C10-C11,C10)</f>
        <v>84.07465042954585</v>
      </c>
    </row>
    <row r="13" spans="2:3" ht="15">
      <c r="B13" s="14"/>
      <c r="C13" s="15"/>
    </row>
    <row r="14" spans="2:3" ht="15" thickBot="1">
      <c r="B14" s="16"/>
      <c r="C14" s="17"/>
    </row>
    <row r="15" spans="2:14" ht="16.5" customHeight="1">
      <c r="B15" s="389" t="s">
        <v>1</v>
      </c>
      <c r="C15" s="391" t="s">
        <v>3</v>
      </c>
      <c r="D15" s="393" t="s">
        <v>4</v>
      </c>
      <c r="E15" s="395" t="s">
        <v>5</v>
      </c>
      <c r="F15" s="396"/>
      <c r="G15" s="395" t="s">
        <v>6</v>
      </c>
      <c r="H15" s="396"/>
      <c r="I15" s="395" t="s">
        <v>12</v>
      </c>
      <c r="J15" s="396"/>
      <c r="K15" s="387" t="s">
        <v>7</v>
      </c>
      <c r="L15" s="388"/>
      <c r="N15" s="26"/>
    </row>
    <row r="16" spans="2:12" ht="15" thickBot="1">
      <c r="B16" s="390"/>
      <c r="C16" s="392"/>
      <c r="D16" s="394"/>
      <c r="E16" s="79" t="s">
        <v>10</v>
      </c>
      <c r="F16" s="80" t="s">
        <v>11</v>
      </c>
      <c r="G16" s="79" t="s">
        <v>10</v>
      </c>
      <c r="H16" s="80" t="s">
        <v>11</v>
      </c>
      <c r="I16" s="79" t="s">
        <v>10</v>
      </c>
      <c r="J16" s="80" t="s">
        <v>11</v>
      </c>
      <c r="K16" s="79" t="s">
        <v>10</v>
      </c>
      <c r="L16" s="81" t="s">
        <v>11</v>
      </c>
    </row>
    <row r="17" spans="1:14" ht="15">
      <c r="A17" s="10">
        <v>7</v>
      </c>
      <c r="B17" s="74" t="s">
        <v>27</v>
      </c>
      <c r="C17" s="202">
        <f>2717.06327127823/1000</f>
        <v>2.7170632712782297</v>
      </c>
      <c r="D17" s="215">
        <f>165.426740460239/1000</f>
        <v>0.165426740460239</v>
      </c>
      <c r="E17" s="77">
        <f>C17*D17</f>
        <v>0.44947492059179167</v>
      </c>
      <c r="F17" s="78"/>
      <c r="G17" s="77">
        <v>0</v>
      </c>
      <c r="H17" s="78"/>
      <c r="I17" s="77">
        <v>0</v>
      </c>
      <c r="J17" s="78"/>
      <c r="K17" s="77"/>
      <c r="L17" s="78"/>
      <c r="N17" s="27"/>
    </row>
    <row r="18" spans="1:14" ht="15">
      <c r="A18" s="10">
        <v>8</v>
      </c>
      <c r="B18" s="18" t="s">
        <v>28</v>
      </c>
      <c r="C18" s="148">
        <v>0</v>
      </c>
      <c r="D18" s="149">
        <v>0</v>
      </c>
      <c r="E18" s="303">
        <f aca="true" t="shared" si="0" ref="E18:E26">C18*D18</f>
        <v>0</v>
      </c>
      <c r="F18" s="21"/>
      <c r="G18" s="52">
        <v>0</v>
      </c>
      <c r="H18" s="21"/>
      <c r="I18" s="52">
        <v>0</v>
      </c>
      <c r="J18" s="21"/>
      <c r="K18" s="20"/>
      <c r="L18" s="21"/>
      <c r="N18" s="27"/>
    </row>
    <row r="19" spans="1:14" ht="15">
      <c r="A19" s="10">
        <v>10</v>
      </c>
      <c r="B19" s="18" t="s">
        <v>29</v>
      </c>
      <c r="C19" s="148">
        <v>0</v>
      </c>
      <c r="D19" s="149">
        <v>0</v>
      </c>
      <c r="E19" s="303">
        <f t="shared" si="0"/>
        <v>0</v>
      </c>
      <c r="F19" s="21"/>
      <c r="G19" s="52">
        <v>0</v>
      </c>
      <c r="H19" s="21"/>
      <c r="I19" s="52">
        <v>0</v>
      </c>
      <c r="J19" s="21"/>
      <c r="K19" s="20"/>
      <c r="L19" s="21"/>
      <c r="N19" s="27"/>
    </row>
    <row r="20" spans="1:14" ht="15">
      <c r="A20" s="10">
        <v>11</v>
      </c>
      <c r="B20" s="18" t="s">
        <v>30</v>
      </c>
      <c r="C20" s="56">
        <f>24993.6402207973/1000</f>
        <v>24.9936402207973</v>
      </c>
      <c r="D20" s="217">
        <f>165.426740460239/1000</f>
        <v>0.165426740460239</v>
      </c>
      <c r="E20" s="77">
        <f t="shared" si="0"/>
        <v>4.134616433962425</v>
      </c>
      <c r="F20" s="21"/>
      <c r="G20" s="52">
        <v>0</v>
      </c>
      <c r="H20" s="21"/>
      <c r="I20" s="52">
        <v>0</v>
      </c>
      <c r="J20" s="21"/>
      <c r="K20" s="20"/>
      <c r="L20" s="21"/>
      <c r="N20" s="27"/>
    </row>
    <row r="21" spans="1:14" ht="15">
      <c r="A21" s="10" t="s">
        <v>31</v>
      </c>
      <c r="B21" s="18" t="s">
        <v>32</v>
      </c>
      <c r="C21" s="202">
        <f>10766.2310233412/1000</f>
        <v>10.7662310233412</v>
      </c>
      <c r="D21" s="215">
        <f>165.426740460239/1000</f>
        <v>0.165426740460239</v>
      </c>
      <c r="E21" s="77">
        <f t="shared" si="0"/>
        <v>1.781022505233238</v>
      </c>
      <c r="F21" s="21"/>
      <c r="G21" s="52">
        <v>0</v>
      </c>
      <c r="H21" s="21"/>
      <c r="I21" s="52">
        <v>0</v>
      </c>
      <c r="J21" s="21"/>
      <c r="K21" s="20"/>
      <c r="L21" s="21"/>
      <c r="N21" s="27"/>
    </row>
    <row r="22" spans="1:14" ht="15">
      <c r="A22" s="10" t="s">
        <v>33</v>
      </c>
      <c r="B22" s="18" t="s">
        <v>34</v>
      </c>
      <c r="C22" s="202">
        <f>57369.7621570282/1000</f>
        <v>57.3697621570282</v>
      </c>
      <c r="D22" s="215">
        <f>165.426740460239/1000</f>
        <v>0.165426740460239</v>
      </c>
      <c r="E22" s="77">
        <f t="shared" si="0"/>
        <v>9.490492754616344</v>
      </c>
      <c r="F22" s="21"/>
      <c r="G22" s="52">
        <v>0</v>
      </c>
      <c r="H22" s="21"/>
      <c r="I22" s="52">
        <v>0</v>
      </c>
      <c r="J22" s="21"/>
      <c r="K22" s="20"/>
      <c r="L22" s="21"/>
      <c r="N22" s="27"/>
    </row>
    <row r="23" spans="1:14" ht="15">
      <c r="A23" s="10" t="s">
        <v>35</v>
      </c>
      <c r="B23" s="18" t="s">
        <v>36</v>
      </c>
      <c r="C23" s="148">
        <v>0</v>
      </c>
      <c r="D23" s="149">
        <v>0</v>
      </c>
      <c r="E23" s="303">
        <f t="shared" si="0"/>
        <v>0</v>
      </c>
      <c r="F23" s="21"/>
      <c r="G23" s="52">
        <v>0</v>
      </c>
      <c r="H23" s="21"/>
      <c r="I23" s="52">
        <v>0</v>
      </c>
      <c r="J23" s="21"/>
      <c r="K23" s="20"/>
      <c r="L23" s="21"/>
      <c r="N23" s="27"/>
    </row>
    <row r="24" spans="1:14" ht="15">
      <c r="A24" s="10">
        <v>13</v>
      </c>
      <c r="B24" s="18" t="s">
        <v>37</v>
      </c>
      <c r="C24" s="148">
        <v>0</v>
      </c>
      <c r="D24" s="149">
        <v>0</v>
      </c>
      <c r="E24" s="303">
        <f t="shared" si="0"/>
        <v>0</v>
      </c>
      <c r="F24" s="21"/>
      <c r="G24" s="52">
        <v>0</v>
      </c>
      <c r="H24" s="21"/>
      <c r="I24" s="52">
        <v>0</v>
      </c>
      <c r="J24" s="21"/>
      <c r="K24" s="20"/>
      <c r="L24" s="21"/>
      <c r="N24" s="27"/>
    </row>
    <row r="25" spans="1:14" s="111" customFormat="1" ht="15">
      <c r="A25" s="10">
        <v>4</v>
      </c>
      <c r="B25" s="201" t="s">
        <v>63</v>
      </c>
      <c r="C25" s="202">
        <f>54374.9709034317/1000</f>
        <v>54.374970903431695</v>
      </c>
      <c r="D25" s="215">
        <f>233.030876784154/1000</f>
        <v>0.233030876784154</v>
      </c>
      <c r="E25" s="77">
        <f t="shared" si="0"/>
        <v>12.67104714473955</v>
      </c>
      <c r="F25" s="150"/>
      <c r="G25" s="77">
        <v>0</v>
      </c>
      <c r="H25" s="150"/>
      <c r="I25" s="77">
        <v>0</v>
      </c>
      <c r="J25" s="150"/>
      <c r="K25" s="52"/>
      <c r="L25" s="150"/>
      <c r="N25" s="27"/>
    </row>
    <row r="26" spans="1:14" s="111" customFormat="1" ht="15">
      <c r="A26" s="10">
        <v>14</v>
      </c>
      <c r="B26" s="201" t="s">
        <v>64</v>
      </c>
      <c r="C26" s="202">
        <f>42602.9246605328/1000</f>
        <v>42.6029246605328</v>
      </c>
      <c r="D26" s="215">
        <f>165.426740460239/1000</f>
        <v>0.165426740460239</v>
      </c>
      <c r="E26" s="77">
        <f t="shared" si="0"/>
        <v>7.047662960665075</v>
      </c>
      <c r="F26" s="150"/>
      <c r="G26" s="52">
        <v>0</v>
      </c>
      <c r="H26" s="150"/>
      <c r="I26" s="52">
        <v>0</v>
      </c>
      <c r="J26" s="150"/>
      <c r="K26" s="52"/>
      <c r="L26" s="150"/>
      <c r="N26" s="27"/>
    </row>
    <row r="27" spans="1:14" ht="15" thickBot="1">
      <c r="A27" s="10">
        <v>16</v>
      </c>
      <c r="B27" s="18" t="s">
        <v>21</v>
      </c>
      <c r="C27" s="202">
        <f>C26-C25</f>
        <v>-11.772046242898895</v>
      </c>
      <c r="D27" s="212"/>
      <c r="E27" s="20">
        <f>E26-E25</f>
        <v>-5.6233841840744745</v>
      </c>
      <c r="F27" s="21"/>
      <c r="G27" s="20"/>
      <c r="H27" s="21"/>
      <c r="I27" s="20"/>
      <c r="J27" s="21"/>
      <c r="K27" s="20"/>
      <c r="L27" s="21"/>
      <c r="N27" s="27"/>
    </row>
    <row r="28" spans="1:12" ht="15" thickBot="1">
      <c r="A28" s="10">
        <v>17</v>
      </c>
      <c r="B28" s="22" t="s">
        <v>9</v>
      </c>
      <c r="C28" s="227">
        <f>C17+C19+C20+C21+C22+C26-C25</f>
        <v>84.07465042954604</v>
      </c>
      <c r="D28" s="230"/>
      <c r="E28" s="227">
        <f>E17+E19+E20+E21+E22+E26-E25</f>
        <v>10.232222430329326</v>
      </c>
      <c r="F28" s="228">
        <f>E28/C33</f>
        <v>21.159974113301512</v>
      </c>
      <c r="G28" s="227">
        <v>0</v>
      </c>
      <c r="H28" s="228">
        <v>0</v>
      </c>
      <c r="I28" s="227">
        <v>0</v>
      </c>
      <c r="J28" s="228">
        <v>0</v>
      </c>
      <c r="K28" s="227">
        <f>E28+G28-I28</f>
        <v>10.232222430329326</v>
      </c>
      <c r="L28" s="228">
        <f>F28+H28-J28</f>
        <v>21.159974113301512</v>
      </c>
    </row>
    <row r="29" spans="3:12" ht="15">
      <c r="C29" s="14"/>
      <c r="E29" s="14"/>
      <c r="F29" s="14"/>
      <c r="G29" s="14"/>
      <c r="H29" s="14"/>
      <c r="I29" s="14"/>
      <c r="J29" s="14"/>
      <c r="K29" s="14"/>
      <c r="L29" s="14"/>
    </row>
    <row r="30" ht="15">
      <c r="B30" s="26"/>
    </row>
    <row r="31" ht="15" thickBot="1"/>
    <row r="32" spans="2:3" ht="15" thickBot="1">
      <c r="B32" s="84"/>
      <c r="C32" s="87">
        <v>2020</v>
      </c>
    </row>
    <row r="33" spans="2:3" ht="15">
      <c r="B33" s="112" t="s">
        <v>146</v>
      </c>
      <c r="C33" s="219">
        <f>48.3564978649817/100</f>
        <v>0.48356497864981696</v>
      </c>
    </row>
    <row r="34" spans="2:3" ht="15" thickBot="1">
      <c r="B34" s="113" t="s">
        <v>147</v>
      </c>
      <c r="C34" s="220">
        <f>77.9329893107205/100</f>
        <v>0.779329893107205</v>
      </c>
    </row>
  </sheetData>
  <mergeCells count="7">
    <mergeCell ref="K15:L15"/>
    <mergeCell ref="B15:B16"/>
    <mergeCell ref="C15:C16"/>
    <mergeCell ref="D15:D16"/>
    <mergeCell ref="E15:F15"/>
    <mergeCell ref="G15:H15"/>
    <mergeCell ref="I15:J15"/>
  </mergeCells>
  <conditionalFormatting sqref="C30">
    <cfRule type="cellIs" priority="13" dxfId="1" operator="equal">
      <formula>FALSE</formula>
    </cfRule>
    <cfRule type="cellIs" priority="14" dxfId="0" operator="equal">
      <formula>TRUE</formula>
    </cfRule>
  </conditionalFormatting>
  <conditionalFormatting sqref="E30">
    <cfRule type="cellIs" priority="11" dxfId="1" operator="equal">
      <formula>FALSE</formula>
    </cfRule>
    <cfRule type="cellIs" priority="12" dxfId="0" operator="equal">
      <formula>TRUE</formula>
    </cfRule>
  </conditionalFormatting>
  <conditionalFormatting sqref="F30">
    <cfRule type="cellIs" priority="9" dxfId="1" operator="equal">
      <formula>FALSE</formula>
    </cfRule>
    <cfRule type="cellIs" priority="10" dxfId="0" operator="equal">
      <formula>TRUE</formula>
    </cfRule>
  </conditionalFormatting>
  <conditionalFormatting sqref="K30">
    <cfRule type="cellIs" priority="7" dxfId="1" operator="equal">
      <formula>FALSE</formula>
    </cfRule>
    <cfRule type="cellIs" priority="8" dxfId="0" operator="equal">
      <formula>TRUE</formula>
    </cfRule>
  </conditionalFormatting>
  <conditionalFormatting sqref="L30">
    <cfRule type="cellIs" priority="5" dxfId="1" operator="equal">
      <formula>FALSE</formula>
    </cfRule>
    <cfRule type="cellIs" priority="6" dxfId="0" operator="equal">
      <formula>TRUE</formula>
    </cfRule>
  </conditionalFormatting>
  <conditionalFormatting sqref="N17:N27">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34"/>
  <sheetViews>
    <sheetView zoomScale="70" zoomScaleNormal="70" workbookViewId="0" topLeftCell="A1">
      <selection activeCell="E1" sqref="E1"/>
    </sheetView>
  </sheetViews>
  <sheetFormatPr defaultColWidth="8.7109375" defaultRowHeight="15"/>
  <cols>
    <col min="1" max="1" width="5.00390625" style="5" bestFit="1" customWidth="1"/>
    <col min="2" max="2" width="42.7109375" style="5" bestFit="1" customWidth="1"/>
    <col min="3" max="3" width="20.7109375" style="5" bestFit="1" customWidth="1"/>
    <col min="4" max="4" width="8.7109375" style="5"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51</v>
      </c>
    </row>
    <row r="2" ht="4.5" customHeight="1"/>
    <row r="3" spans="2:3" ht="15">
      <c r="B3" s="7" t="s">
        <v>199</v>
      </c>
      <c r="C3" s="4" t="s">
        <v>23</v>
      </c>
    </row>
    <row r="4" spans="2:3" ht="15">
      <c r="B4" s="8" t="s">
        <v>200</v>
      </c>
      <c r="C4" s="4" t="s">
        <v>144</v>
      </c>
    </row>
    <row r="5" ht="14.25" customHeight="1">
      <c r="C5" s="4" t="s">
        <v>145</v>
      </c>
    </row>
    <row r="6" ht="14.25" customHeight="1" thickBot="1"/>
    <row r="7" spans="2:4" ht="16.5" customHeight="1" thickBot="1">
      <c r="B7" s="84"/>
      <c r="C7" s="85" t="s">
        <v>3</v>
      </c>
      <c r="D7" s="9"/>
    </row>
    <row r="8" spans="1:3" ht="15">
      <c r="A8" s="10">
        <v>1</v>
      </c>
      <c r="B8" s="82" t="s">
        <v>0</v>
      </c>
      <c r="C8" s="46">
        <f>1635/1000</f>
        <v>1.635</v>
      </c>
    </row>
    <row r="9" spans="1:3" ht="15">
      <c r="A9" s="10">
        <v>2</v>
      </c>
      <c r="B9" s="11" t="s">
        <v>8</v>
      </c>
      <c r="C9" s="38">
        <f>136.012290917364/1000</f>
        <v>0.136012290917364</v>
      </c>
    </row>
    <row r="10" spans="1:4" ht="15">
      <c r="A10" s="10">
        <v>3</v>
      </c>
      <c r="B10" s="12" t="s">
        <v>2</v>
      </c>
      <c r="C10" s="205">
        <f>C8-C9</f>
        <v>1.498987709082636</v>
      </c>
      <c r="D10" s="15"/>
    </row>
    <row r="11" spans="1:3" ht="15">
      <c r="A11" s="10">
        <v>6</v>
      </c>
      <c r="B11" s="11" t="s">
        <v>25</v>
      </c>
      <c r="C11" s="38">
        <v>0</v>
      </c>
    </row>
    <row r="12" spans="2:3" ht="15" thickBot="1">
      <c r="B12" s="13" t="s">
        <v>26</v>
      </c>
      <c r="C12" s="42">
        <f>IF(ISNUMBER(C11)=TRUE,C10-C11,C10)</f>
        <v>1.498987709082636</v>
      </c>
    </row>
    <row r="13" spans="2:3" ht="15">
      <c r="B13" s="14"/>
      <c r="C13" s="15"/>
    </row>
    <row r="14" spans="2:3" ht="15" thickBot="1">
      <c r="B14" s="16"/>
      <c r="C14" s="17"/>
    </row>
    <row r="15" spans="2:14" ht="16.5" customHeight="1">
      <c r="B15" s="389" t="s">
        <v>1</v>
      </c>
      <c r="C15" s="391" t="s">
        <v>3</v>
      </c>
      <c r="D15" s="393" t="s">
        <v>4</v>
      </c>
      <c r="E15" s="395" t="s">
        <v>5</v>
      </c>
      <c r="F15" s="396"/>
      <c r="G15" s="395" t="s">
        <v>6</v>
      </c>
      <c r="H15" s="396"/>
      <c r="I15" s="395" t="s">
        <v>12</v>
      </c>
      <c r="J15" s="396"/>
      <c r="K15" s="387" t="s">
        <v>7</v>
      </c>
      <c r="L15" s="388"/>
      <c r="N15" s="26"/>
    </row>
    <row r="16" spans="2:12" ht="15" thickBot="1">
      <c r="B16" s="390"/>
      <c r="C16" s="392"/>
      <c r="D16" s="394"/>
      <c r="E16" s="79" t="s">
        <v>10</v>
      </c>
      <c r="F16" s="80" t="s">
        <v>11</v>
      </c>
      <c r="G16" s="79" t="s">
        <v>10</v>
      </c>
      <c r="H16" s="80" t="s">
        <v>11</v>
      </c>
      <c r="I16" s="79" t="s">
        <v>10</v>
      </c>
      <c r="J16" s="80" t="s">
        <v>11</v>
      </c>
      <c r="K16" s="79" t="s">
        <v>10</v>
      </c>
      <c r="L16" s="81" t="s">
        <v>11</v>
      </c>
    </row>
    <row r="17" spans="1:14" ht="15">
      <c r="A17" s="10">
        <v>7</v>
      </c>
      <c r="B17" s="74" t="s">
        <v>27</v>
      </c>
      <c r="C17" s="203">
        <v>0</v>
      </c>
      <c r="D17" s="29">
        <v>0</v>
      </c>
      <c r="E17" s="303">
        <f>C17*D17</f>
        <v>0</v>
      </c>
      <c r="F17" s="78"/>
      <c r="G17" s="77">
        <v>0</v>
      </c>
      <c r="H17" s="78"/>
      <c r="I17" s="77">
        <v>0</v>
      </c>
      <c r="J17" s="78"/>
      <c r="K17" s="77"/>
      <c r="L17" s="78"/>
      <c r="N17" s="27"/>
    </row>
    <row r="18" spans="1:14" ht="15">
      <c r="A18" s="10">
        <v>8</v>
      </c>
      <c r="B18" s="18" t="s">
        <v>28</v>
      </c>
      <c r="C18" s="148">
        <v>0</v>
      </c>
      <c r="D18" s="29">
        <v>0</v>
      </c>
      <c r="E18" s="303">
        <f aca="true" t="shared" si="0" ref="E18:E26">C18*D18</f>
        <v>0</v>
      </c>
      <c r="F18" s="21"/>
      <c r="G18" s="77">
        <v>0</v>
      </c>
      <c r="H18" s="21"/>
      <c r="I18" s="77">
        <v>0</v>
      </c>
      <c r="J18" s="21"/>
      <c r="K18" s="20"/>
      <c r="L18" s="21"/>
      <c r="N18" s="27"/>
    </row>
    <row r="19" spans="1:14" ht="15">
      <c r="A19" s="10">
        <v>10</v>
      </c>
      <c r="B19" s="18" t="s">
        <v>29</v>
      </c>
      <c r="C19" s="148">
        <v>0</v>
      </c>
      <c r="D19" s="302">
        <v>0</v>
      </c>
      <c r="E19" s="303">
        <f t="shared" si="0"/>
        <v>0</v>
      </c>
      <c r="F19" s="21"/>
      <c r="G19" s="77">
        <v>0</v>
      </c>
      <c r="H19" s="21"/>
      <c r="I19" s="77">
        <v>0</v>
      </c>
      <c r="J19" s="21"/>
      <c r="K19" s="20"/>
      <c r="L19" s="21"/>
      <c r="N19" s="27"/>
    </row>
    <row r="20" spans="1:14" ht="15">
      <c r="A20" s="10">
        <v>11</v>
      </c>
      <c r="B20" s="18" t="s">
        <v>30</v>
      </c>
      <c r="C20" s="56">
        <f>694.404031838798/1000</f>
        <v>0.694404031838798</v>
      </c>
      <c r="D20" s="224">
        <f>415.668900373714/1000</f>
        <v>0.415668900373714</v>
      </c>
      <c r="E20" s="77">
        <f t="shared" si="0"/>
        <v>0.2886421603295066</v>
      </c>
      <c r="F20" s="21"/>
      <c r="G20" s="77">
        <v>0</v>
      </c>
      <c r="H20" s="21"/>
      <c r="I20" s="77">
        <v>0</v>
      </c>
      <c r="J20" s="21"/>
      <c r="K20" s="20"/>
      <c r="L20" s="21"/>
      <c r="N20" s="27"/>
    </row>
    <row r="21" spans="1:14" ht="15">
      <c r="A21" s="10" t="s">
        <v>31</v>
      </c>
      <c r="B21" s="18" t="s">
        <v>32</v>
      </c>
      <c r="C21" s="148">
        <v>0</v>
      </c>
      <c r="D21" s="302">
        <v>0</v>
      </c>
      <c r="E21" s="303">
        <f t="shared" si="0"/>
        <v>0</v>
      </c>
      <c r="F21" s="21"/>
      <c r="G21" s="77">
        <v>0</v>
      </c>
      <c r="H21" s="21"/>
      <c r="I21" s="77">
        <v>0</v>
      </c>
      <c r="J21" s="21"/>
      <c r="K21" s="20"/>
      <c r="L21" s="21"/>
      <c r="N21" s="27"/>
    </row>
    <row r="22" spans="1:14" ht="15">
      <c r="A22" s="10" t="s">
        <v>33</v>
      </c>
      <c r="B22" s="18" t="s">
        <v>34</v>
      </c>
      <c r="C22" s="56">
        <f>1366.76031069861/1000</f>
        <v>1.3667603106986101</v>
      </c>
      <c r="D22" s="224">
        <f>415.668900373714/1000</f>
        <v>0.415668900373714</v>
      </c>
      <c r="E22" s="77">
        <f t="shared" si="0"/>
        <v>0.568119755422527</v>
      </c>
      <c r="F22" s="21"/>
      <c r="G22" s="77">
        <v>0</v>
      </c>
      <c r="H22" s="21"/>
      <c r="I22" s="77">
        <v>0</v>
      </c>
      <c r="J22" s="21"/>
      <c r="K22" s="20"/>
      <c r="L22" s="21"/>
      <c r="N22" s="27"/>
    </row>
    <row r="23" spans="1:14" ht="15">
      <c r="A23" s="10" t="s">
        <v>35</v>
      </c>
      <c r="B23" s="18" t="s">
        <v>36</v>
      </c>
      <c r="C23" s="148">
        <v>0</v>
      </c>
      <c r="D23" s="29">
        <v>0</v>
      </c>
      <c r="E23" s="303">
        <f t="shared" si="0"/>
        <v>0</v>
      </c>
      <c r="F23" s="21"/>
      <c r="G23" s="77">
        <v>0</v>
      </c>
      <c r="H23" s="21"/>
      <c r="I23" s="77">
        <v>0</v>
      </c>
      <c r="J23" s="21"/>
      <c r="K23" s="20"/>
      <c r="L23" s="21"/>
      <c r="N23" s="27"/>
    </row>
    <row r="24" spans="1:14" ht="15">
      <c r="A24" s="10">
        <v>13</v>
      </c>
      <c r="B24" s="18" t="s">
        <v>37</v>
      </c>
      <c r="C24" s="148">
        <v>0</v>
      </c>
      <c r="D24" s="29">
        <v>0</v>
      </c>
      <c r="E24" s="303">
        <f t="shared" si="0"/>
        <v>0</v>
      </c>
      <c r="F24" s="21"/>
      <c r="G24" s="77">
        <v>0</v>
      </c>
      <c r="H24" s="21"/>
      <c r="I24" s="77">
        <v>0</v>
      </c>
      <c r="J24" s="21"/>
      <c r="K24" s="20"/>
      <c r="L24" s="21"/>
      <c r="N24" s="27"/>
    </row>
    <row r="25" spans="1:14" s="111" customFormat="1" ht="15">
      <c r="A25" s="10">
        <v>4</v>
      </c>
      <c r="B25" s="201" t="s">
        <v>63</v>
      </c>
      <c r="C25" s="56">
        <f>912.965790140963/1000</f>
        <v>0.912965790140963</v>
      </c>
      <c r="D25" s="224">
        <f>393.668443368553/1000</f>
        <v>0.393668443368553</v>
      </c>
      <c r="E25" s="77">
        <f t="shared" si="0"/>
        <v>0.35940582145353395</v>
      </c>
      <c r="F25" s="150"/>
      <c r="G25" s="77">
        <v>0</v>
      </c>
      <c r="H25" s="150"/>
      <c r="I25" s="77">
        <v>0</v>
      </c>
      <c r="J25" s="150"/>
      <c r="K25" s="52"/>
      <c r="L25" s="150"/>
      <c r="N25" s="27"/>
    </row>
    <row r="26" spans="1:14" s="111" customFormat="1" ht="15">
      <c r="A26" s="10">
        <v>14</v>
      </c>
      <c r="B26" s="201" t="s">
        <v>64</v>
      </c>
      <c r="C26" s="56">
        <f>350.789156686189/1000</f>
        <v>0.35078915668618904</v>
      </c>
      <c r="D26" s="224">
        <f>415.668900373714/1000</f>
        <v>0.415668900373714</v>
      </c>
      <c r="E26" s="77">
        <f t="shared" si="0"/>
        <v>0.14581214302277068</v>
      </c>
      <c r="F26" s="150"/>
      <c r="G26" s="77">
        <v>0</v>
      </c>
      <c r="H26" s="150"/>
      <c r="I26" s="77">
        <v>0</v>
      </c>
      <c r="J26" s="150"/>
      <c r="K26" s="52"/>
      <c r="L26" s="150"/>
      <c r="N26" s="27"/>
    </row>
    <row r="27" spans="1:14" ht="15" thickBot="1">
      <c r="A27" s="10">
        <v>16</v>
      </c>
      <c r="B27" s="18" t="s">
        <v>21</v>
      </c>
      <c r="C27" s="58">
        <f>C26-C25</f>
        <v>-0.562176633454774</v>
      </c>
      <c r="D27" s="29" t="s">
        <v>143</v>
      </c>
      <c r="E27" s="20">
        <f>(C26*D26)-(C25*D25)</f>
        <v>-0.21359367843076327</v>
      </c>
      <c r="F27" s="21"/>
      <c r="G27" s="20"/>
      <c r="H27" s="214"/>
      <c r="I27" s="20"/>
      <c r="J27" s="21"/>
      <c r="K27" s="20"/>
      <c r="L27" s="21"/>
      <c r="N27" s="27"/>
    </row>
    <row r="28" spans="1:12" ht="15" thickBot="1">
      <c r="A28" s="10">
        <v>17</v>
      </c>
      <c r="B28" s="22" t="s">
        <v>9</v>
      </c>
      <c r="C28" s="227">
        <f>C17+C19+C20+C21+C22+C26-C25</f>
        <v>1.498987709082634</v>
      </c>
      <c r="D28" s="23"/>
      <c r="E28" s="227">
        <f>E17+E19+E20+E21+E22+E26-E25</f>
        <v>0.6431682373212703</v>
      </c>
      <c r="F28" s="228">
        <f>E28/C33</f>
        <v>0.6008317482043427</v>
      </c>
      <c r="G28" s="229">
        <f>157.011019223985/1000</f>
        <v>0.157011019223985</v>
      </c>
      <c r="H28" s="229">
        <f>51.2477599894043/1000</f>
        <v>0.0512477599894043</v>
      </c>
      <c r="I28" s="24">
        <v>0</v>
      </c>
      <c r="J28" s="25">
        <v>0</v>
      </c>
      <c r="K28" s="227">
        <f>E28+G28-I28</f>
        <v>0.8001792565452552</v>
      </c>
      <c r="L28" s="228">
        <f>F28+H28-J28</f>
        <v>0.652079508193747</v>
      </c>
    </row>
    <row r="29" spans="3:12" ht="15">
      <c r="C29" s="14"/>
      <c r="E29" s="14"/>
      <c r="F29" s="14"/>
      <c r="G29" s="14"/>
      <c r="H29" s="14"/>
      <c r="I29" s="14"/>
      <c r="J29" s="14"/>
      <c r="K29" s="14"/>
      <c r="L29" s="14"/>
    </row>
    <row r="30" ht="15">
      <c r="B30" s="26"/>
    </row>
    <row r="31" ht="15" thickBot="1"/>
    <row r="32" spans="2:3" ht="15" thickBot="1">
      <c r="B32" s="84"/>
      <c r="C32" s="87">
        <v>2020</v>
      </c>
    </row>
    <row r="33" spans="2:3" ht="15">
      <c r="B33" s="112" t="s">
        <v>146</v>
      </c>
      <c r="C33" s="219">
        <f>107.046313588364/100</f>
        <v>1.07046313588364</v>
      </c>
    </row>
    <row r="34" spans="2:3" ht="15" thickBot="1">
      <c r="B34" s="113" t="s">
        <v>147</v>
      </c>
      <c r="C34" s="220">
        <f>38.4230340801737/100</f>
        <v>0.384230340801737</v>
      </c>
    </row>
  </sheetData>
  <mergeCells count="7">
    <mergeCell ref="K15:L15"/>
    <mergeCell ref="B15:B16"/>
    <mergeCell ref="C15:C16"/>
    <mergeCell ref="D15:D16"/>
    <mergeCell ref="E15:F15"/>
    <mergeCell ref="G15:H15"/>
    <mergeCell ref="I15:J15"/>
  </mergeCells>
  <conditionalFormatting sqref="C30">
    <cfRule type="cellIs" priority="13" dxfId="1" operator="equal">
      <formula>FALSE</formula>
    </cfRule>
    <cfRule type="cellIs" priority="14" dxfId="0" operator="equal">
      <formula>TRUE</formula>
    </cfRule>
  </conditionalFormatting>
  <conditionalFormatting sqref="E30">
    <cfRule type="cellIs" priority="11" dxfId="1" operator="equal">
      <formula>FALSE</formula>
    </cfRule>
    <cfRule type="cellIs" priority="12" dxfId="0" operator="equal">
      <formula>TRUE</formula>
    </cfRule>
  </conditionalFormatting>
  <conditionalFormatting sqref="F30">
    <cfRule type="cellIs" priority="9" dxfId="1" operator="equal">
      <formula>FALSE</formula>
    </cfRule>
    <cfRule type="cellIs" priority="10" dxfId="0" operator="equal">
      <formula>TRUE</formula>
    </cfRule>
  </conditionalFormatting>
  <conditionalFormatting sqref="K30">
    <cfRule type="cellIs" priority="7" dxfId="1" operator="equal">
      <formula>FALSE</formula>
    </cfRule>
    <cfRule type="cellIs" priority="8" dxfId="0" operator="equal">
      <formula>TRUE</formula>
    </cfRule>
  </conditionalFormatting>
  <conditionalFormatting sqref="L30">
    <cfRule type="cellIs" priority="5" dxfId="1" operator="equal">
      <formula>FALSE</formula>
    </cfRule>
    <cfRule type="cellIs" priority="6" dxfId="0" operator="equal">
      <formula>TRUE</formula>
    </cfRule>
  </conditionalFormatting>
  <conditionalFormatting sqref="N17:N27">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C7"/>
  <sheetViews>
    <sheetView zoomScale="90" zoomScaleNormal="90" workbookViewId="0" topLeftCell="A1">
      <selection activeCell="D1" sqref="D1"/>
    </sheetView>
  </sheetViews>
  <sheetFormatPr defaultColWidth="8.7109375" defaultRowHeight="15"/>
  <cols>
    <col min="1" max="1" width="5.00390625" style="5" bestFit="1" customWidth="1"/>
    <col min="2" max="2" width="42.7109375" style="5" bestFit="1" customWidth="1"/>
    <col min="3" max="3" width="20.7109375" style="5" bestFit="1" customWidth="1"/>
    <col min="4" max="4" width="8.7109375" style="5"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52</v>
      </c>
    </row>
    <row r="2" ht="4.5" customHeight="1"/>
    <row r="3" spans="2:3" ht="15">
      <c r="B3" s="7" t="s">
        <v>175</v>
      </c>
      <c r="C3" s="28" t="s">
        <v>54</v>
      </c>
    </row>
    <row r="4" spans="2:3" ht="15">
      <c r="B4" s="27" t="s">
        <v>53</v>
      </c>
      <c r="C4" s="28" t="s">
        <v>396</v>
      </c>
    </row>
    <row r="5" ht="14.25" customHeight="1">
      <c r="C5" s="4" t="s">
        <v>145</v>
      </c>
    </row>
    <row r="6" ht="14.25" customHeight="1"/>
    <row r="7" ht="15">
      <c r="B7" s="5" t="s">
        <v>318</v>
      </c>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34"/>
  <sheetViews>
    <sheetView zoomScale="70" zoomScaleNormal="70" workbookViewId="0" topLeftCell="A1">
      <selection activeCell="E1" sqref="E1"/>
    </sheetView>
  </sheetViews>
  <sheetFormatPr defaultColWidth="8.7109375" defaultRowHeight="15"/>
  <cols>
    <col min="1" max="1" width="5.00390625" style="5" bestFit="1" customWidth="1"/>
    <col min="2" max="2" width="42.7109375" style="5" bestFit="1" customWidth="1"/>
    <col min="3" max="3" width="20.7109375" style="5" bestFit="1" customWidth="1"/>
    <col min="4" max="4" width="14.00390625" style="5"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55</v>
      </c>
    </row>
    <row r="2" ht="4.5" customHeight="1"/>
    <row r="3" spans="2:3" ht="15">
      <c r="B3" s="7" t="s">
        <v>201</v>
      </c>
      <c r="C3" s="28" t="s">
        <v>56</v>
      </c>
    </row>
    <row r="4" spans="2:3" ht="15">
      <c r="B4" s="27" t="s">
        <v>202</v>
      </c>
      <c r="C4" s="28" t="s">
        <v>144</v>
      </c>
    </row>
    <row r="5" ht="14.25" customHeight="1">
      <c r="C5" s="4" t="s">
        <v>145</v>
      </c>
    </row>
    <row r="6" ht="14.25" customHeight="1" thickBot="1"/>
    <row r="7" spans="2:4" ht="16.5" customHeight="1" thickBot="1">
      <c r="B7" s="84"/>
      <c r="C7" s="85" t="s">
        <v>3</v>
      </c>
      <c r="D7" s="9"/>
    </row>
    <row r="8" spans="1:3" ht="15">
      <c r="A8" s="10">
        <v>1</v>
      </c>
      <c r="B8" s="82" t="s">
        <v>0</v>
      </c>
      <c r="C8" s="46">
        <f>640.046/1000</f>
        <v>0.640046</v>
      </c>
    </row>
    <row r="9" spans="1:3" ht="15">
      <c r="A9" s="10">
        <v>2</v>
      </c>
      <c r="B9" s="11" t="s">
        <v>8</v>
      </c>
      <c r="C9" s="29">
        <v>0</v>
      </c>
    </row>
    <row r="10" spans="1:3" ht="15">
      <c r="A10" s="10">
        <v>3</v>
      </c>
      <c r="B10" s="12" t="s">
        <v>2</v>
      </c>
      <c r="C10" s="41">
        <f>C8-C9</f>
        <v>0.640046</v>
      </c>
    </row>
    <row r="11" spans="1:3" ht="15">
      <c r="A11" s="10">
        <v>6</v>
      </c>
      <c r="B11" s="11" t="s">
        <v>25</v>
      </c>
      <c r="C11" s="29">
        <f>42.77375/1000</f>
        <v>0.04277375</v>
      </c>
    </row>
    <row r="12" spans="2:3" ht="15" thickBot="1">
      <c r="B12" s="13" t="s">
        <v>26</v>
      </c>
      <c r="C12" s="42">
        <f>IF(ISNUMBER(C11)=TRUE,C10-C11,C10)</f>
        <v>0.5972722500000001</v>
      </c>
    </row>
    <row r="13" spans="2:3" ht="15">
      <c r="B13" s="14"/>
      <c r="C13" s="15"/>
    </row>
    <row r="14" spans="2:3" ht="15" thickBot="1">
      <c r="B14" s="16"/>
      <c r="C14" s="17"/>
    </row>
    <row r="15" spans="2:14" ht="16.5" customHeight="1">
      <c r="B15" s="389" t="s">
        <v>1</v>
      </c>
      <c r="C15" s="391" t="s">
        <v>3</v>
      </c>
      <c r="D15" s="393" t="s">
        <v>4</v>
      </c>
      <c r="E15" s="395" t="s">
        <v>5</v>
      </c>
      <c r="F15" s="396"/>
      <c r="G15" s="395" t="s">
        <v>6</v>
      </c>
      <c r="H15" s="396"/>
      <c r="I15" s="395" t="s">
        <v>12</v>
      </c>
      <c r="J15" s="396"/>
      <c r="K15" s="387" t="s">
        <v>7</v>
      </c>
      <c r="L15" s="388"/>
      <c r="N15" s="26"/>
    </row>
    <row r="16" spans="2:12" ht="15" thickBot="1">
      <c r="B16" s="390"/>
      <c r="C16" s="392"/>
      <c r="D16" s="394"/>
      <c r="E16" s="79" t="s">
        <v>10</v>
      </c>
      <c r="F16" s="80" t="s">
        <v>11</v>
      </c>
      <c r="G16" s="79" t="s">
        <v>10</v>
      </c>
      <c r="H16" s="80" t="s">
        <v>11</v>
      </c>
      <c r="I16" s="79" t="s">
        <v>10</v>
      </c>
      <c r="J16" s="80" t="s">
        <v>11</v>
      </c>
      <c r="K16" s="79" t="s">
        <v>10</v>
      </c>
      <c r="L16" s="81" t="s">
        <v>11</v>
      </c>
    </row>
    <row r="17" spans="1:14" ht="15">
      <c r="A17" s="10">
        <v>7</v>
      </c>
      <c r="B17" s="74" t="s">
        <v>27</v>
      </c>
      <c r="C17" s="75">
        <v>0</v>
      </c>
      <c r="D17" s="75">
        <v>0</v>
      </c>
      <c r="E17" s="75">
        <v>0</v>
      </c>
      <c r="F17" s="78"/>
      <c r="G17" s="77">
        <v>0</v>
      </c>
      <c r="H17" s="78"/>
      <c r="I17" s="77">
        <v>0</v>
      </c>
      <c r="J17" s="78"/>
      <c r="K17" s="77"/>
      <c r="L17" s="78"/>
      <c r="N17" s="27"/>
    </row>
    <row r="18" spans="1:14" ht="15">
      <c r="A18" s="10">
        <v>8</v>
      </c>
      <c r="B18" s="18" t="s">
        <v>28</v>
      </c>
      <c r="C18" s="148">
        <v>0</v>
      </c>
      <c r="D18" s="148">
        <v>0</v>
      </c>
      <c r="E18" s="148">
        <v>0</v>
      </c>
      <c r="F18" s="21"/>
      <c r="G18" s="77">
        <v>0</v>
      </c>
      <c r="H18" s="21"/>
      <c r="I18" s="77">
        <v>0</v>
      </c>
      <c r="J18" s="21"/>
      <c r="K18" s="20"/>
      <c r="L18" s="21"/>
      <c r="N18" s="27"/>
    </row>
    <row r="19" spans="1:14" ht="15">
      <c r="A19" s="10">
        <v>10</v>
      </c>
      <c r="B19" s="18" t="s">
        <v>29</v>
      </c>
      <c r="C19" s="148">
        <v>0</v>
      </c>
      <c r="D19" s="148">
        <v>0</v>
      </c>
      <c r="E19" s="148">
        <v>0</v>
      </c>
      <c r="F19" s="21"/>
      <c r="G19" s="77">
        <v>0</v>
      </c>
      <c r="H19" s="21"/>
      <c r="I19" s="77">
        <v>0</v>
      </c>
      <c r="J19" s="21"/>
      <c r="K19" s="20"/>
      <c r="L19" s="21"/>
      <c r="N19" s="27"/>
    </row>
    <row r="20" spans="1:14" ht="15">
      <c r="A20" s="10">
        <v>11</v>
      </c>
      <c r="B20" s="18" t="s">
        <v>30</v>
      </c>
      <c r="C20" s="148">
        <v>0</v>
      </c>
      <c r="D20" s="148">
        <v>0</v>
      </c>
      <c r="E20" s="148">
        <v>0</v>
      </c>
      <c r="F20" s="21"/>
      <c r="G20" s="77">
        <v>0</v>
      </c>
      <c r="H20" s="21"/>
      <c r="I20" s="77">
        <v>0</v>
      </c>
      <c r="J20" s="21"/>
      <c r="K20" s="20"/>
      <c r="L20" s="21"/>
      <c r="N20" s="27"/>
    </row>
    <row r="21" spans="1:14" ht="15">
      <c r="A21" s="10" t="s">
        <v>31</v>
      </c>
      <c r="B21" s="18" t="s">
        <v>32</v>
      </c>
      <c r="C21" s="148">
        <v>0</v>
      </c>
      <c r="D21" s="148">
        <v>0</v>
      </c>
      <c r="E21" s="148">
        <v>0</v>
      </c>
      <c r="F21" s="21"/>
      <c r="G21" s="77">
        <v>0</v>
      </c>
      <c r="H21" s="21"/>
      <c r="I21" s="77">
        <v>0</v>
      </c>
      <c r="J21" s="21"/>
      <c r="K21" s="20"/>
      <c r="L21" s="21"/>
      <c r="N21" s="27"/>
    </row>
    <row r="22" spans="1:14" ht="15">
      <c r="A22" s="10" t="s">
        <v>33</v>
      </c>
      <c r="B22" s="18" t="s">
        <v>34</v>
      </c>
      <c r="C22" s="210">
        <f>566.323870998919/1000</f>
        <v>0.566323870998919</v>
      </c>
      <c r="D22" s="224">
        <f>2069.58814665997/1000</f>
        <v>2.06958814665997</v>
      </c>
      <c r="E22" s="52">
        <f>C22*D22</f>
        <v>1.1720571705899527</v>
      </c>
      <c r="F22" s="21"/>
      <c r="G22" s="77">
        <v>0</v>
      </c>
      <c r="H22" s="21"/>
      <c r="I22" s="77">
        <v>0</v>
      </c>
      <c r="J22" s="21"/>
      <c r="K22" s="20"/>
      <c r="L22" s="21"/>
      <c r="N22" s="27"/>
    </row>
    <row r="23" spans="1:14" ht="15">
      <c r="A23" s="10" t="s">
        <v>35</v>
      </c>
      <c r="B23" s="18" t="s">
        <v>36</v>
      </c>
      <c r="C23" s="306">
        <v>0</v>
      </c>
      <c r="D23" s="302">
        <v>0</v>
      </c>
      <c r="E23" s="148">
        <v>0</v>
      </c>
      <c r="F23" s="21"/>
      <c r="G23" s="77">
        <v>0</v>
      </c>
      <c r="H23" s="21"/>
      <c r="I23" s="77">
        <v>0</v>
      </c>
      <c r="J23" s="21"/>
      <c r="K23" s="20"/>
      <c r="L23" s="21"/>
      <c r="N23" s="27"/>
    </row>
    <row r="24" spans="1:14" ht="15">
      <c r="A24" s="10">
        <v>13</v>
      </c>
      <c r="B24" s="18" t="s">
        <v>37</v>
      </c>
      <c r="C24" s="306">
        <v>0</v>
      </c>
      <c r="D24" s="302">
        <v>0</v>
      </c>
      <c r="E24" s="148">
        <v>0</v>
      </c>
      <c r="F24" s="21"/>
      <c r="G24" s="77">
        <v>0</v>
      </c>
      <c r="H24" s="21"/>
      <c r="I24" s="77">
        <v>0</v>
      </c>
      <c r="J24" s="21"/>
      <c r="K24" s="20"/>
      <c r="L24" s="21"/>
      <c r="N24" s="27"/>
    </row>
    <row r="25" spans="1:14" s="111" customFormat="1" ht="15">
      <c r="A25" s="10">
        <v>4</v>
      </c>
      <c r="B25" s="201" t="s">
        <v>63</v>
      </c>
      <c r="C25" s="210">
        <f>100.864553733752/1000</f>
        <v>0.100864553733752</v>
      </c>
      <c r="D25" s="224">
        <f>2066.1549891177/1000</f>
        <v>2.0661549891177002</v>
      </c>
      <c r="E25" s="52">
        <f>C25*D25</f>
        <v>0.20840180092212204</v>
      </c>
      <c r="F25" s="150"/>
      <c r="G25" s="77">
        <v>0</v>
      </c>
      <c r="H25" s="150"/>
      <c r="I25" s="77">
        <v>0</v>
      </c>
      <c r="J25" s="150"/>
      <c r="K25" s="52"/>
      <c r="L25" s="150"/>
      <c r="N25" s="27"/>
    </row>
    <row r="26" spans="1:14" s="111" customFormat="1" ht="15">
      <c r="A26" s="10">
        <v>14</v>
      </c>
      <c r="B26" s="201" t="s">
        <v>64</v>
      </c>
      <c r="C26" s="210">
        <f>131.812932734833/1000</f>
        <v>0.131812932734833</v>
      </c>
      <c r="D26" s="224">
        <f>2069.58814665997/1000</f>
        <v>2.06958814665997</v>
      </c>
      <c r="E26" s="52">
        <f>C26*D26</f>
        <v>0.2727984831644983</v>
      </c>
      <c r="F26" s="150"/>
      <c r="G26" s="77">
        <v>0</v>
      </c>
      <c r="H26" s="150"/>
      <c r="I26" s="77">
        <v>0</v>
      </c>
      <c r="J26" s="150"/>
      <c r="K26" s="52"/>
      <c r="L26" s="150"/>
      <c r="N26" s="27"/>
    </row>
    <row r="27" spans="1:14" ht="15" thickBot="1">
      <c r="A27" s="10">
        <v>16</v>
      </c>
      <c r="B27" s="18" t="s">
        <v>21</v>
      </c>
      <c r="C27" s="226">
        <f>C26-C25</f>
        <v>0.030948379001080994</v>
      </c>
      <c r="D27" s="224" t="s">
        <v>143</v>
      </c>
      <c r="E27" s="20">
        <f>(C26*D26)-(C25*D25)</f>
        <v>0.06439668224237624</v>
      </c>
      <c r="F27" s="21"/>
      <c r="G27" s="77">
        <v>0</v>
      </c>
      <c r="H27" s="21"/>
      <c r="I27" s="77">
        <v>0</v>
      </c>
      <c r="J27" s="21"/>
      <c r="K27" s="20"/>
      <c r="L27" s="21"/>
      <c r="N27" s="27"/>
    </row>
    <row r="28" spans="1:12" ht="15" thickBot="1">
      <c r="A28" s="10">
        <v>17</v>
      </c>
      <c r="B28" s="22" t="s">
        <v>9</v>
      </c>
      <c r="C28" s="227">
        <f>C17+C19+C20+C21+C22+C26-C25</f>
        <v>0.59727225</v>
      </c>
      <c r="D28" s="230"/>
      <c r="E28" s="227">
        <f>E17+E19+E20+E21+E22+E26-E25</f>
        <v>1.236453852832329</v>
      </c>
      <c r="F28" s="228">
        <f>E28/C33</f>
        <v>1.2377784157014167</v>
      </c>
      <c r="G28" s="227">
        <v>0</v>
      </c>
      <c r="H28" s="228">
        <v>0</v>
      </c>
      <c r="I28" s="227">
        <v>0</v>
      </c>
      <c r="J28" s="228">
        <v>0</v>
      </c>
      <c r="K28" s="227">
        <f>E28+G28-I28</f>
        <v>1.236453852832329</v>
      </c>
      <c r="L28" s="228">
        <f>F28+H28-J28</f>
        <v>1.2377784157014167</v>
      </c>
    </row>
    <row r="29" spans="3:12" ht="15">
      <c r="C29" s="14"/>
      <c r="E29" s="14"/>
      <c r="F29" s="14"/>
      <c r="G29" s="14"/>
      <c r="H29" s="14"/>
      <c r="I29" s="14"/>
      <c r="J29" s="14"/>
      <c r="K29" s="14"/>
      <c r="L29" s="14"/>
    </row>
    <row r="30" ht="15">
      <c r="B30" s="26"/>
    </row>
    <row r="31" ht="15" thickBot="1"/>
    <row r="32" spans="2:3" ht="15" thickBot="1">
      <c r="B32" s="84"/>
      <c r="C32" s="87">
        <v>2020</v>
      </c>
    </row>
    <row r="33" spans="2:3" ht="15">
      <c r="B33" s="112" t="s">
        <v>146</v>
      </c>
      <c r="C33" s="219">
        <f>99.8929886922986/100</f>
        <v>0.998929886922986</v>
      </c>
    </row>
    <row r="34" spans="2:3" ht="15" thickBot="1">
      <c r="B34" s="113" t="s">
        <v>147</v>
      </c>
      <c r="C34" s="220">
        <f>133.284369377537/100</f>
        <v>1.3328436937753698</v>
      </c>
    </row>
  </sheetData>
  <mergeCells count="7">
    <mergeCell ref="K15:L15"/>
    <mergeCell ref="B15:B16"/>
    <mergeCell ref="C15:C16"/>
    <mergeCell ref="D15:D16"/>
    <mergeCell ref="E15:F15"/>
    <mergeCell ref="G15:H15"/>
    <mergeCell ref="I15:J15"/>
  </mergeCells>
  <conditionalFormatting sqref="C30">
    <cfRule type="cellIs" priority="13" dxfId="1" operator="equal">
      <formula>FALSE</formula>
    </cfRule>
    <cfRule type="cellIs" priority="14" dxfId="0" operator="equal">
      <formula>TRUE</formula>
    </cfRule>
  </conditionalFormatting>
  <conditionalFormatting sqref="E30">
    <cfRule type="cellIs" priority="11" dxfId="1" operator="equal">
      <formula>FALSE</formula>
    </cfRule>
    <cfRule type="cellIs" priority="12" dxfId="0" operator="equal">
      <formula>TRUE</formula>
    </cfRule>
  </conditionalFormatting>
  <conditionalFormatting sqref="F30">
    <cfRule type="cellIs" priority="9" dxfId="1" operator="equal">
      <formula>FALSE</formula>
    </cfRule>
    <cfRule type="cellIs" priority="10" dxfId="0" operator="equal">
      <formula>TRUE</formula>
    </cfRule>
  </conditionalFormatting>
  <conditionalFormatting sqref="K30">
    <cfRule type="cellIs" priority="7" dxfId="1" operator="equal">
      <formula>FALSE</formula>
    </cfRule>
    <cfRule type="cellIs" priority="8" dxfId="0" operator="equal">
      <formula>TRUE</formula>
    </cfRule>
  </conditionalFormatting>
  <conditionalFormatting sqref="L30">
    <cfRule type="cellIs" priority="5" dxfId="1" operator="equal">
      <formula>FALSE</formula>
    </cfRule>
    <cfRule type="cellIs" priority="6" dxfId="0" operator="equal">
      <formula>TRUE</formula>
    </cfRule>
  </conditionalFormatting>
  <conditionalFormatting sqref="N17:N27">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50"/>
  <sheetViews>
    <sheetView zoomScale="70" zoomScaleNormal="70" workbookViewId="0" topLeftCell="A1">
      <selection activeCell="E3" sqref="E3"/>
    </sheetView>
  </sheetViews>
  <sheetFormatPr defaultColWidth="8.7109375" defaultRowHeight="15"/>
  <cols>
    <col min="1" max="1" width="5.00390625" style="5" bestFit="1" customWidth="1"/>
    <col min="2" max="2" width="42.7109375" style="5" bestFit="1" customWidth="1"/>
    <col min="3" max="4" width="20.7109375" style="5" customWidth="1"/>
    <col min="5" max="5" width="14.28125" style="5" bestFit="1" customWidth="1"/>
    <col min="6" max="6" width="21.00390625" style="5" customWidth="1"/>
    <col min="7" max="7" width="14.7109375" style="5" customWidth="1"/>
    <col min="8" max="8" width="19.7109375" style="5" customWidth="1"/>
    <col min="9"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65</v>
      </c>
    </row>
    <row r="2" ht="4.5" customHeight="1"/>
    <row r="3" spans="2:3" ht="15">
      <c r="B3" s="7" t="s">
        <v>203</v>
      </c>
      <c r="C3" s="28" t="s">
        <v>57</v>
      </c>
    </row>
    <row r="4" spans="2:3" ht="15">
      <c r="B4" s="27" t="s">
        <v>204</v>
      </c>
      <c r="C4" s="4" t="s">
        <v>144</v>
      </c>
    </row>
    <row r="5" spans="3:6" ht="14.25" customHeight="1">
      <c r="C5" s="4" t="s">
        <v>145</v>
      </c>
      <c r="E5" s="154"/>
      <c r="F5" s="154"/>
    </row>
    <row r="6" spans="3:8" ht="14.25" customHeight="1" thickBot="1">
      <c r="C6" s="400" t="s">
        <v>205</v>
      </c>
      <c r="D6" s="400"/>
      <c r="E6" s="400" t="s">
        <v>206</v>
      </c>
      <c r="F6" s="400"/>
      <c r="G6" s="400" t="s">
        <v>207</v>
      </c>
      <c r="H6" s="400"/>
    </row>
    <row r="7" spans="2:8" ht="16.5" customHeight="1" thickBot="1">
      <c r="B7" s="316"/>
      <c r="C7" s="317" t="s">
        <v>66</v>
      </c>
      <c r="D7" s="317" t="s">
        <v>58</v>
      </c>
      <c r="E7" s="317" t="s">
        <v>66</v>
      </c>
      <c r="F7" s="317" t="s">
        <v>58</v>
      </c>
      <c r="G7" s="317" t="s">
        <v>66</v>
      </c>
      <c r="H7" s="317" t="s">
        <v>58</v>
      </c>
    </row>
    <row r="8" spans="2:8" ht="14.55" customHeight="1">
      <c r="B8" s="318" t="s">
        <v>59</v>
      </c>
      <c r="C8" s="319">
        <f>21032/1000</f>
        <v>21.032</v>
      </c>
      <c r="D8" s="320">
        <f>8003/1000</f>
        <v>8.003</v>
      </c>
      <c r="E8" s="319">
        <f>16880/1000</f>
        <v>16.88</v>
      </c>
      <c r="F8" s="320">
        <f>10128/1000</f>
        <v>10.128</v>
      </c>
      <c r="G8" s="321">
        <f>C8+E8</f>
        <v>37.912</v>
      </c>
      <c r="H8" s="322">
        <f>D8+F8</f>
        <v>18.131</v>
      </c>
    </row>
    <row r="9" spans="2:8" s="111" customFormat="1" ht="14.55" customHeight="1">
      <c r="B9" s="318" t="s">
        <v>208</v>
      </c>
      <c r="C9" s="319">
        <f>18653/1000</f>
        <v>18.653</v>
      </c>
      <c r="D9" s="320">
        <f>6910/1000</f>
        <v>6.91</v>
      </c>
      <c r="E9" s="319">
        <f>16515/1000</f>
        <v>16.515</v>
      </c>
      <c r="F9" s="323">
        <f>9909/1000</f>
        <v>9.909</v>
      </c>
      <c r="G9" s="324">
        <f>C9+E9</f>
        <v>35.168</v>
      </c>
      <c r="H9" s="325">
        <f aca="true" t="shared" si="0" ref="H9">D9+F9</f>
        <v>16.819000000000003</v>
      </c>
    </row>
    <row r="10" spans="2:8" s="111" customFormat="1" ht="14.55" customHeight="1">
      <c r="B10" s="318" t="s">
        <v>209</v>
      </c>
      <c r="C10" s="319">
        <f>2379/1000</f>
        <v>2.379</v>
      </c>
      <c r="D10" s="320">
        <f>1093/1000</f>
        <v>1.093</v>
      </c>
      <c r="E10" s="319">
        <f>365/1000</f>
        <v>0.365</v>
      </c>
      <c r="F10" s="320">
        <f>219/1000</f>
        <v>0.219</v>
      </c>
      <c r="G10" s="326">
        <f>C10+E10</f>
        <v>2.7439999999999998</v>
      </c>
      <c r="H10" s="327">
        <f>D10+F10</f>
        <v>1.312</v>
      </c>
    </row>
    <row r="11" spans="2:8" ht="14.55" customHeight="1">
      <c r="B11" s="328" t="s">
        <v>61</v>
      </c>
      <c r="C11" s="319">
        <f>37/1000</f>
        <v>0.037</v>
      </c>
      <c r="D11" s="320">
        <f>11/1000</f>
        <v>0.011</v>
      </c>
      <c r="E11" s="319">
        <v>0</v>
      </c>
      <c r="F11" s="320">
        <v>0</v>
      </c>
      <c r="G11" s="329">
        <f aca="true" t="shared" si="1" ref="G11:G12">C11+E11</f>
        <v>0.037</v>
      </c>
      <c r="H11" s="330">
        <f aca="true" t="shared" si="2" ref="H11:H12">D11+F11</f>
        <v>0.011</v>
      </c>
    </row>
    <row r="12" spans="2:8" ht="14.55" customHeight="1">
      <c r="B12" s="328" t="s">
        <v>62</v>
      </c>
      <c r="C12" s="319">
        <f>50833/1000</f>
        <v>50.833</v>
      </c>
      <c r="D12" s="320">
        <f>7994/1000</f>
        <v>7.994</v>
      </c>
      <c r="E12" s="319">
        <f>7260/1000</f>
        <v>7.26</v>
      </c>
      <c r="F12" s="320">
        <f>3236/1000</f>
        <v>3.236</v>
      </c>
      <c r="G12" s="329">
        <f t="shared" si="1"/>
        <v>58.092999999999996</v>
      </c>
      <c r="H12" s="330">
        <f t="shared" si="2"/>
        <v>11.23</v>
      </c>
    </row>
    <row r="13" spans="2:8" ht="14.55" customHeight="1" thickBot="1">
      <c r="B13" s="331" t="s">
        <v>60</v>
      </c>
      <c r="C13" s="332">
        <f>C8-C11+C12</f>
        <v>71.828</v>
      </c>
      <c r="D13" s="332">
        <f>D8-D11+D12</f>
        <v>15.986</v>
      </c>
      <c r="E13" s="332">
        <f aca="true" t="shared" si="3" ref="E13:H13">E8-E11+E12</f>
        <v>24.14</v>
      </c>
      <c r="F13" s="332">
        <f t="shared" si="3"/>
        <v>13.364</v>
      </c>
      <c r="G13" s="333">
        <f t="shared" si="3"/>
        <v>95.96799999999999</v>
      </c>
      <c r="H13" s="332">
        <f t="shared" si="3"/>
        <v>29.35</v>
      </c>
    </row>
    <row r="14" spans="2:6" ht="14.25" customHeight="1">
      <c r="B14" s="33"/>
      <c r="C14" s="34"/>
      <c r="D14" s="34"/>
      <c r="E14" s="154"/>
      <c r="F14" s="154"/>
    </row>
    <row r="15" spans="5:6" ht="14.25" customHeight="1">
      <c r="E15" s="154"/>
      <c r="F15" s="154"/>
    </row>
    <row r="16" spans="3:8" ht="14.25" customHeight="1" thickBot="1">
      <c r="C16" s="400" t="s">
        <v>205</v>
      </c>
      <c r="D16" s="400"/>
      <c r="E16" s="400" t="s">
        <v>206</v>
      </c>
      <c r="F16" s="400"/>
      <c r="G16" s="400" t="s">
        <v>207</v>
      </c>
      <c r="H16" s="400"/>
    </row>
    <row r="17" spans="2:8" ht="16.5" customHeight="1" thickBot="1">
      <c r="B17" s="316"/>
      <c r="C17" s="317" t="s">
        <v>66</v>
      </c>
      <c r="D17" s="317" t="s">
        <v>58</v>
      </c>
      <c r="E17" s="317" t="s">
        <v>66</v>
      </c>
      <c r="F17" s="317" t="s">
        <v>58</v>
      </c>
      <c r="G17" s="317" t="s">
        <v>66</v>
      </c>
      <c r="H17" s="317" t="s">
        <v>58</v>
      </c>
    </row>
    <row r="18" spans="2:8" ht="14.55" customHeight="1">
      <c r="B18" s="318" t="s">
        <v>63</v>
      </c>
      <c r="C18" s="319">
        <f>168940/1000</f>
        <v>168.94</v>
      </c>
      <c r="D18" s="320">
        <f>56928.4/1000</f>
        <v>56.9284</v>
      </c>
      <c r="E18" s="319">
        <f>85029/1000</f>
        <v>85.029</v>
      </c>
      <c r="F18" s="320">
        <f>48977/1000</f>
        <v>48.977</v>
      </c>
      <c r="G18" s="319">
        <f>C18+E18</f>
        <v>253.969</v>
      </c>
      <c r="H18" s="320">
        <f>D18+F18</f>
        <v>105.9054</v>
      </c>
    </row>
    <row r="19" spans="2:8" ht="14.55" customHeight="1">
      <c r="B19" s="334" t="s">
        <v>64</v>
      </c>
      <c r="C19" s="335">
        <f>168961/1000</f>
        <v>168.961</v>
      </c>
      <c r="D19" s="336">
        <f>57045.4/1000</f>
        <v>57.0454</v>
      </c>
      <c r="E19" s="335">
        <f>84348/1000</f>
        <v>84.348</v>
      </c>
      <c r="F19" s="336">
        <f>48584/1000</f>
        <v>48.584</v>
      </c>
      <c r="G19" s="337">
        <f>C19+E19</f>
        <v>253.30900000000003</v>
      </c>
      <c r="H19" s="338">
        <f>D19+F19</f>
        <v>105.6294</v>
      </c>
    </row>
    <row r="20" spans="2:8" s="111" customFormat="1" ht="14.55" customHeight="1" thickBot="1">
      <c r="B20" s="339" t="s">
        <v>21</v>
      </c>
      <c r="C20" s="340">
        <f>C19-C18</f>
        <v>0.021000000000015007</v>
      </c>
      <c r="D20" s="340">
        <f aca="true" t="shared" si="4" ref="D20:F20">D19-D18</f>
        <v>0.11699999999999733</v>
      </c>
      <c r="E20" s="340">
        <f t="shared" si="4"/>
        <v>-0.6809999999999974</v>
      </c>
      <c r="F20" s="340">
        <f t="shared" si="4"/>
        <v>-0.3929999999999936</v>
      </c>
      <c r="G20" s="340">
        <f aca="true" t="shared" si="5" ref="G20">G19-G18</f>
        <v>-0.6599999999999682</v>
      </c>
      <c r="H20" s="340">
        <f aca="true" t="shared" si="6" ref="H20">H19-H18</f>
        <v>-0.27599999999999625</v>
      </c>
    </row>
    <row r="21" ht="14.25" customHeight="1">
      <c r="H21" s="65"/>
    </row>
    <row r="22" spans="3:4" ht="14.25" customHeight="1" thickBot="1">
      <c r="C22" s="152"/>
      <c r="D22" s="153"/>
    </row>
    <row r="23" spans="2:4" ht="16.5" customHeight="1" thickBot="1">
      <c r="B23" s="84"/>
      <c r="C23" s="85" t="s">
        <v>3</v>
      </c>
      <c r="D23" s="155"/>
    </row>
    <row r="24" spans="1:4" ht="14.55" customHeight="1">
      <c r="A24" s="10">
        <v>1</v>
      </c>
      <c r="B24" s="82" t="s">
        <v>0</v>
      </c>
      <c r="C24" s="83">
        <f>35910.4/1000</f>
        <v>35.9104</v>
      </c>
      <c r="D24" s="34"/>
    </row>
    <row r="25" spans="1:4" ht="15">
      <c r="A25" s="10">
        <v>2</v>
      </c>
      <c r="B25" s="11" t="s">
        <v>8</v>
      </c>
      <c r="C25" s="29">
        <f>6835/1000</f>
        <v>6.835</v>
      </c>
      <c r="D25" s="34"/>
    </row>
    <row r="26" spans="1:4" ht="15" thickBot="1">
      <c r="A26" s="10">
        <v>3</v>
      </c>
      <c r="B26" s="13" t="s">
        <v>2</v>
      </c>
      <c r="C26" s="42">
        <f>C24-C25</f>
        <v>29.075400000000002</v>
      </c>
      <c r="D26" s="156"/>
    </row>
    <row r="27" spans="1:4" ht="15">
      <c r="A27" s="10">
        <v>7</v>
      </c>
      <c r="B27" s="11" t="s">
        <v>27</v>
      </c>
      <c r="C27" s="29">
        <v>0</v>
      </c>
      <c r="D27" s="34"/>
    </row>
    <row r="28" spans="2:4" ht="15" thickBot="1">
      <c r="B28" s="13" t="s">
        <v>77</v>
      </c>
      <c r="C28" s="42">
        <f>IF(ISNUMBER(C27)=TRUE,C26-C27,C26)</f>
        <v>29.075400000000002</v>
      </c>
      <c r="D28" s="156"/>
    </row>
    <row r="29" spans="2:3" ht="15">
      <c r="B29" s="14"/>
      <c r="C29" s="15"/>
    </row>
    <row r="30" spans="2:3" ht="15" thickBot="1">
      <c r="B30" s="16"/>
      <c r="C30" s="17"/>
    </row>
    <row r="31" spans="2:14" ht="16.5" customHeight="1">
      <c r="B31" s="389" t="s">
        <v>1</v>
      </c>
      <c r="C31" s="391" t="s">
        <v>3</v>
      </c>
      <c r="D31" s="393" t="s">
        <v>4</v>
      </c>
      <c r="E31" s="395" t="s">
        <v>5</v>
      </c>
      <c r="F31" s="396"/>
      <c r="G31" s="395" t="s">
        <v>6</v>
      </c>
      <c r="H31" s="396"/>
      <c r="I31" s="395" t="s">
        <v>12</v>
      </c>
      <c r="J31" s="396"/>
      <c r="K31" s="387" t="s">
        <v>7</v>
      </c>
      <c r="L31" s="388"/>
      <c r="N31" s="26"/>
    </row>
    <row r="32" spans="2:12" ht="15" thickBot="1">
      <c r="B32" s="390"/>
      <c r="C32" s="392"/>
      <c r="D32" s="394"/>
      <c r="E32" s="79" t="s">
        <v>10</v>
      </c>
      <c r="F32" s="80" t="s">
        <v>11</v>
      </c>
      <c r="G32" s="79" t="s">
        <v>10</v>
      </c>
      <c r="H32" s="80" t="s">
        <v>11</v>
      </c>
      <c r="I32" s="79" t="s">
        <v>10</v>
      </c>
      <c r="J32" s="80" t="s">
        <v>11</v>
      </c>
      <c r="K32" s="88" t="s">
        <v>10</v>
      </c>
      <c r="L32" s="89" t="s">
        <v>11</v>
      </c>
    </row>
    <row r="33" spans="1:14" ht="15">
      <c r="A33" s="10">
        <v>6</v>
      </c>
      <c r="B33" s="45" t="s">
        <v>76</v>
      </c>
      <c r="C33" s="75">
        <v>0</v>
      </c>
      <c r="D33" s="76">
        <v>0</v>
      </c>
      <c r="E33" s="303">
        <v>0</v>
      </c>
      <c r="F33" s="78"/>
      <c r="G33" s="77"/>
      <c r="H33" s="78"/>
      <c r="I33" s="77"/>
      <c r="J33" s="78"/>
      <c r="K33" s="77"/>
      <c r="L33" s="78"/>
      <c r="N33" s="27"/>
    </row>
    <row r="34" spans="1:14" ht="15">
      <c r="A34" s="10">
        <v>8</v>
      </c>
      <c r="B34" s="18" t="s">
        <v>28</v>
      </c>
      <c r="C34" s="31">
        <v>0</v>
      </c>
      <c r="D34" s="19">
        <v>0</v>
      </c>
      <c r="E34" s="307">
        <v>0</v>
      </c>
      <c r="F34" s="21"/>
      <c r="G34" s="20"/>
      <c r="H34" s="21"/>
      <c r="I34" s="20"/>
      <c r="J34" s="21"/>
      <c r="K34" s="20"/>
      <c r="L34" s="21"/>
      <c r="N34" s="27"/>
    </row>
    <row r="35" spans="1:14" ht="15">
      <c r="A35" s="10">
        <v>10</v>
      </c>
      <c r="B35" s="18" t="s">
        <v>29</v>
      </c>
      <c r="C35" s="37">
        <f>51.3/1000</f>
        <v>0.0513</v>
      </c>
      <c r="D35" s="216">
        <f>1083.55/1000</f>
        <v>1.08355</v>
      </c>
      <c r="E35" s="20">
        <f aca="true" t="shared" si="7" ref="E35:E42">C35*D35</f>
        <v>0.055586115</v>
      </c>
      <c r="F35" s="21"/>
      <c r="G35" s="20"/>
      <c r="H35" s="21"/>
      <c r="I35" s="20"/>
      <c r="J35" s="21"/>
      <c r="K35" s="20"/>
      <c r="L35" s="21"/>
      <c r="N35" s="27"/>
    </row>
    <row r="36" spans="1:14" ht="15">
      <c r="A36" s="10">
        <v>11</v>
      </c>
      <c r="B36" s="18" t="s">
        <v>30</v>
      </c>
      <c r="C36" s="37">
        <f>D10</f>
        <v>1.093</v>
      </c>
      <c r="D36" s="216">
        <f>1083.55/1000</f>
        <v>1.08355</v>
      </c>
      <c r="E36" s="20">
        <f t="shared" si="7"/>
        <v>1.18432015</v>
      </c>
      <c r="F36" s="21"/>
      <c r="G36" s="20"/>
      <c r="H36" s="21"/>
      <c r="I36" s="20"/>
      <c r="J36" s="21"/>
      <c r="K36" s="20"/>
      <c r="L36" s="21"/>
      <c r="N36" s="27"/>
    </row>
    <row r="37" spans="1:14" ht="15">
      <c r="A37" s="10" t="s">
        <v>31</v>
      </c>
      <c r="B37" s="18" t="s">
        <v>32</v>
      </c>
      <c r="C37" s="31">
        <v>0</v>
      </c>
      <c r="D37" s="19">
        <v>0</v>
      </c>
      <c r="E37" s="307">
        <f t="shared" si="7"/>
        <v>0</v>
      </c>
      <c r="F37" s="21"/>
      <c r="G37" s="20"/>
      <c r="H37" s="21"/>
      <c r="I37" s="20"/>
      <c r="J37" s="21"/>
      <c r="K37" s="20"/>
      <c r="L37" s="21"/>
      <c r="N37" s="27"/>
    </row>
    <row r="38" spans="1:14" ht="15">
      <c r="A38" s="10" t="s">
        <v>33</v>
      </c>
      <c r="B38" s="18" t="s">
        <v>34</v>
      </c>
      <c r="C38" s="37">
        <f>D9-D11-C35</f>
        <v>6.8477</v>
      </c>
      <c r="D38" s="216">
        <f>1083.55/1000</f>
        <v>1.08355</v>
      </c>
      <c r="E38" s="20">
        <f t="shared" si="7"/>
        <v>7.419825335</v>
      </c>
      <c r="F38" s="21"/>
      <c r="G38" s="20"/>
      <c r="H38" s="21"/>
      <c r="I38" s="20"/>
      <c r="J38" s="21"/>
      <c r="K38" s="20"/>
      <c r="L38" s="21"/>
      <c r="N38" s="27"/>
    </row>
    <row r="39" spans="1:14" ht="15">
      <c r="A39" s="10" t="s">
        <v>35</v>
      </c>
      <c r="B39" s="18" t="s">
        <v>36</v>
      </c>
      <c r="C39" s="37">
        <f>D12</f>
        <v>7.994</v>
      </c>
      <c r="D39" s="216">
        <f>2048.3/1000</f>
        <v>2.0483000000000002</v>
      </c>
      <c r="E39" s="20">
        <f t="shared" si="7"/>
        <v>16.3741102</v>
      </c>
      <c r="F39" s="21"/>
      <c r="G39" s="20"/>
      <c r="H39" s="21"/>
      <c r="I39" s="20"/>
      <c r="J39" s="21"/>
      <c r="K39" s="20"/>
      <c r="L39" s="21"/>
      <c r="N39" s="27"/>
    </row>
    <row r="40" spans="1:14" ht="15">
      <c r="A40" s="10">
        <v>13</v>
      </c>
      <c r="B40" s="18" t="s">
        <v>37</v>
      </c>
      <c r="C40" s="37">
        <f>12971.6/1000</f>
        <v>12.9716</v>
      </c>
      <c r="D40" s="216">
        <f>1356.94/1000</f>
        <v>1.35694</v>
      </c>
      <c r="E40" s="20">
        <f t="shared" si="7"/>
        <v>17.601682904</v>
      </c>
      <c r="F40" s="21"/>
      <c r="G40" s="20"/>
      <c r="H40" s="21"/>
      <c r="I40" s="20"/>
      <c r="J40" s="21"/>
      <c r="K40" s="20"/>
      <c r="L40" s="21"/>
      <c r="N40" s="27"/>
    </row>
    <row r="41" spans="1:14" s="111" customFormat="1" ht="15">
      <c r="A41" s="10"/>
      <c r="B41" s="341" t="s">
        <v>63</v>
      </c>
      <c r="C41" s="56">
        <f>D18</f>
        <v>56.9284</v>
      </c>
      <c r="D41" s="217">
        <f>1116.34/1000</f>
        <v>1.1163399999999999</v>
      </c>
      <c r="E41" s="20">
        <f t="shared" si="7"/>
        <v>63.551450056</v>
      </c>
      <c r="F41" s="150"/>
      <c r="G41" s="52"/>
      <c r="H41" s="150"/>
      <c r="I41" s="52"/>
      <c r="J41" s="150"/>
      <c r="K41" s="52"/>
      <c r="L41" s="150"/>
      <c r="N41" s="27"/>
    </row>
    <row r="42" spans="1:14" s="111" customFormat="1" ht="15">
      <c r="A42" s="10"/>
      <c r="B42" s="341" t="s">
        <v>64</v>
      </c>
      <c r="C42" s="56">
        <f>D19</f>
        <v>57.0454</v>
      </c>
      <c r="D42" s="217">
        <f>1083.55/1000</f>
        <v>1.08355</v>
      </c>
      <c r="E42" s="20">
        <f t="shared" si="7"/>
        <v>61.81154317</v>
      </c>
      <c r="F42" s="150"/>
      <c r="G42" s="52"/>
      <c r="H42" s="150"/>
      <c r="I42" s="52"/>
      <c r="J42" s="150"/>
      <c r="K42" s="52"/>
      <c r="L42" s="150"/>
      <c r="N42" s="27"/>
    </row>
    <row r="43" spans="1:14" ht="15" thickBot="1">
      <c r="A43" s="10">
        <v>16</v>
      </c>
      <c r="B43" s="18" t="s">
        <v>21</v>
      </c>
      <c r="C43" s="37">
        <f>C42-C41</f>
        <v>0.11699999999999733</v>
      </c>
      <c r="D43" s="216"/>
      <c r="E43" s="20">
        <f>E42-E41</f>
        <v>-1.739906886</v>
      </c>
      <c r="F43" s="21"/>
      <c r="G43" s="20"/>
      <c r="H43" s="21"/>
      <c r="I43" s="20"/>
      <c r="J43" s="21"/>
      <c r="K43" s="20"/>
      <c r="L43" s="21"/>
      <c r="N43" s="27"/>
    </row>
    <row r="44" spans="1:12" ht="15" thickBot="1">
      <c r="A44" s="10">
        <v>17</v>
      </c>
      <c r="B44" s="22" t="s">
        <v>9</v>
      </c>
      <c r="C44" s="227">
        <f aca="true" t="shared" si="8" ref="C44">C35+C36+C38+C39+C40+C42-C41</f>
        <v>29.074599999999997</v>
      </c>
      <c r="D44" s="227"/>
      <c r="E44" s="227">
        <f>E35+E36+E38+E39+E40+E42-E41</f>
        <v>40.895617818</v>
      </c>
      <c r="F44" s="228">
        <f>E44/C49</f>
        <v>39.74306882215743</v>
      </c>
      <c r="G44" s="227">
        <f>6694.2/1000</f>
        <v>6.6941999999999995</v>
      </c>
      <c r="H44" s="228">
        <f>G44/0.997</f>
        <v>6.714343029087261</v>
      </c>
      <c r="I44" s="227">
        <v>0</v>
      </c>
      <c r="J44" s="228">
        <v>0</v>
      </c>
      <c r="K44" s="227">
        <f>E44+G44-I44</f>
        <v>47.589817818</v>
      </c>
      <c r="L44" s="228">
        <f>F44+H44-J44</f>
        <v>46.45741185124469</v>
      </c>
    </row>
    <row r="45" spans="3:12" ht="15">
      <c r="C45" s="14"/>
      <c r="E45" s="14"/>
      <c r="F45" s="14"/>
      <c r="G45" s="14"/>
      <c r="H45" s="14"/>
      <c r="I45" s="14"/>
      <c r="J45" s="14"/>
      <c r="K45" s="14"/>
      <c r="L45" s="14"/>
    </row>
    <row r="46" ht="15">
      <c r="B46" s="26"/>
    </row>
    <row r="47" ht="15" thickBot="1"/>
    <row r="48" spans="2:3" ht="15" thickBot="1">
      <c r="B48" s="84"/>
      <c r="C48" s="87">
        <v>2020</v>
      </c>
    </row>
    <row r="49" spans="2:3" ht="15">
      <c r="B49" s="132" t="s">
        <v>146</v>
      </c>
      <c r="C49" s="219">
        <v>1.029</v>
      </c>
    </row>
    <row r="50" spans="2:3" ht="15" thickBot="1">
      <c r="B50" s="136" t="s">
        <v>147</v>
      </c>
      <c r="C50" s="220">
        <v>1.022</v>
      </c>
    </row>
  </sheetData>
  <mergeCells count="13">
    <mergeCell ref="C6:D6"/>
    <mergeCell ref="E6:F6"/>
    <mergeCell ref="G6:H6"/>
    <mergeCell ref="C16:D16"/>
    <mergeCell ref="E16:F16"/>
    <mergeCell ref="G16:H16"/>
    <mergeCell ref="K31:L31"/>
    <mergeCell ref="B31:B32"/>
    <mergeCell ref="C31:C32"/>
    <mergeCell ref="D31:D32"/>
    <mergeCell ref="E31:F31"/>
    <mergeCell ref="G31:H31"/>
    <mergeCell ref="I31:J31"/>
  </mergeCells>
  <conditionalFormatting sqref="C46 N34:N43">
    <cfRule type="cellIs" priority="61" dxfId="1" operator="equal">
      <formula>FALSE</formula>
    </cfRule>
    <cfRule type="cellIs" priority="62" dxfId="0" operator="equal">
      <formula>TRUE</formula>
    </cfRule>
  </conditionalFormatting>
  <conditionalFormatting sqref="E46">
    <cfRule type="cellIs" priority="59" dxfId="1" operator="equal">
      <formula>FALSE</formula>
    </cfRule>
    <cfRule type="cellIs" priority="60" dxfId="0" operator="equal">
      <formula>TRUE</formula>
    </cfRule>
  </conditionalFormatting>
  <conditionalFormatting sqref="F46">
    <cfRule type="cellIs" priority="57" dxfId="1" operator="equal">
      <formula>FALSE</formula>
    </cfRule>
    <cfRule type="cellIs" priority="58" dxfId="0" operator="equal">
      <formula>TRUE</formula>
    </cfRule>
  </conditionalFormatting>
  <conditionalFormatting sqref="K46">
    <cfRule type="cellIs" priority="55" dxfId="1" operator="equal">
      <formula>FALSE</formula>
    </cfRule>
    <cfRule type="cellIs" priority="56" dxfId="0" operator="equal">
      <formula>TRUE</formula>
    </cfRule>
  </conditionalFormatting>
  <conditionalFormatting sqref="L46">
    <cfRule type="cellIs" priority="53" dxfId="1" operator="equal">
      <formula>FALSE</formula>
    </cfRule>
    <cfRule type="cellIs" priority="54" dxfId="0" operator="equal">
      <formula>TRUE</formula>
    </cfRule>
  </conditionalFormatting>
  <conditionalFormatting sqref="C15">
    <cfRule type="cellIs" priority="35" dxfId="1" operator="equal">
      <formula>FALSE</formula>
    </cfRule>
    <cfRule type="cellIs" priority="36" dxfId="0" operator="equal">
      <formula>TRUE</formula>
    </cfRule>
  </conditionalFormatting>
  <conditionalFormatting sqref="D15">
    <cfRule type="cellIs" priority="33" dxfId="1" operator="equal">
      <formula>FALSE</formula>
    </cfRule>
    <cfRule type="cellIs" priority="34" dxfId="0" operator="equal">
      <formula>TRUE</formula>
    </cfRule>
  </conditionalFormatting>
  <conditionalFormatting sqref="E24">
    <cfRule type="cellIs" priority="31" dxfId="1" operator="equal">
      <formula>FALSE</formula>
    </cfRule>
    <cfRule type="cellIs" priority="32" dxfId="0" operator="equal">
      <formula>TRUE</formula>
    </cfRule>
  </conditionalFormatting>
  <conditionalFormatting sqref="N33">
    <cfRule type="cellIs" priority="11" dxfId="1" operator="equal">
      <formula>FALSE</formula>
    </cfRule>
    <cfRule type="cellIs" priority="12" dxfId="0" operator="equal">
      <formula>TRUE</formula>
    </cfRule>
  </conditionalFormatting>
  <conditionalFormatting sqref="E26">
    <cfRule type="cellIs" priority="7" dxfId="1" operator="equal">
      <formula>FALSE</formula>
    </cfRule>
    <cfRule type="cellIs" priority="8" dxfId="0" operator="equal">
      <formula>TRUE</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6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9"/>
  <sheetViews>
    <sheetView zoomScale="80" zoomScaleNormal="80" workbookViewId="0" topLeftCell="A1">
      <selection activeCell="E1" sqref="E1"/>
    </sheetView>
  </sheetViews>
  <sheetFormatPr defaultColWidth="8.7109375" defaultRowHeight="15"/>
  <cols>
    <col min="1" max="1" width="5.00390625" style="5" bestFit="1" customWidth="1"/>
    <col min="2" max="2" width="42.7109375" style="5" bestFit="1" customWidth="1"/>
    <col min="3" max="4" width="20.7109375" style="5" customWidth="1"/>
    <col min="5" max="5" width="14.28125" style="5" bestFit="1" customWidth="1"/>
    <col min="6" max="6" width="19.421875" style="5" customWidth="1"/>
    <col min="7" max="7" width="14.28125" style="5" bestFit="1" customWidth="1"/>
    <col min="8" max="8" width="20.00390625" style="5" customWidth="1"/>
    <col min="9"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67</v>
      </c>
    </row>
    <row r="2" ht="4.5" customHeight="1"/>
    <row r="3" spans="2:3" ht="15">
      <c r="B3" s="7" t="s">
        <v>221</v>
      </c>
      <c r="C3" s="28" t="s">
        <v>57</v>
      </c>
    </row>
    <row r="4" spans="2:3" ht="15">
      <c r="B4" s="27" t="s">
        <v>222</v>
      </c>
      <c r="C4" s="4" t="s">
        <v>144</v>
      </c>
    </row>
    <row r="5" ht="14.25" customHeight="1">
      <c r="C5" s="4" t="s">
        <v>145</v>
      </c>
    </row>
    <row r="6" spans="3:8" ht="14.25" customHeight="1" thickBot="1">
      <c r="C6" s="401" t="s">
        <v>210</v>
      </c>
      <c r="D6" s="401"/>
      <c r="E6" s="401" t="s">
        <v>211</v>
      </c>
      <c r="F6" s="401"/>
      <c r="G6" s="401" t="s">
        <v>212</v>
      </c>
      <c r="H6" s="401"/>
    </row>
    <row r="7" spans="2:8" ht="16.5" customHeight="1" thickBot="1">
      <c r="B7" s="316"/>
      <c r="C7" s="317" t="s">
        <v>66</v>
      </c>
      <c r="D7" s="317" t="s">
        <v>58</v>
      </c>
      <c r="E7" s="317" t="s">
        <v>66</v>
      </c>
      <c r="F7" s="317" t="s">
        <v>58</v>
      </c>
      <c r="G7" s="317" t="s">
        <v>66</v>
      </c>
      <c r="H7" s="317" t="s">
        <v>58</v>
      </c>
    </row>
    <row r="8" spans="2:8" ht="14.55" customHeight="1">
      <c r="B8" s="318" t="s">
        <v>59</v>
      </c>
      <c r="C8" s="319">
        <f>554202/1000</f>
        <v>554.202</v>
      </c>
      <c r="D8" s="320">
        <f>62082/1000</f>
        <v>62.082</v>
      </c>
      <c r="E8" s="319">
        <f>5154/1000</f>
        <v>5.154</v>
      </c>
      <c r="F8" s="320">
        <f>577/1000</f>
        <v>0.577</v>
      </c>
      <c r="G8" s="319">
        <f aca="true" t="shared" si="0" ref="G8:H12">C8+E8</f>
        <v>559.356</v>
      </c>
      <c r="H8" s="320">
        <f t="shared" si="0"/>
        <v>62.659</v>
      </c>
    </row>
    <row r="9" spans="2:8" s="111" customFormat="1" ht="14.55" customHeight="1">
      <c r="B9" s="318" t="s">
        <v>208</v>
      </c>
      <c r="C9" s="319">
        <f>554031/1000</f>
        <v>554.031</v>
      </c>
      <c r="D9" s="320">
        <f>62063/1000</f>
        <v>62.063</v>
      </c>
      <c r="E9" s="319">
        <f>5154/1000</f>
        <v>5.154</v>
      </c>
      <c r="F9" s="320">
        <f>577/1000</f>
        <v>0.577</v>
      </c>
      <c r="G9" s="319">
        <f t="shared" si="0"/>
        <v>559.185</v>
      </c>
      <c r="H9" s="320">
        <f t="shared" si="0"/>
        <v>62.64</v>
      </c>
    </row>
    <row r="10" spans="2:8" s="111" customFormat="1" ht="14.55" customHeight="1">
      <c r="B10" s="318" t="s">
        <v>209</v>
      </c>
      <c r="C10" s="319">
        <f>171/1000</f>
        <v>0.171</v>
      </c>
      <c r="D10" s="320">
        <f>19.16/1000</f>
        <v>0.01916</v>
      </c>
      <c r="E10" s="319">
        <v>0</v>
      </c>
      <c r="F10" s="320">
        <v>0</v>
      </c>
      <c r="G10" s="319">
        <f t="shared" si="0"/>
        <v>0.171</v>
      </c>
      <c r="H10" s="320">
        <f t="shared" si="0"/>
        <v>0.01916</v>
      </c>
    </row>
    <row r="11" spans="2:8" ht="14.55" customHeight="1">
      <c r="B11" s="328" t="s">
        <v>61</v>
      </c>
      <c r="C11" s="342">
        <f>8038/1000</f>
        <v>8.038</v>
      </c>
      <c r="D11" s="343">
        <f>977/1000</f>
        <v>0.977</v>
      </c>
      <c r="E11" s="342">
        <v>0</v>
      </c>
      <c r="F11" s="343">
        <v>0</v>
      </c>
      <c r="G11" s="342">
        <f t="shared" si="0"/>
        <v>8.038</v>
      </c>
      <c r="H11" s="343">
        <f t="shared" si="0"/>
        <v>0.977</v>
      </c>
    </row>
    <row r="12" spans="2:8" ht="14.55" customHeight="1">
      <c r="B12" s="328" t="s">
        <v>62</v>
      </c>
      <c r="C12" s="342">
        <f>10822/1000</f>
        <v>10.822</v>
      </c>
      <c r="D12" s="343">
        <f>1191.2/1000</f>
        <v>1.1912</v>
      </c>
      <c r="E12" s="342">
        <v>0</v>
      </c>
      <c r="F12" s="343">
        <v>0</v>
      </c>
      <c r="G12" s="342">
        <f t="shared" si="0"/>
        <v>10.822</v>
      </c>
      <c r="H12" s="343">
        <f t="shared" si="0"/>
        <v>1.1912</v>
      </c>
    </row>
    <row r="13" spans="2:8" ht="14.55" customHeight="1" thickBot="1">
      <c r="B13" s="331" t="s">
        <v>60</v>
      </c>
      <c r="C13" s="332">
        <f>C8-C11+C12</f>
        <v>556.986</v>
      </c>
      <c r="D13" s="332">
        <f>D8-D11+D12</f>
        <v>62.296200000000006</v>
      </c>
      <c r="E13" s="332">
        <f aca="true" t="shared" si="1" ref="E13:G13">E8-E11+E12</f>
        <v>5.154</v>
      </c>
      <c r="F13" s="332">
        <f t="shared" si="1"/>
        <v>0.577</v>
      </c>
      <c r="G13" s="332">
        <f t="shared" si="1"/>
        <v>562.14</v>
      </c>
      <c r="H13" s="332">
        <f>H8-H11+H12</f>
        <v>62.873200000000004</v>
      </c>
    </row>
    <row r="14" spans="2:4" ht="14.25" customHeight="1">
      <c r="B14" s="33"/>
      <c r="C14" s="34"/>
      <c r="D14" s="34"/>
    </row>
    <row r="15" ht="14.25" customHeight="1"/>
    <row r="16" spans="3:8" ht="14.25" customHeight="1" thickBot="1">
      <c r="C16" s="401" t="s">
        <v>210</v>
      </c>
      <c r="D16" s="401"/>
      <c r="E16" s="401" t="s">
        <v>211</v>
      </c>
      <c r="F16" s="401"/>
      <c r="G16" s="401" t="s">
        <v>212</v>
      </c>
      <c r="H16" s="401"/>
    </row>
    <row r="17" spans="2:8" ht="16.5" customHeight="1" thickBot="1">
      <c r="B17" s="316"/>
      <c r="C17" s="317" t="s">
        <v>66</v>
      </c>
      <c r="D17" s="317" t="s">
        <v>58</v>
      </c>
      <c r="E17" s="317" t="s">
        <v>66</v>
      </c>
      <c r="F17" s="317" t="s">
        <v>58</v>
      </c>
      <c r="G17" s="317" t="s">
        <v>66</v>
      </c>
      <c r="H17" s="317" t="s">
        <v>58</v>
      </c>
    </row>
    <row r="18" spans="2:8" ht="14.55" customHeight="1">
      <c r="B18" s="318" t="s">
        <v>63</v>
      </c>
      <c r="C18" s="319">
        <f>275858/1000</f>
        <v>275.858</v>
      </c>
      <c r="D18" s="320">
        <f>11840.5/1000</f>
        <v>11.8405</v>
      </c>
      <c r="E18" s="319">
        <f>25770/1000</f>
        <v>25.77</v>
      </c>
      <c r="F18" s="320">
        <f>5051/1000</f>
        <v>5.051</v>
      </c>
      <c r="G18" s="319">
        <f>C18+E18</f>
        <v>301.628</v>
      </c>
      <c r="H18" s="320">
        <f>D18+F18</f>
        <v>16.8915</v>
      </c>
    </row>
    <row r="19" spans="2:8" ht="14.55" customHeight="1">
      <c r="B19" s="334" t="s">
        <v>64</v>
      </c>
      <c r="C19" s="344">
        <f>289978/1000</f>
        <v>289.978</v>
      </c>
      <c r="D19" s="345">
        <f>12490.9/1000</f>
        <v>12.4909</v>
      </c>
      <c r="E19" s="344">
        <f>26772/1000</f>
        <v>26.772</v>
      </c>
      <c r="F19" s="345">
        <f>5247/1000</f>
        <v>5.247</v>
      </c>
      <c r="G19" s="344">
        <f>C19+E19</f>
        <v>316.75</v>
      </c>
      <c r="H19" s="320">
        <f>D19+F19</f>
        <v>17.7379</v>
      </c>
    </row>
    <row r="20" spans="2:8" ht="14.25" customHeight="1" thickBot="1">
      <c r="B20" s="346" t="s">
        <v>21</v>
      </c>
      <c r="C20" s="347">
        <f>C19-C18</f>
        <v>14.120000000000005</v>
      </c>
      <c r="D20" s="347">
        <f aca="true" t="shared" si="2" ref="D20:G20">D19-D18</f>
        <v>0.6503999999999994</v>
      </c>
      <c r="E20" s="347">
        <f t="shared" si="2"/>
        <v>1.001999999999999</v>
      </c>
      <c r="F20" s="347">
        <f t="shared" si="2"/>
        <v>0.19599999999999973</v>
      </c>
      <c r="G20" s="347">
        <f t="shared" si="2"/>
        <v>15.122000000000014</v>
      </c>
      <c r="H20" s="347">
        <f>H19-H18</f>
        <v>0.8463999999999992</v>
      </c>
    </row>
    <row r="21" ht="14.25" customHeight="1" thickBot="1">
      <c r="H21" s="65"/>
    </row>
    <row r="22" spans="2:4" ht="16.5" customHeight="1" thickBot="1">
      <c r="B22" s="84"/>
      <c r="C22" s="85" t="s">
        <v>3</v>
      </c>
      <c r="D22" s="9"/>
    </row>
    <row r="23" spans="1:4" ht="14.55" customHeight="1">
      <c r="A23" s="10">
        <v>1</v>
      </c>
      <c r="B23" s="82" t="s">
        <v>0</v>
      </c>
      <c r="C23" s="83">
        <f>70213.1/1000</f>
        <v>70.21310000000001</v>
      </c>
      <c r="D23" s="40"/>
    </row>
    <row r="24" spans="1:3" ht="15">
      <c r="A24" s="10">
        <v>2</v>
      </c>
      <c r="B24" s="11" t="s">
        <v>8</v>
      </c>
      <c r="C24" s="29">
        <f>6492.4/1000</f>
        <v>6.4924</v>
      </c>
    </row>
    <row r="25" spans="1:3" ht="15" thickBot="1">
      <c r="A25" s="10">
        <v>3</v>
      </c>
      <c r="B25" s="13" t="s">
        <v>2</v>
      </c>
      <c r="C25" s="42">
        <f>C23-C24</f>
        <v>63.72070000000001</v>
      </c>
    </row>
    <row r="26" spans="1:3" ht="15">
      <c r="A26" s="10">
        <v>7</v>
      </c>
      <c r="B26" s="11" t="s">
        <v>27</v>
      </c>
      <c r="C26" s="29">
        <v>0</v>
      </c>
    </row>
    <row r="27" spans="2:3" ht="15" thickBot="1">
      <c r="B27" s="13" t="s">
        <v>77</v>
      </c>
      <c r="C27" s="42">
        <f>IF(ISNUMBER(C26)=TRUE,C25-C26,C25)</f>
        <v>63.72070000000001</v>
      </c>
    </row>
    <row r="28" spans="2:3" ht="15">
      <c r="B28" s="14"/>
      <c r="C28" s="15"/>
    </row>
    <row r="29" spans="2:3" ht="15" thickBot="1">
      <c r="B29" s="16"/>
      <c r="C29" s="17"/>
    </row>
    <row r="30" spans="2:14" ht="16.5" customHeight="1">
      <c r="B30" s="389" t="s">
        <v>1</v>
      </c>
      <c r="C30" s="391" t="s">
        <v>3</v>
      </c>
      <c r="D30" s="393" t="s">
        <v>4</v>
      </c>
      <c r="E30" s="395" t="s">
        <v>5</v>
      </c>
      <c r="F30" s="396"/>
      <c r="G30" s="395" t="s">
        <v>6</v>
      </c>
      <c r="H30" s="396"/>
      <c r="I30" s="395" t="s">
        <v>12</v>
      </c>
      <c r="J30" s="396"/>
      <c r="K30" s="387" t="s">
        <v>7</v>
      </c>
      <c r="L30" s="388"/>
      <c r="N30" s="26"/>
    </row>
    <row r="31" spans="2:12" ht="15" thickBot="1">
      <c r="B31" s="390"/>
      <c r="C31" s="392"/>
      <c r="D31" s="394"/>
      <c r="E31" s="79" t="s">
        <v>10</v>
      </c>
      <c r="F31" s="80" t="s">
        <v>11</v>
      </c>
      <c r="G31" s="79" t="s">
        <v>10</v>
      </c>
      <c r="H31" s="80" t="s">
        <v>11</v>
      </c>
      <c r="I31" s="79" t="s">
        <v>10</v>
      </c>
      <c r="J31" s="80" t="s">
        <v>11</v>
      </c>
      <c r="K31" s="79" t="s">
        <v>10</v>
      </c>
      <c r="L31" s="81" t="s">
        <v>11</v>
      </c>
    </row>
    <row r="32" spans="1:14" ht="15">
      <c r="A32" s="10">
        <v>6</v>
      </c>
      <c r="B32" s="45" t="s">
        <v>76</v>
      </c>
      <c r="C32" s="75">
        <v>0</v>
      </c>
      <c r="D32" s="76">
        <v>0</v>
      </c>
      <c r="E32" s="303">
        <v>0</v>
      </c>
      <c r="F32" s="78"/>
      <c r="G32" s="77"/>
      <c r="H32" s="78"/>
      <c r="I32" s="77"/>
      <c r="J32" s="78"/>
      <c r="K32" s="77"/>
      <c r="L32" s="78"/>
      <c r="N32" s="27"/>
    </row>
    <row r="33" spans="1:14" ht="15">
      <c r="A33" s="10">
        <v>8</v>
      </c>
      <c r="B33" s="18" t="s">
        <v>28</v>
      </c>
      <c r="C33" s="31">
        <v>0</v>
      </c>
      <c r="D33" s="19">
        <v>0</v>
      </c>
      <c r="E33" s="307">
        <v>0</v>
      </c>
      <c r="F33" s="21"/>
      <c r="G33" s="20"/>
      <c r="H33" s="21"/>
      <c r="I33" s="20"/>
      <c r="J33" s="21"/>
      <c r="K33" s="20"/>
      <c r="L33" s="21"/>
      <c r="N33" s="27"/>
    </row>
    <row r="34" spans="1:14" ht="15">
      <c r="A34" s="10">
        <v>10</v>
      </c>
      <c r="B34" s="18" t="s">
        <v>29</v>
      </c>
      <c r="C34" s="37">
        <f>249.2/1000</f>
        <v>0.24919999999999998</v>
      </c>
      <c r="D34" s="216">
        <f>1177.78/1000</f>
        <v>1.17778</v>
      </c>
      <c r="E34" s="20">
        <f aca="true" t="shared" si="3" ref="E34:E41">C34*D34</f>
        <v>0.29350277599999997</v>
      </c>
      <c r="F34" s="21"/>
      <c r="G34" s="20"/>
      <c r="H34" s="21"/>
      <c r="I34" s="20"/>
      <c r="J34" s="21"/>
      <c r="K34" s="20"/>
      <c r="L34" s="21"/>
      <c r="N34" s="27"/>
    </row>
    <row r="35" spans="1:14" ht="15">
      <c r="A35" s="10">
        <v>11</v>
      </c>
      <c r="B35" s="18" t="s">
        <v>30</v>
      </c>
      <c r="C35" s="37">
        <f>D10</f>
        <v>0.01916</v>
      </c>
      <c r="D35" s="216">
        <f>1177.78/1000</f>
        <v>1.17778</v>
      </c>
      <c r="E35" s="20">
        <f t="shared" si="3"/>
        <v>0.0225662648</v>
      </c>
      <c r="F35" s="21"/>
      <c r="G35" s="20"/>
      <c r="H35" s="21"/>
      <c r="I35" s="20"/>
      <c r="J35" s="21"/>
      <c r="K35" s="20"/>
      <c r="L35" s="21"/>
      <c r="N35" s="27"/>
    </row>
    <row r="36" spans="1:14" ht="15">
      <c r="A36" s="10" t="s">
        <v>31</v>
      </c>
      <c r="B36" s="18" t="s">
        <v>32</v>
      </c>
      <c r="C36" s="31">
        <v>0</v>
      </c>
      <c r="D36" s="19">
        <v>0</v>
      </c>
      <c r="E36" s="31">
        <f t="shared" si="3"/>
        <v>0</v>
      </c>
      <c r="F36" s="21"/>
      <c r="G36" s="20"/>
      <c r="H36" s="21"/>
      <c r="I36" s="20"/>
      <c r="J36" s="21"/>
      <c r="K36" s="20"/>
      <c r="L36" s="21"/>
      <c r="N36" s="27"/>
    </row>
    <row r="37" spans="1:14" ht="15">
      <c r="A37" s="10" t="s">
        <v>33</v>
      </c>
      <c r="B37" s="18" t="s">
        <v>34</v>
      </c>
      <c r="C37" s="37">
        <f>D9-D11-C34</f>
        <v>60.836800000000004</v>
      </c>
      <c r="D37" s="216">
        <f>1177.78/1000</f>
        <v>1.17778</v>
      </c>
      <c r="E37" s="20">
        <f t="shared" si="3"/>
        <v>71.65236630400001</v>
      </c>
      <c r="F37" s="21"/>
      <c r="G37" s="20"/>
      <c r="H37" s="21"/>
      <c r="I37" s="20"/>
      <c r="J37" s="21"/>
      <c r="K37" s="20"/>
      <c r="L37" s="21"/>
      <c r="N37" s="27"/>
    </row>
    <row r="38" spans="1:14" ht="15">
      <c r="A38" s="10" t="s">
        <v>35</v>
      </c>
      <c r="B38" s="18" t="s">
        <v>36</v>
      </c>
      <c r="C38" s="37">
        <f>D12</f>
        <v>1.1912</v>
      </c>
      <c r="D38" s="216">
        <f>1052.22/1000</f>
        <v>1.05222</v>
      </c>
      <c r="E38" s="20">
        <f t="shared" si="3"/>
        <v>1.253404464</v>
      </c>
      <c r="F38" s="21"/>
      <c r="G38" s="20"/>
      <c r="H38" s="21"/>
      <c r="I38" s="20"/>
      <c r="J38" s="21"/>
      <c r="K38" s="20"/>
      <c r="L38" s="21"/>
      <c r="N38" s="27"/>
    </row>
    <row r="39" spans="1:14" ht="15">
      <c r="A39" s="10">
        <v>13</v>
      </c>
      <c r="B39" s="18" t="s">
        <v>37</v>
      </c>
      <c r="C39" s="37">
        <f>773.8/1000</f>
        <v>0.7737999999999999</v>
      </c>
      <c r="D39" s="216">
        <f>2629.79/1000</f>
        <v>2.62979</v>
      </c>
      <c r="E39" s="20">
        <f t="shared" si="3"/>
        <v>2.0349315019999996</v>
      </c>
      <c r="F39" s="21"/>
      <c r="G39" s="20"/>
      <c r="H39" s="21"/>
      <c r="I39" s="20"/>
      <c r="J39" s="21"/>
      <c r="K39" s="20"/>
      <c r="L39" s="21"/>
      <c r="N39" s="27"/>
    </row>
    <row r="40" spans="1:14" s="111" customFormat="1" ht="15">
      <c r="A40" s="10"/>
      <c r="B40" s="341" t="s">
        <v>63</v>
      </c>
      <c r="C40" s="56">
        <f>D18</f>
        <v>11.8405</v>
      </c>
      <c r="D40" s="217">
        <f>1205.55/1000</f>
        <v>1.20555</v>
      </c>
      <c r="E40" s="20">
        <f t="shared" si="3"/>
        <v>14.274314774999999</v>
      </c>
      <c r="F40" s="150"/>
      <c r="G40" s="52"/>
      <c r="H40" s="150"/>
      <c r="I40" s="52"/>
      <c r="J40" s="150"/>
      <c r="K40" s="52"/>
      <c r="L40" s="150"/>
      <c r="N40" s="27"/>
    </row>
    <row r="41" spans="1:14" s="111" customFormat="1" ht="15">
      <c r="A41" s="10"/>
      <c r="B41" s="341" t="s">
        <v>64</v>
      </c>
      <c r="C41" s="56">
        <f>D19</f>
        <v>12.4909</v>
      </c>
      <c r="D41" s="217">
        <f>1177.78/1000</f>
        <v>1.17778</v>
      </c>
      <c r="E41" s="20">
        <f t="shared" si="3"/>
        <v>14.711532202</v>
      </c>
      <c r="F41" s="150"/>
      <c r="G41" s="52"/>
      <c r="H41" s="150"/>
      <c r="I41" s="52"/>
      <c r="J41" s="150"/>
      <c r="K41" s="52"/>
      <c r="L41" s="150"/>
      <c r="N41" s="27"/>
    </row>
    <row r="42" spans="1:14" ht="15" thickBot="1">
      <c r="A42" s="10">
        <v>16</v>
      </c>
      <c r="B42" s="18" t="s">
        <v>21</v>
      </c>
      <c r="C42" s="37">
        <f>C41-C40</f>
        <v>0.6503999999999994</v>
      </c>
      <c r="D42" s="216"/>
      <c r="E42" s="20">
        <f>(C41*D41)-(C40*D40)</f>
        <v>0.437217427000002</v>
      </c>
      <c r="F42" s="21"/>
      <c r="G42" s="20"/>
      <c r="H42" s="21"/>
      <c r="I42" s="20"/>
      <c r="J42" s="21"/>
      <c r="K42" s="20"/>
      <c r="L42" s="21"/>
      <c r="N42" s="27"/>
    </row>
    <row r="43" spans="1:12" ht="15" thickBot="1">
      <c r="A43" s="10">
        <v>17</v>
      </c>
      <c r="B43" s="22" t="s">
        <v>9</v>
      </c>
      <c r="C43" s="227">
        <f>C34+C35+C37+C38+C39+C41-C40</f>
        <v>63.72056000000001</v>
      </c>
      <c r="D43" s="227"/>
      <c r="E43" s="227">
        <f>E34+E37+E38+E39+E41-E40</f>
        <v>75.67142247300002</v>
      </c>
      <c r="F43" s="228">
        <f>E43/C48</f>
        <v>79.32014934276732</v>
      </c>
      <c r="G43" s="227">
        <v>0</v>
      </c>
      <c r="H43" s="228">
        <v>0</v>
      </c>
      <c r="I43" s="227">
        <v>0</v>
      </c>
      <c r="J43" s="228">
        <v>0</v>
      </c>
      <c r="K43" s="227">
        <f>E43+G43-I43</f>
        <v>75.67142247300002</v>
      </c>
      <c r="L43" s="228">
        <f>F43+H43-J43</f>
        <v>79.32014934276732</v>
      </c>
    </row>
    <row r="44" spans="3:12" ht="15">
      <c r="C44" s="14"/>
      <c r="E44" s="14"/>
      <c r="F44" s="14"/>
      <c r="G44" s="14"/>
      <c r="H44" s="14"/>
      <c r="I44" s="14"/>
      <c r="J44" s="14"/>
      <c r="K44" s="14"/>
      <c r="L44" s="14"/>
    </row>
    <row r="45" ht="15">
      <c r="B45" s="26"/>
    </row>
    <row r="46" ht="15" thickBot="1"/>
    <row r="47" spans="2:3" ht="15" thickBot="1">
      <c r="B47" s="84"/>
      <c r="C47" s="87">
        <v>2020</v>
      </c>
    </row>
    <row r="48" spans="2:3" ht="14.55" customHeight="1">
      <c r="B48" s="112" t="s">
        <v>146</v>
      </c>
      <c r="C48" s="219">
        <v>0.954</v>
      </c>
    </row>
    <row r="49" spans="2:3" ht="14.55" customHeight="1" thickBot="1">
      <c r="B49" s="113" t="s">
        <v>147</v>
      </c>
      <c r="C49" s="220">
        <v>1.048</v>
      </c>
    </row>
  </sheetData>
  <mergeCells count="13">
    <mergeCell ref="C6:D6"/>
    <mergeCell ref="E6:F6"/>
    <mergeCell ref="G6:H6"/>
    <mergeCell ref="C16:D16"/>
    <mergeCell ref="E16:F16"/>
    <mergeCell ref="G16:H16"/>
    <mergeCell ref="K30:L30"/>
    <mergeCell ref="B30:B31"/>
    <mergeCell ref="C30:C31"/>
    <mergeCell ref="D30:D31"/>
    <mergeCell ref="E30:F30"/>
    <mergeCell ref="G30:H30"/>
    <mergeCell ref="I30:J30"/>
  </mergeCells>
  <conditionalFormatting sqref="C45 N33:N42">
    <cfRule type="cellIs" priority="39" dxfId="1" operator="equal">
      <formula>FALSE</formula>
    </cfRule>
    <cfRule type="cellIs" priority="40" dxfId="0" operator="equal">
      <formula>TRUE</formula>
    </cfRule>
  </conditionalFormatting>
  <conditionalFormatting sqref="E45">
    <cfRule type="cellIs" priority="37" dxfId="1" operator="equal">
      <formula>FALSE</formula>
    </cfRule>
    <cfRule type="cellIs" priority="38" dxfId="0" operator="equal">
      <formula>TRUE</formula>
    </cfRule>
  </conditionalFormatting>
  <conditionalFormatting sqref="F45">
    <cfRule type="cellIs" priority="35" dxfId="1" operator="equal">
      <formula>FALSE</formula>
    </cfRule>
    <cfRule type="cellIs" priority="36" dxfId="0" operator="equal">
      <formula>TRUE</formula>
    </cfRule>
  </conditionalFormatting>
  <conditionalFormatting sqref="K45">
    <cfRule type="cellIs" priority="33" dxfId="1" operator="equal">
      <formula>FALSE</formula>
    </cfRule>
    <cfRule type="cellIs" priority="34" dxfId="0" operator="equal">
      <formula>TRUE</formula>
    </cfRule>
  </conditionalFormatting>
  <conditionalFormatting sqref="L45">
    <cfRule type="cellIs" priority="31" dxfId="1" operator="equal">
      <formula>FALSE</formula>
    </cfRule>
    <cfRule type="cellIs" priority="32" dxfId="0" operator="equal">
      <formula>TRUE</formula>
    </cfRule>
  </conditionalFormatting>
  <conditionalFormatting sqref="C15">
    <cfRule type="cellIs" priority="27" dxfId="1" operator="equal">
      <formula>FALSE</formula>
    </cfRule>
    <cfRule type="cellIs" priority="28" dxfId="0" operator="equal">
      <formula>TRUE</formula>
    </cfRule>
  </conditionalFormatting>
  <conditionalFormatting sqref="D15">
    <cfRule type="cellIs" priority="25" dxfId="1" operator="equal">
      <formula>FALSE</formula>
    </cfRule>
    <cfRule type="cellIs" priority="26" dxfId="0" operator="equal">
      <formula>TRUE</formula>
    </cfRule>
  </conditionalFormatting>
  <conditionalFormatting sqref="E23">
    <cfRule type="cellIs" priority="23" dxfId="1" operator="equal">
      <formula>FALSE</formula>
    </cfRule>
    <cfRule type="cellIs" priority="24" dxfId="0" operator="equal">
      <formula>TRUE</formula>
    </cfRule>
  </conditionalFormatting>
  <conditionalFormatting sqref="N32">
    <cfRule type="cellIs" priority="3" dxfId="1" operator="equal">
      <formula>FALSE</formula>
    </cfRule>
    <cfRule type="cellIs" priority="4" dxfId="0" operator="equal">
      <formula>TRUE</formula>
    </cfRule>
  </conditionalFormatting>
  <conditionalFormatting sqref="E25">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53"/>
  <sheetViews>
    <sheetView zoomScale="80" zoomScaleNormal="80" workbookViewId="0" topLeftCell="A1">
      <selection activeCell="B13" sqref="B13"/>
    </sheetView>
  </sheetViews>
  <sheetFormatPr defaultColWidth="8.7109375" defaultRowHeight="15"/>
  <cols>
    <col min="1" max="1" width="5.00390625" style="5" bestFit="1" customWidth="1"/>
    <col min="2" max="2" width="61.57421875" style="5" bestFit="1" customWidth="1"/>
    <col min="3" max="4" width="20.7109375" style="5"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69</v>
      </c>
    </row>
    <row r="2" ht="4.5" customHeight="1"/>
    <row r="3" spans="2:3" ht="15">
      <c r="B3" s="7" t="s">
        <v>220</v>
      </c>
      <c r="C3" s="28" t="s">
        <v>57</v>
      </c>
    </row>
    <row r="4" spans="2:3" ht="15">
      <c r="B4" s="27" t="s">
        <v>219</v>
      </c>
      <c r="C4" s="4" t="s">
        <v>144</v>
      </c>
    </row>
    <row r="5" spans="3:13" ht="14.25" customHeight="1">
      <c r="C5" s="4" t="s">
        <v>145</v>
      </c>
      <c r="F5" s="111"/>
      <c r="G5" s="111"/>
      <c r="H5" s="111"/>
      <c r="I5" s="111"/>
      <c r="J5" s="111"/>
      <c r="K5" s="111"/>
      <c r="L5" s="111"/>
      <c r="M5" s="111"/>
    </row>
    <row r="6" spans="5:13" ht="14.25" customHeight="1" thickBot="1">
      <c r="E6" s="111"/>
      <c r="F6" s="111"/>
      <c r="G6" s="111"/>
      <c r="H6" s="111"/>
      <c r="I6" s="111"/>
      <c r="J6" s="111"/>
      <c r="K6" s="111"/>
      <c r="L6" s="111"/>
      <c r="M6" s="111"/>
    </row>
    <row r="7" spans="2:13" ht="14.25" customHeight="1">
      <c r="B7" s="348" t="s">
        <v>239</v>
      </c>
      <c r="C7" s="70">
        <f>(13190458/1000)+(652826/1000)</f>
        <v>13843.284</v>
      </c>
      <c r="E7" s="111"/>
      <c r="F7" s="111"/>
      <c r="G7" s="111"/>
      <c r="H7" s="111"/>
      <c r="I7" s="111"/>
      <c r="J7" s="111"/>
      <c r="K7" s="111"/>
      <c r="L7" s="111"/>
      <c r="M7" s="111"/>
    </row>
    <row r="8" spans="2:3" s="111" customFormat="1" ht="14.25" customHeight="1">
      <c r="B8" s="318" t="s">
        <v>397</v>
      </c>
      <c r="C8" s="234">
        <f>404452/1000</f>
        <v>404.452</v>
      </c>
    </row>
    <row r="9" spans="2:3" s="111" customFormat="1" ht="14.25" customHeight="1">
      <c r="B9" s="318" t="s">
        <v>398</v>
      </c>
      <c r="C9" s="234">
        <f>156276/1000</f>
        <v>156.276</v>
      </c>
    </row>
    <row r="10" spans="2:3" s="111" customFormat="1" ht="14.25" customHeight="1">
      <c r="B10" s="318" t="s">
        <v>399</v>
      </c>
      <c r="C10" s="234">
        <f>2150892/1000</f>
        <v>2150.892</v>
      </c>
    </row>
    <row r="11" spans="2:3" s="111" customFormat="1" ht="14.25" customHeight="1">
      <c r="B11" s="318" t="s">
        <v>400</v>
      </c>
      <c r="C11" s="234">
        <f>2148793/1000</f>
        <v>2148.793</v>
      </c>
    </row>
    <row r="12" spans="2:3" s="111" customFormat="1" ht="14.25" customHeight="1">
      <c r="B12" s="318" t="s">
        <v>401</v>
      </c>
      <c r="C12" s="234">
        <f>C11-C10</f>
        <v>-2.0989999999997053</v>
      </c>
    </row>
    <row r="13" spans="2:13" ht="14.25" customHeight="1">
      <c r="B13" s="138" t="s">
        <v>419</v>
      </c>
      <c r="C13" s="140">
        <f>C14+C15</f>
        <v>13284.65575</v>
      </c>
      <c r="D13" s="36"/>
      <c r="E13" s="111"/>
      <c r="F13" s="111"/>
      <c r="G13" s="111"/>
      <c r="H13" s="111"/>
      <c r="I13" s="111"/>
      <c r="J13" s="111"/>
      <c r="K13" s="111"/>
      <c r="L13" s="111"/>
      <c r="M13" s="111"/>
    </row>
    <row r="14" spans="2:3" s="111" customFormat="1" ht="14.25" customHeight="1">
      <c r="B14" s="341" t="s">
        <v>217</v>
      </c>
      <c r="C14" s="140">
        <f>13274813/1000</f>
        <v>13274.813</v>
      </c>
    </row>
    <row r="15" spans="2:4" s="111" customFormat="1" ht="14.25" customHeight="1">
      <c r="B15" s="341" t="s">
        <v>218</v>
      </c>
      <c r="C15" s="140">
        <f>9842.75/1000</f>
        <v>9.84275</v>
      </c>
      <c r="D15" s="36"/>
    </row>
    <row r="16" spans="1:13" ht="14.25" customHeight="1">
      <c r="A16" s="111"/>
      <c r="B16" s="139" t="s">
        <v>70</v>
      </c>
      <c r="C16" s="235">
        <v>2.29</v>
      </c>
      <c r="E16" s="111"/>
      <c r="F16" s="111"/>
      <c r="G16" s="111"/>
      <c r="H16" s="111"/>
      <c r="I16" s="111"/>
      <c r="J16" s="111"/>
      <c r="K16" s="111"/>
      <c r="L16" s="111"/>
      <c r="M16" s="111"/>
    </row>
    <row r="17" spans="2:13" ht="14.25" customHeight="1">
      <c r="B17" s="138" t="s">
        <v>420</v>
      </c>
      <c r="C17" s="140">
        <f>C18+C19</f>
        <v>30.45251</v>
      </c>
      <c r="E17" s="111"/>
      <c r="F17" s="111"/>
      <c r="G17" s="111"/>
      <c r="H17" s="111"/>
      <c r="I17" s="111"/>
      <c r="J17" s="111"/>
      <c r="K17" s="111"/>
      <c r="L17" s="111"/>
      <c r="M17" s="111"/>
    </row>
    <row r="18" spans="2:3" s="111" customFormat="1" ht="14.25" customHeight="1">
      <c r="B18" s="341" t="s">
        <v>215</v>
      </c>
      <c r="C18" s="140">
        <f>30438/1000</f>
        <v>30.438</v>
      </c>
    </row>
    <row r="19" spans="2:3" s="111" customFormat="1" ht="14.25" customHeight="1">
      <c r="B19" s="341" t="s">
        <v>216</v>
      </c>
      <c r="C19" s="140">
        <f>14.51/1000</f>
        <v>0.01451</v>
      </c>
    </row>
    <row r="20" spans="2:3" s="111" customFormat="1" ht="14.25" customHeight="1">
      <c r="B20" s="341" t="s">
        <v>213</v>
      </c>
      <c r="C20" s="140">
        <f>554/1000</f>
        <v>0.554</v>
      </c>
    </row>
    <row r="21" spans="2:3" s="111" customFormat="1" ht="14.25" customHeight="1">
      <c r="B21" s="341" t="s">
        <v>214</v>
      </c>
      <c r="C21" s="140">
        <f>247.71/1000</f>
        <v>0.24771</v>
      </c>
    </row>
    <row r="22" spans="2:13" ht="14.25" customHeight="1">
      <c r="B22" s="141" t="s">
        <v>78</v>
      </c>
      <c r="C22" s="140">
        <f>C21-C20</f>
        <v>-0.30629000000000006</v>
      </c>
      <c r="E22" s="111"/>
      <c r="F22" s="111"/>
      <c r="G22" s="111"/>
      <c r="H22" s="111"/>
      <c r="I22" s="111"/>
      <c r="J22" s="111"/>
      <c r="K22" s="111"/>
      <c r="L22" s="111"/>
      <c r="M22" s="111"/>
    </row>
    <row r="23" spans="2:13" ht="14.25" customHeight="1" thickBot="1">
      <c r="B23" s="142" t="s">
        <v>71</v>
      </c>
      <c r="C23" s="232">
        <f>C17+C22</f>
        <v>30.14622</v>
      </c>
      <c r="E23" s="111"/>
      <c r="F23" s="111"/>
      <c r="G23" s="111"/>
      <c r="H23" s="111"/>
      <c r="I23" s="111"/>
      <c r="J23" s="111"/>
      <c r="K23" s="111"/>
      <c r="L23" s="111"/>
      <c r="M23" s="111"/>
    </row>
    <row r="24" spans="5:13" ht="14.25" customHeight="1">
      <c r="E24" s="111"/>
      <c r="F24" s="111"/>
      <c r="G24" s="111"/>
      <c r="H24" s="111"/>
      <c r="I24" s="111"/>
      <c r="J24" s="111"/>
      <c r="K24" s="111"/>
      <c r="L24" s="111"/>
      <c r="M24" s="111"/>
    </row>
    <row r="25" spans="5:13" ht="14.25" customHeight="1" thickBot="1">
      <c r="E25" s="111"/>
      <c r="F25" s="111"/>
      <c r="G25" s="111"/>
      <c r="H25" s="111"/>
      <c r="I25" s="111"/>
      <c r="J25" s="111"/>
      <c r="K25" s="111"/>
      <c r="L25" s="111"/>
      <c r="M25" s="111"/>
    </row>
    <row r="26" spans="2:13" ht="16.5" customHeight="1" thickBot="1">
      <c r="B26" s="84"/>
      <c r="C26" s="85" t="s">
        <v>3</v>
      </c>
      <c r="D26" s="9"/>
      <c r="E26" s="111"/>
      <c r="F26" s="111"/>
      <c r="G26" s="111"/>
      <c r="H26" s="111"/>
      <c r="I26" s="111"/>
      <c r="J26" s="111"/>
      <c r="K26" s="111"/>
      <c r="L26" s="111"/>
      <c r="M26" s="111"/>
    </row>
    <row r="27" spans="1:13" ht="15">
      <c r="A27" s="10">
        <v>1</v>
      </c>
      <c r="B27" s="82" t="s">
        <v>0</v>
      </c>
      <c r="C27" s="46">
        <f>30310.1/1000</f>
        <v>30.3101</v>
      </c>
      <c r="D27" s="40"/>
      <c r="E27" s="111"/>
      <c r="F27" s="111"/>
      <c r="G27" s="111"/>
      <c r="H27" s="111"/>
      <c r="I27" s="111"/>
      <c r="J27" s="111"/>
      <c r="K27" s="111"/>
      <c r="L27" s="111"/>
      <c r="M27" s="111"/>
    </row>
    <row r="28" spans="1:13" ht="15">
      <c r="A28" s="10">
        <v>2</v>
      </c>
      <c r="B28" s="11" t="s">
        <v>8</v>
      </c>
      <c r="C28" s="38">
        <f>165.8/1000</f>
        <v>0.1658</v>
      </c>
      <c r="E28" s="111"/>
      <c r="F28" s="111"/>
      <c r="G28" s="111"/>
      <c r="H28" s="111"/>
      <c r="I28" s="111"/>
      <c r="J28" s="111"/>
      <c r="K28" s="111"/>
      <c r="L28" s="111"/>
      <c r="M28" s="111"/>
    </row>
    <row r="29" spans="1:13" ht="15" thickBot="1">
      <c r="A29" s="10">
        <v>3</v>
      </c>
      <c r="B29" s="13" t="s">
        <v>2</v>
      </c>
      <c r="C29" s="42">
        <f>C27-C28</f>
        <v>30.144299999999998</v>
      </c>
      <c r="E29" s="111"/>
      <c r="F29" s="111"/>
      <c r="G29" s="111"/>
      <c r="H29" s="111"/>
      <c r="I29" s="111"/>
      <c r="J29" s="111"/>
      <c r="K29" s="111"/>
      <c r="L29" s="111"/>
      <c r="M29" s="111"/>
    </row>
    <row r="30" spans="1:13" ht="15">
      <c r="A30" s="10">
        <v>7</v>
      </c>
      <c r="B30" s="11" t="s">
        <v>27</v>
      </c>
      <c r="C30" s="38">
        <v>0</v>
      </c>
      <c r="E30" s="111"/>
      <c r="F30" s="111"/>
      <c r="G30" s="111"/>
      <c r="H30" s="111"/>
      <c r="I30" s="111"/>
      <c r="J30" s="111"/>
      <c r="K30" s="111"/>
      <c r="L30" s="111"/>
      <c r="M30" s="111"/>
    </row>
    <row r="31" spans="2:3" ht="15" thickBot="1">
      <c r="B31" s="13" t="s">
        <v>77</v>
      </c>
      <c r="C31" s="42">
        <f>IF(ISNUMBER(C30)=TRUE,C29-C30,C29)</f>
        <v>30.144299999999998</v>
      </c>
    </row>
    <row r="32" spans="2:3" ht="15">
      <c r="B32" s="14"/>
      <c r="C32" s="15"/>
    </row>
    <row r="33" spans="2:3" ht="15" thickBot="1">
      <c r="B33" s="16"/>
      <c r="C33" s="17"/>
    </row>
    <row r="34" spans="2:14" ht="16.5" customHeight="1">
      <c r="B34" s="389" t="s">
        <v>1</v>
      </c>
      <c r="C34" s="391" t="s">
        <v>3</v>
      </c>
      <c r="D34" s="393" t="s">
        <v>4</v>
      </c>
      <c r="E34" s="395" t="s">
        <v>5</v>
      </c>
      <c r="F34" s="396"/>
      <c r="G34" s="395" t="s">
        <v>6</v>
      </c>
      <c r="H34" s="396"/>
      <c r="I34" s="395" t="s">
        <v>12</v>
      </c>
      <c r="J34" s="396"/>
      <c r="K34" s="387" t="s">
        <v>7</v>
      </c>
      <c r="L34" s="388"/>
      <c r="N34" s="26"/>
    </row>
    <row r="35" spans="2:12" ht="15" thickBot="1">
      <c r="B35" s="390"/>
      <c r="C35" s="392"/>
      <c r="D35" s="394"/>
      <c r="E35" s="79" t="s">
        <v>10</v>
      </c>
      <c r="F35" s="80" t="s">
        <v>11</v>
      </c>
      <c r="G35" s="79" t="s">
        <v>10</v>
      </c>
      <c r="H35" s="80" t="s">
        <v>11</v>
      </c>
      <c r="I35" s="79" t="s">
        <v>10</v>
      </c>
      <c r="J35" s="80" t="s">
        <v>11</v>
      </c>
      <c r="K35" s="79" t="s">
        <v>10</v>
      </c>
      <c r="L35" s="81" t="s">
        <v>11</v>
      </c>
    </row>
    <row r="36" spans="1:14" ht="15">
      <c r="A36" s="10">
        <v>6</v>
      </c>
      <c r="B36" s="45" t="s">
        <v>76</v>
      </c>
      <c r="C36" s="75">
        <v>0</v>
      </c>
      <c r="D36" s="301">
        <v>0</v>
      </c>
      <c r="E36" s="303">
        <v>0</v>
      </c>
      <c r="F36" s="78"/>
      <c r="G36" s="77"/>
      <c r="H36" s="78"/>
      <c r="I36" s="77"/>
      <c r="J36" s="78"/>
      <c r="K36" s="77"/>
      <c r="L36" s="78"/>
      <c r="N36" s="27"/>
    </row>
    <row r="37" spans="1:14" ht="15">
      <c r="A37" s="10">
        <v>8</v>
      </c>
      <c r="B37" s="18" t="s">
        <v>28</v>
      </c>
      <c r="C37" s="31">
        <v>0</v>
      </c>
      <c r="D37" s="299">
        <v>0</v>
      </c>
      <c r="E37" s="307">
        <v>0</v>
      </c>
      <c r="F37" s="21"/>
      <c r="G37" s="20"/>
      <c r="H37" s="21"/>
      <c r="I37" s="20"/>
      <c r="J37" s="21"/>
      <c r="K37" s="20"/>
      <c r="L37" s="21"/>
      <c r="N37" s="27"/>
    </row>
    <row r="38" spans="1:14" ht="15">
      <c r="A38" s="10">
        <v>10</v>
      </c>
      <c r="B38" s="18" t="s">
        <v>29</v>
      </c>
      <c r="C38" s="37">
        <f>3.7/1000</f>
        <v>0.0037</v>
      </c>
      <c r="D38" s="216">
        <f>1062.26/1000</f>
        <v>1.06226</v>
      </c>
      <c r="E38" s="20">
        <f aca="true" t="shared" si="0" ref="E38:E45">C38*D38</f>
        <v>0.003930362</v>
      </c>
      <c r="F38" s="21"/>
      <c r="G38" s="20"/>
      <c r="H38" s="21"/>
      <c r="I38" s="20"/>
      <c r="J38" s="21"/>
      <c r="K38" s="20"/>
      <c r="L38" s="21"/>
      <c r="N38" s="27"/>
    </row>
    <row r="39" spans="1:14" ht="15">
      <c r="A39" s="10">
        <v>11</v>
      </c>
      <c r="B39" s="18" t="s">
        <v>30</v>
      </c>
      <c r="C39" s="37">
        <f>C19</f>
        <v>0.01451</v>
      </c>
      <c r="D39" s="216">
        <f>1062.26/1000</f>
        <v>1.06226</v>
      </c>
      <c r="E39" s="20">
        <f t="shared" si="0"/>
        <v>0.0154133926</v>
      </c>
      <c r="F39" s="21"/>
      <c r="G39" s="20"/>
      <c r="H39" s="21"/>
      <c r="I39" s="20"/>
      <c r="J39" s="21"/>
      <c r="K39" s="20"/>
      <c r="L39" s="21"/>
      <c r="N39" s="27"/>
    </row>
    <row r="40" spans="1:14" ht="15">
      <c r="A40" s="10" t="s">
        <v>31</v>
      </c>
      <c r="B40" s="18" t="s">
        <v>32</v>
      </c>
      <c r="C40" s="31">
        <v>0</v>
      </c>
      <c r="D40" s="299">
        <v>0</v>
      </c>
      <c r="E40" s="20">
        <f t="shared" si="0"/>
        <v>0</v>
      </c>
      <c r="F40" s="21"/>
      <c r="G40" s="20"/>
      <c r="H40" s="21"/>
      <c r="I40" s="20"/>
      <c r="J40" s="21"/>
      <c r="K40" s="20"/>
      <c r="L40" s="21"/>
      <c r="N40" s="27"/>
    </row>
    <row r="41" spans="1:14" ht="15">
      <c r="A41" s="10" t="s">
        <v>33</v>
      </c>
      <c r="B41" s="18" t="s">
        <v>34</v>
      </c>
      <c r="C41" s="37">
        <f>C18-C20-C38</f>
        <v>29.880300000000002</v>
      </c>
      <c r="D41" s="216">
        <f>1062.26/1000</f>
        <v>1.06226</v>
      </c>
      <c r="E41" s="20">
        <f t="shared" si="0"/>
        <v>31.740647478000003</v>
      </c>
      <c r="F41" s="21"/>
      <c r="G41" s="20"/>
      <c r="H41" s="21"/>
      <c r="I41" s="20"/>
      <c r="J41" s="21"/>
      <c r="K41" s="20"/>
      <c r="L41" s="21"/>
      <c r="N41" s="27"/>
    </row>
    <row r="42" spans="1:14" ht="15">
      <c r="A42" s="10" t="s">
        <v>35</v>
      </c>
      <c r="B42" s="18" t="s">
        <v>36</v>
      </c>
      <c r="C42" s="37">
        <f>C21</f>
        <v>0.24771</v>
      </c>
      <c r="D42" s="216">
        <f>149.25/1000</f>
        <v>0.14925</v>
      </c>
      <c r="E42" s="20">
        <f t="shared" si="0"/>
        <v>0.0369707175</v>
      </c>
      <c r="F42" s="21"/>
      <c r="G42" s="20"/>
      <c r="H42" s="21"/>
      <c r="I42" s="20"/>
      <c r="J42" s="21"/>
      <c r="K42" s="20"/>
      <c r="L42" s="21"/>
      <c r="N42" s="27"/>
    </row>
    <row r="43" spans="1:14" ht="15">
      <c r="A43" s="10">
        <v>13</v>
      </c>
      <c r="B43" s="138" t="s">
        <v>37</v>
      </c>
      <c r="C43" s="31">
        <v>0</v>
      </c>
      <c r="D43" s="19">
        <v>0</v>
      </c>
      <c r="E43" s="31">
        <f t="shared" si="0"/>
        <v>0</v>
      </c>
      <c r="F43" s="21"/>
      <c r="G43" s="20"/>
      <c r="H43" s="21"/>
      <c r="I43" s="20"/>
      <c r="J43" s="21"/>
      <c r="K43" s="20"/>
      <c r="L43" s="21"/>
      <c r="N43" s="27"/>
    </row>
    <row r="44" spans="1:14" s="111" customFormat="1" ht="15">
      <c r="A44" s="10"/>
      <c r="B44" s="341" t="s">
        <v>63</v>
      </c>
      <c r="C44" s="56">
        <f>2323/1000</f>
        <v>2.323</v>
      </c>
      <c r="D44" s="217">
        <f>1088.94/1000</f>
        <v>1.08894</v>
      </c>
      <c r="E44" s="20">
        <f t="shared" si="0"/>
        <v>2.52960762</v>
      </c>
      <c r="F44" s="150"/>
      <c r="G44" s="52"/>
      <c r="H44" s="150"/>
      <c r="I44" s="52"/>
      <c r="J44" s="150"/>
      <c r="K44" s="52"/>
      <c r="L44" s="150"/>
      <c r="N44" s="27"/>
    </row>
    <row r="45" spans="1:14" s="111" customFormat="1" ht="15">
      <c r="A45" s="10"/>
      <c r="B45" s="341" t="s">
        <v>64</v>
      </c>
      <c r="C45" s="56">
        <f>2320.7/1000</f>
        <v>2.3207</v>
      </c>
      <c r="D45" s="217">
        <f>1062.26/1000</f>
        <v>1.06226</v>
      </c>
      <c r="E45" s="20">
        <f t="shared" si="0"/>
        <v>2.465186782</v>
      </c>
      <c r="F45" s="150"/>
      <c r="G45" s="52"/>
      <c r="H45" s="150"/>
      <c r="I45" s="52"/>
      <c r="J45" s="150"/>
      <c r="K45" s="52"/>
      <c r="L45" s="150"/>
      <c r="N45" s="27"/>
    </row>
    <row r="46" spans="1:14" ht="15" thickBot="1">
      <c r="A46" s="10">
        <v>16</v>
      </c>
      <c r="B46" s="18" t="s">
        <v>21</v>
      </c>
      <c r="C46" s="37">
        <f>C45-C44</f>
        <v>-0.0022999999999999687</v>
      </c>
      <c r="D46" s="216">
        <f>D45-D44</f>
        <v>-0.026680000000000037</v>
      </c>
      <c r="E46" s="20">
        <f>(C45*D45)-(C44*D44)</f>
        <v>-0.0644208380000002</v>
      </c>
      <c r="F46" s="21"/>
      <c r="G46" s="20"/>
      <c r="H46" s="21"/>
      <c r="I46" s="20"/>
      <c r="J46" s="21"/>
      <c r="K46" s="20"/>
      <c r="L46" s="21"/>
      <c r="N46" s="27"/>
    </row>
    <row r="47" spans="1:12" ht="15" thickBot="1">
      <c r="A47" s="10">
        <v>17</v>
      </c>
      <c r="B47" s="22" t="s">
        <v>9</v>
      </c>
      <c r="C47" s="44">
        <f>C38+C39+C41+C42+C45-C44</f>
        <v>30.14392</v>
      </c>
      <c r="D47" s="44"/>
      <c r="E47" s="44">
        <f aca="true" t="shared" si="1" ref="E47">E38+E39+E41+E42+E45-E44</f>
        <v>31.7325411121</v>
      </c>
      <c r="F47" s="231">
        <f>E47/C52</f>
        <v>32.68026891050464</v>
      </c>
      <c r="G47" s="44">
        <v>0</v>
      </c>
      <c r="H47" s="231">
        <v>0</v>
      </c>
      <c r="I47" s="44">
        <v>0</v>
      </c>
      <c r="J47" s="231">
        <v>0</v>
      </c>
      <c r="K47" s="44">
        <f>E47+G47-I47</f>
        <v>31.7325411121</v>
      </c>
      <c r="L47" s="231">
        <f>F47+H47-J47</f>
        <v>32.68026891050464</v>
      </c>
    </row>
    <row r="48" spans="3:12" ht="15">
      <c r="C48" s="14"/>
      <c r="E48" s="14"/>
      <c r="F48" s="14"/>
      <c r="G48" s="14"/>
      <c r="H48" s="14"/>
      <c r="I48" s="14"/>
      <c r="J48" s="14"/>
      <c r="K48" s="14"/>
      <c r="L48" s="14"/>
    </row>
    <row r="49" ht="15">
      <c r="B49" s="26"/>
    </row>
    <row r="50" ht="15" thickBot="1"/>
    <row r="51" spans="2:3" ht="15" thickBot="1">
      <c r="B51" s="84"/>
      <c r="C51" s="87">
        <v>2020</v>
      </c>
    </row>
    <row r="52" spans="2:3" ht="15">
      <c r="B52" s="112" t="s">
        <v>146</v>
      </c>
      <c r="C52" s="219">
        <v>0.971</v>
      </c>
    </row>
    <row r="53" spans="2:3" ht="15" thickBot="1">
      <c r="B53" s="113" t="s">
        <v>147</v>
      </c>
      <c r="C53" s="220">
        <v>1.087</v>
      </c>
    </row>
  </sheetData>
  <mergeCells count="7">
    <mergeCell ref="K34:L34"/>
    <mergeCell ref="B34:B35"/>
    <mergeCell ref="C34:C35"/>
    <mergeCell ref="D34:D35"/>
    <mergeCell ref="E34:F34"/>
    <mergeCell ref="G34:H34"/>
    <mergeCell ref="I34:J34"/>
  </mergeCells>
  <conditionalFormatting sqref="C49 N37:N46">
    <cfRule type="cellIs" priority="19" dxfId="1" operator="equal">
      <formula>FALSE</formula>
    </cfRule>
    <cfRule type="cellIs" priority="20" dxfId="0" operator="equal">
      <formula>TRUE</formula>
    </cfRule>
  </conditionalFormatting>
  <conditionalFormatting sqref="E49">
    <cfRule type="cellIs" priority="17" dxfId="1" operator="equal">
      <formula>FALSE</formula>
    </cfRule>
    <cfRule type="cellIs" priority="18" dxfId="0" operator="equal">
      <formula>TRUE</formula>
    </cfRule>
  </conditionalFormatting>
  <conditionalFormatting sqref="F49">
    <cfRule type="cellIs" priority="15" dxfId="1" operator="equal">
      <formula>FALSE</formula>
    </cfRule>
    <cfRule type="cellIs" priority="16" dxfId="0" operator="equal">
      <formula>TRUE</formula>
    </cfRule>
  </conditionalFormatting>
  <conditionalFormatting sqref="K49">
    <cfRule type="cellIs" priority="13" dxfId="1" operator="equal">
      <formula>FALSE</formula>
    </cfRule>
    <cfRule type="cellIs" priority="14" dxfId="0" operator="equal">
      <formula>TRUE</formula>
    </cfRule>
  </conditionalFormatting>
  <conditionalFormatting sqref="L49">
    <cfRule type="cellIs" priority="11" dxfId="1" operator="equal">
      <formula>FALSE</formula>
    </cfRule>
    <cfRule type="cellIs" priority="12" dxfId="0" operator="equal">
      <formula>TRUE</formula>
    </cfRule>
  </conditionalFormatting>
  <conditionalFormatting sqref="N36">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9"/>
  <sheetViews>
    <sheetView zoomScale="70" zoomScaleNormal="70" workbookViewId="0" topLeftCell="A1">
      <selection activeCell="D1" sqref="D1"/>
    </sheetView>
  </sheetViews>
  <sheetFormatPr defaultColWidth="8.7109375" defaultRowHeight="15"/>
  <cols>
    <col min="1" max="1" width="5.00390625" style="5" bestFit="1" customWidth="1"/>
    <col min="2" max="2" width="42.7109375" style="5" bestFit="1" customWidth="1"/>
    <col min="3" max="4" width="20.7109375" style="5" customWidth="1"/>
    <col min="5" max="5" width="14.28125" style="5" bestFit="1" customWidth="1"/>
    <col min="6" max="6" width="17.7109375" style="5" customWidth="1"/>
    <col min="7" max="7" width="14.28125" style="5" bestFit="1" customWidth="1"/>
    <col min="8" max="8" width="19.57421875" style="5" customWidth="1"/>
    <col min="9"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68</v>
      </c>
    </row>
    <row r="2" ht="4.5" customHeight="1"/>
    <row r="3" spans="2:3" ht="15">
      <c r="B3" s="7" t="s">
        <v>223</v>
      </c>
      <c r="C3" s="28" t="s">
        <v>57</v>
      </c>
    </row>
    <row r="4" spans="2:3" ht="15">
      <c r="B4" s="27" t="s">
        <v>226</v>
      </c>
      <c r="C4" s="4" t="s">
        <v>144</v>
      </c>
    </row>
    <row r="5" ht="14.25" customHeight="1">
      <c r="C5" s="4" t="s">
        <v>145</v>
      </c>
    </row>
    <row r="6" spans="3:8" ht="14.25" customHeight="1" thickBot="1">
      <c r="C6" s="401" t="s">
        <v>224</v>
      </c>
      <c r="D6" s="401"/>
      <c r="E6" s="401" t="s">
        <v>227</v>
      </c>
      <c r="F6" s="401"/>
      <c r="G6" s="401" t="s">
        <v>225</v>
      </c>
      <c r="H6" s="401"/>
    </row>
    <row r="7" spans="2:8" ht="16.5" customHeight="1" thickBot="1">
      <c r="B7" s="316"/>
      <c r="C7" s="317" t="s">
        <v>66</v>
      </c>
      <c r="D7" s="317" t="s">
        <v>58</v>
      </c>
      <c r="E7" s="317" t="s">
        <v>66</v>
      </c>
      <c r="F7" s="317" t="s">
        <v>58</v>
      </c>
      <c r="G7" s="317" t="s">
        <v>66</v>
      </c>
      <c r="H7" s="317" t="s">
        <v>58</v>
      </c>
    </row>
    <row r="8" spans="2:8" ht="14.55" customHeight="1">
      <c r="B8" s="318" t="s">
        <v>59</v>
      </c>
      <c r="C8" s="319">
        <f>C9+C10</f>
        <v>7.2967</v>
      </c>
      <c r="D8" s="319">
        <f>D9+D10</f>
        <v>0.32770000000000005</v>
      </c>
      <c r="E8" s="319">
        <v>0</v>
      </c>
      <c r="F8" s="319">
        <f>F10+F9</f>
        <v>0.4767</v>
      </c>
      <c r="G8" s="319">
        <f>C8+E8</f>
        <v>7.2967</v>
      </c>
      <c r="H8" s="319">
        <f>D8+F8</f>
        <v>0.8044</v>
      </c>
    </row>
    <row r="9" spans="2:8" s="111" customFormat="1" ht="14.55" customHeight="1">
      <c r="B9" s="318" t="s">
        <v>208</v>
      </c>
      <c r="C9" s="319">
        <f>6062/1000</f>
        <v>6.062</v>
      </c>
      <c r="D9" s="319">
        <f>273/1000</f>
        <v>0.273</v>
      </c>
      <c r="E9" s="319">
        <f>3112/1000</f>
        <v>3.112</v>
      </c>
      <c r="F9" s="319">
        <f>140/1000</f>
        <v>0.14</v>
      </c>
      <c r="G9" s="319">
        <f>9174/1000</f>
        <v>9.174</v>
      </c>
      <c r="H9" s="319">
        <f>413/1000</f>
        <v>0.413</v>
      </c>
    </row>
    <row r="10" spans="2:8" s="111" customFormat="1" ht="14.55" customHeight="1">
      <c r="B10" s="318" t="s">
        <v>209</v>
      </c>
      <c r="C10" s="319">
        <f>1234.7/1000</f>
        <v>1.2347000000000001</v>
      </c>
      <c r="D10" s="319">
        <f>54.7/1000</f>
        <v>0.054700000000000006</v>
      </c>
      <c r="E10" s="319">
        <f>7606.3/1000</f>
        <v>7.6063</v>
      </c>
      <c r="F10" s="319">
        <f>336.7/1000</f>
        <v>0.3367</v>
      </c>
      <c r="G10" s="319">
        <f aca="true" t="shared" si="0" ref="G10:G12">C10+E10</f>
        <v>8.841000000000001</v>
      </c>
      <c r="H10" s="319">
        <f aca="true" t="shared" si="1" ref="H10:H12">D10+F10</f>
        <v>0.3914</v>
      </c>
    </row>
    <row r="11" spans="2:8" ht="14.55" customHeight="1">
      <c r="B11" s="328" t="s">
        <v>61</v>
      </c>
      <c r="C11" s="319">
        <f>25/1000</f>
        <v>0.025</v>
      </c>
      <c r="D11" s="319">
        <f>1/1000</f>
        <v>0.001</v>
      </c>
      <c r="E11" s="319">
        <v>0</v>
      </c>
      <c r="F11" s="319">
        <v>0</v>
      </c>
      <c r="G11" s="319">
        <f t="shared" si="0"/>
        <v>0.025</v>
      </c>
      <c r="H11" s="319">
        <f t="shared" si="1"/>
        <v>0.001</v>
      </c>
    </row>
    <row r="12" spans="2:8" ht="14.55" customHeight="1">
      <c r="B12" s="328" t="s">
        <v>62</v>
      </c>
      <c r="C12" s="319">
        <f>7267/1000</f>
        <v>7.267</v>
      </c>
      <c r="D12" s="319">
        <f>280/1000</f>
        <v>0.28</v>
      </c>
      <c r="E12" s="319">
        <f>3112/1000</f>
        <v>3.112</v>
      </c>
      <c r="F12" s="319">
        <f>120/1000</f>
        <v>0.12</v>
      </c>
      <c r="G12" s="319">
        <f t="shared" si="0"/>
        <v>10.379000000000001</v>
      </c>
      <c r="H12" s="319">
        <f t="shared" si="1"/>
        <v>0.4</v>
      </c>
    </row>
    <row r="13" spans="2:8" ht="14.55" customHeight="1" thickBot="1">
      <c r="B13" s="331" t="s">
        <v>60</v>
      </c>
      <c r="C13" s="332">
        <f>C8-C11+C12</f>
        <v>14.5387</v>
      </c>
      <c r="D13" s="332">
        <f aca="true" t="shared" si="2" ref="D13:H13">D8-D11+D12</f>
        <v>0.6067</v>
      </c>
      <c r="E13" s="332">
        <f t="shared" si="2"/>
        <v>3.112</v>
      </c>
      <c r="F13" s="332">
        <f t="shared" si="2"/>
        <v>0.5967</v>
      </c>
      <c r="G13" s="332">
        <f t="shared" si="2"/>
        <v>17.6507</v>
      </c>
      <c r="H13" s="332">
        <f t="shared" si="2"/>
        <v>1.2034</v>
      </c>
    </row>
    <row r="14" spans="2:4" ht="14.25" customHeight="1">
      <c r="B14" s="33"/>
      <c r="C14" s="34"/>
      <c r="D14" s="34"/>
    </row>
    <row r="15" ht="14.25" customHeight="1"/>
    <row r="16" spans="3:8" ht="14.25" customHeight="1" thickBot="1">
      <c r="C16" s="401" t="s">
        <v>224</v>
      </c>
      <c r="D16" s="401"/>
      <c r="E16" s="401" t="s">
        <v>227</v>
      </c>
      <c r="F16" s="401"/>
      <c r="G16" s="401" t="s">
        <v>225</v>
      </c>
      <c r="H16" s="401"/>
    </row>
    <row r="17" spans="2:8" ht="16.5" customHeight="1" thickBot="1">
      <c r="B17" s="316"/>
      <c r="C17" s="317" t="s">
        <v>66</v>
      </c>
      <c r="D17" s="317" t="s">
        <v>58</v>
      </c>
      <c r="E17" s="317" t="s">
        <v>66</v>
      </c>
      <c r="F17" s="317" t="s">
        <v>58</v>
      </c>
      <c r="G17" s="317" t="s">
        <v>66</v>
      </c>
      <c r="H17" s="317" t="s">
        <v>58</v>
      </c>
    </row>
    <row r="18" spans="2:8" ht="14.55" customHeight="1">
      <c r="B18" s="318" t="s">
        <v>63</v>
      </c>
      <c r="C18" s="319">
        <f>40987/1000</f>
        <v>40.987</v>
      </c>
      <c r="D18" s="319">
        <f>2050.9/1000</f>
        <v>2.0509</v>
      </c>
      <c r="E18" s="319">
        <f>34574/1000</f>
        <v>34.574</v>
      </c>
      <c r="F18" s="319">
        <f>1576/1000</f>
        <v>1.576</v>
      </c>
      <c r="G18" s="319">
        <f>C18+E18</f>
        <v>75.561</v>
      </c>
      <c r="H18" s="319">
        <f>D18+F18</f>
        <v>3.6269</v>
      </c>
    </row>
    <row r="19" spans="2:8" ht="14.55" customHeight="1">
      <c r="B19" s="334" t="s">
        <v>64</v>
      </c>
      <c r="C19" s="344">
        <f>38260/1000</f>
        <v>38.26</v>
      </c>
      <c r="D19" s="344">
        <f>1919.4/1000</f>
        <v>1.9194</v>
      </c>
      <c r="E19" s="344">
        <f>34335/1000</f>
        <v>34.335</v>
      </c>
      <c r="F19" s="319">
        <f>1565/1000</f>
        <v>1.565</v>
      </c>
      <c r="G19" s="319">
        <f>C19+E19</f>
        <v>72.595</v>
      </c>
      <c r="H19" s="319">
        <f>D19+F19</f>
        <v>3.4844</v>
      </c>
    </row>
    <row r="20" spans="2:8" ht="14.25" customHeight="1" thickBot="1">
      <c r="B20" s="346" t="s">
        <v>21</v>
      </c>
      <c r="C20" s="347">
        <f>C19-C18</f>
        <v>-2.727000000000004</v>
      </c>
      <c r="D20" s="347">
        <f aca="true" t="shared" si="3" ref="D20:H20">D19-D18</f>
        <v>-0.13149999999999995</v>
      </c>
      <c r="E20" s="347">
        <f t="shared" si="3"/>
        <v>-0.23899999999999721</v>
      </c>
      <c r="F20" s="347">
        <f t="shared" si="3"/>
        <v>-0.01100000000000012</v>
      </c>
      <c r="G20" s="347">
        <f t="shared" si="3"/>
        <v>-2.966000000000008</v>
      </c>
      <c r="H20" s="347">
        <f t="shared" si="3"/>
        <v>-0.14250000000000007</v>
      </c>
    </row>
    <row r="21" ht="14.25" customHeight="1" thickBot="1">
      <c r="H21" s="65">
        <f>H13+H20</f>
        <v>1.0609</v>
      </c>
    </row>
    <row r="22" spans="2:4" ht="16.5" customHeight="1" thickBot="1">
      <c r="B22" s="84"/>
      <c r="C22" s="85" t="s">
        <v>3</v>
      </c>
      <c r="D22" s="9"/>
    </row>
    <row r="23" spans="1:4" ht="14.55" customHeight="1">
      <c r="A23" s="10">
        <v>1</v>
      </c>
      <c r="B23" s="82" t="s">
        <v>0</v>
      </c>
      <c r="C23" s="46">
        <f>1300.1/1000</f>
        <v>1.3000999999999998</v>
      </c>
      <c r="D23" s="40"/>
    </row>
    <row r="24" spans="1:3" ht="15">
      <c r="A24" s="10">
        <v>2</v>
      </c>
      <c r="B24" s="11" t="s">
        <v>8</v>
      </c>
      <c r="C24" s="38">
        <f>239.1/1000</f>
        <v>0.2391</v>
      </c>
    </row>
    <row r="25" spans="1:3" ht="15" thickBot="1">
      <c r="A25" s="10">
        <v>3</v>
      </c>
      <c r="B25" s="13" t="s">
        <v>2</v>
      </c>
      <c r="C25" s="42">
        <f>C23-C24</f>
        <v>1.0609999999999997</v>
      </c>
    </row>
    <row r="26" spans="1:3" ht="15">
      <c r="A26" s="10">
        <v>7</v>
      </c>
      <c r="B26" s="11" t="s">
        <v>27</v>
      </c>
      <c r="C26" s="29">
        <v>0</v>
      </c>
    </row>
    <row r="27" spans="2:3" ht="15" thickBot="1">
      <c r="B27" s="13" t="s">
        <v>77</v>
      </c>
      <c r="C27" s="42">
        <f>IF(ISNUMBER(C26)=TRUE,C25-C26,C25)</f>
        <v>1.0609999999999997</v>
      </c>
    </row>
    <row r="28" spans="2:3" ht="15">
      <c r="B28" s="14"/>
      <c r="C28" s="15"/>
    </row>
    <row r="29" spans="2:3" ht="15" thickBot="1">
      <c r="B29" s="16"/>
      <c r="C29" s="17"/>
    </row>
    <row r="30" spans="2:14" ht="16.5" customHeight="1">
      <c r="B30" s="389" t="s">
        <v>1</v>
      </c>
      <c r="C30" s="391" t="s">
        <v>3</v>
      </c>
      <c r="D30" s="393" t="s">
        <v>4</v>
      </c>
      <c r="E30" s="395" t="s">
        <v>5</v>
      </c>
      <c r="F30" s="396"/>
      <c r="G30" s="395" t="s">
        <v>6</v>
      </c>
      <c r="H30" s="396"/>
      <c r="I30" s="395" t="s">
        <v>12</v>
      </c>
      <c r="J30" s="396"/>
      <c r="K30" s="387" t="s">
        <v>7</v>
      </c>
      <c r="L30" s="388"/>
      <c r="N30" s="26"/>
    </row>
    <row r="31" spans="2:12" ht="15" thickBot="1">
      <c r="B31" s="390"/>
      <c r="C31" s="392"/>
      <c r="D31" s="394"/>
      <c r="E31" s="79" t="s">
        <v>10</v>
      </c>
      <c r="F31" s="80" t="s">
        <v>11</v>
      </c>
      <c r="G31" s="79" t="s">
        <v>10</v>
      </c>
      <c r="H31" s="80" t="s">
        <v>11</v>
      </c>
      <c r="I31" s="79" t="s">
        <v>10</v>
      </c>
      <c r="J31" s="80" t="s">
        <v>11</v>
      </c>
      <c r="K31" s="79" t="s">
        <v>10</v>
      </c>
      <c r="L31" s="81" t="s">
        <v>11</v>
      </c>
    </row>
    <row r="32" spans="1:14" ht="15">
      <c r="A32" s="10">
        <v>6</v>
      </c>
      <c r="B32" s="45" t="s">
        <v>76</v>
      </c>
      <c r="C32" s="75">
        <v>0</v>
      </c>
      <c r="D32" s="76">
        <v>0</v>
      </c>
      <c r="E32" s="303">
        <v>0</v>
      </c>
      <c r="F32" s="78"/>
      <c r="G32" s="77"/>
      <c r="H32" s="78"/>
      <c r="I32" s="77"/>
      <c r="J32" s="78"/>
      <c r="K32" s="77"/>
      <c r="L32" s="78"/>
      <c r="N32" s="27"/>
    </row>
    <row r="33" spans="1:14" ht="15">
      <c r="A33" s="10">
        <v>8</v>
      </c>
      <c r="B33" s="18" t="s">
        <v>28</v>
      </c>
      <c r="C33" s="31">
        <v>0</v>
      </c>
      <c r="D33" s="19">
        <v>0</v>
      </c>
      <c r="E33" s="307">
        <v>0</v>
      </c>
      <c r="F33" s="21"/>
      <c r="G33" s="20"/>
      <c r="H33" s="21"/>
      <c r="I33" s="20"/>
      <c r="J33" s="21"/>
      <c r="K33" s="20"/>
      <c r="L33" s="21"/>
      <c r="N33" s="27"/>
    </row>
    <row r="34" spans="1:14" ht="15">
      <c r="A34" s="10">
        <v>10</v>
      </c>
      <c r="B34" s="18" t="s">
        <v>29</v>
      </c>
      <c r="C34" s="37">
        <f>9.1/1000</f>
        <v>0.0091</v>
      </c>
      <c r="D34" s="216">
        <f>1442.66/1000</f>
        <v>1.44266</v>
      </c>
      <c r="E34" s="20">
        <f>C34*D34</f>
        <v>0.013128206000000002</v>
      </c>
      <c r="F34" s="21"/>
      <c r="G34" s="20"/>
      <c r="H34" s="21"/>
      <c r="I34" s="20"/>
      <c r="J34" s="21"/>
      <c r="K34" s="20"/>
      <c r="L34" s="21"/>
      <c r="N34" s="27"/>
    </row>
    <row r="35" spans="1:14" ht="15">
      <c r="A35" s="10">
        <v>11</v>
      </c>
      <c r="B35" s="18" t="s">
        <v>30</v>
      </c>
      <c r="C35" s="37">
        <f>D10</f>
        <v>0.054700000000000006</v>
      </c>
      <c r="D35" s="216">
        <f>1442.66/1000</f>
        <v>1.44266</v>
      </c>
      <c r="E35" s="20">
        <f aca="true" t="shared" si="4" ref="E35:E41">C35*D35</f>
        <v>0.07891350200000001</v>
      </c>
      <c r="F35" s="21"/>
      <c r="G35" s="20"/>
      <c r="H35" s="21"/>
      <c r="I35" s="20"/>
      <c r="J35" s="21"/>
      <c r="K35" s="20"/>
      <c r="L35" s="21"/>
      <c r="N35" s="27"/>
    </row>
    <row r="36" spans="1:14" ht="15">
      <c r="A36" s="10" t="s">
        <v>31</v>
      </c>
      <c r="B36" s="18" t="s">
        <v>32</v>
      </c>
      <c r="C36" s="31">
        <v>0</v>
      </c>
      <c r="D36" s="19">
        <v>0</v>
      </c>
      <c r="E36" s="31">
        <f t="shared" si="4"/>
        <v>0</v>
      </c>
      <c r="F36" s="21"/>
      <c r="G36" s="20"/>
      <c r="H36" s="21"/>
      <c r="I36" s="20"/>
      <c r="J36" s="21"/>
      <c r="K36" s="20"/>
      <c r="L36" s="21"/>
      <c r="N36" s="27"/>
    </row>
    <row r="37" spans="1:14" ht="15">
      <c r="A37" s="10" t="s">
        <v>33</v>
      </c>
      <c r="B37" s="18" t="s">
        <v>34</v>
      </c>
      <c r="C37" s="37">
        <f>D9-D11-C34</f>
        <v>0.2629</v>
      </c>
      <c r="D37" s="216">
        <f>1442.66/1000</f>
        <v>1.44266</v>
      </c>
      <c r="E37" s="20">
        <f t="shared" si="4"/>
        <v>0.37927531400000003</v>
      </c>
      <c r="F37" s="21"/>
      <c r="G37" s="20"/>
      <c r="H37" s="21"/>
      <c r="I37" s="20"/>
      <c r="J37" s="21"/>
      <c r="K37" s="20"/>
      <c r="L37" s="21"/>
      <c r="N37" s="27"/>
    </row>
    <row r="38" spans="1:14" ht="15">
      <c r="A38" s="10" t="s">
        <v>35</v>
      </c>
      <c r="B38" s="18" t="s">
        <v>36</v>
      </c>
      <c r="C38" s="37">
        <f>D12</f>
        <v>0.28</v>
      </c>
      <c r="D38" s="216">
        <f>2086.61/1000</f>
        <v>2.0866100000000003</v>
      </c>
      <c r="E38" s="20">
        <f t="shared" si="4"/>
        <v>0.5842508000000002</v>
      </c>
      <c r="F38" s="21"/>
      <c r="G38" s="20"/>
      <c r="H38" s="21"/>
      <c r="I38" s="20"/>
      <c r="J38" s="21"/>
      <c r="K38" s="20"/>
      <c r="L38" s="21"/>
      <c r="N38" s="27"/>
    </row>
    <row r="39" spans="1:14" ht="15">
      <c r="A39" s="10">
        <v>13</v>
      </c>
      <c r="B39" s="138" t="s">
        <v>37</v>
      </c>
      <c r="C39" s="37">
        <f>585.8/1000</f>
        <v>0.5858</v>
      </c>
      <c r="D39" s="216">
        <f>1871.26/1000</f>
        <v>1.87126</v>
      </c>
      <c r="E39" s="20">
        <f t="shared" si="4"/>
        <v>1.0961841079999999</v>
      </c>
      <c r="F39" s="21"/>
      <c r="G39" s="20"/>
      <c r="H39" s="21"/>
      <c r="I39" s="20"/>
      <c r="J39" s="21"/>
      <c r="K39" s="20"/>
      <c r="L39" s="21"/>
      <c r="N39" s="27"/>
    </row>
    <row r="40" spans="1:14" s="111" customFormat="1" ht="15">
      <c r="A40" s="10"/>
      <c r="B40" s="341" t="s">
        <v>63</v>
      </c>
      <c r="C40" s="56">
        <f>D18</f>
        <v>2.0509</v>
      </c>
      <c r="D40" s="217">
        <f>1434.88/1000</f>
        <v>1.4348800000000002</v>
      </c>
      <c r="E40" s="20">
        <f t="shared" si="4"/>
        <v>2.9427953920000003</v>
      </c>
      <c r="F40" s="150"/>
      <c r="G40" s="52"/>
      <c r="H40" s="150"/>
      <c r="I40" s="52"/>
      <c r="J40" s="150"/>
      <c r="K40" s="52"/>
      <c r="L40" s="150"/>
      <c r="N40" s="27"/>
    </row>
    <row r="41" spans="1:14" s="111" customFormat="1" ht="15">
      <c r="A41" s="10"/>
      <c r="B41" s="341" t="s">
        <v>64</v>
      </c>
      <c r="C41" s="56">
        <f>D19</f>
        <v>1.9194</v>
      </c>
      <c r="D41" s="217">
        <f>1442.66/1000</f>
        <v>1.44266</v>
      </c>
      <c r="E41" s="20">
        <f t="shared" si="4"/>
        <v>2.769041604</v>
      </c>
      <c r="F41" s="150"/>
      <c r="G41" s="52"/>
      <c r="H41" s="150"/>
      <c r="I41" s="52"/>
      <c r="J41" s="150"/>
      <c r="K41" s="52"/>
      <c r="L41" s="150"/>
      <c r="N41" s="27"/>
    </row>
    <row r="42" spans="1:14" ht="15" thickBot="1">
      <c r="A42" s="10">
        <v>16</v>
      </c>
      <c r="B42" s="18" t="s">
        <v>21</v>
      </c>
      <c r="C42" s="37">
        <f>C41-C40</f>
        <v>-0.13149999999999995</v>
      </c>
      <c r="D42" s="216"/>
      <c r="E42" s="20">
        <f>E41-E40</f>
        <v>-0.1737537880000004</v>
      </c>
      <c r="F42" s="21"/>
      <c r="G42" s="20"/>
      <c r="H42" s="21"/>
      <c r="I42" s="20"/>
      <c r="J42" s="21"/>
      <c r="K42" s="20"/>
      <c r="L42" s="21"/>
      <c r="N42" s="27"/>
    </row>
    <row r="43" spans="1:12" ht="15" thickBot="1">
      <c r="A43" s="10">
        <v>17</v>
      </c>
      <c r="B43" s="22" t="s">
        <v>9</v>
      </c>
      <c r="C43" s="227">
        <f aca="true" t="shared" si="5" ref="C43">C34+C35+C37+C38+C39+C41-C40</f>
        <v>1.061</v>
      </c>
      <c r="D43" s="227"/>
      <c r="E43" s="227">
        <f>E34+E35+E37+E38+E39+E41-E40</f>
        <v>1.9779981419999992</v>
      </c>
      <c r="F43" s="228">
        <f>E43/C48</f>
        <v>2.0886991995776127</v>
      </c>
      <c r="G43" s="227">
        <f>277.9/1000</f>
        <v>0.2779</v>
      </c>
      <c r="H43" s="228">
        <f>G43/1.148</f>
        <v>0.2420731707317073</v>
      </c>
      <c r="I43" s="227">
        <v>0</v>
      </c>
      <c r="J43" s="228">
        <v>0</v>
      </c>
      <c r="K43" s="227">
        <f>E43+G43-I43</f>
        <v>2.255898141999999</v>
      </c>
      <c r="L43" s="228">
        <f>F43+H43-J43</f>
        <v>2.33077237030932</v>
      </c>
    </row>
    <row r="44" spans="3:12" ht="15">
      <c r="C44" s="14"/>
      <c r="E44" s="14"/>
      <c r="F44" s="14"/>
      <c r="G44" s="14"/>
      <c r="H44" s="14"/>
      <c r="I44" s="14"/>
      <c r="J44" s="14"/>
      <c r="K44" s="14"/>
      <c r="L44" s="14"/>
    </row>
    <row r="45" ht="15">
      <c r="B45" s="26"/>
    </row>
    <row r="46" ht="15" thickBot="1"/>
    <row r="47" spans="2:3" ht="15" thickBot="1">
      <c r="B47" s="84"/>
      <c r="C47" s="87">
        <v>2020</v>
      </c>
    </row>
    <row r="48" spans="2:3" ht="15">
      <c r="B48" s="112" t="s">
        <v>146</v>
      </c>
      <c r="C48" s="219">
        <v>0.947</v>
      </c>
    </row>
    <row r="49" spans="2:3" ht="15" thickBot="1">
      <c r="B49" s="113" t="s">
        <v>147</v>
      </c>
      <c r="C49" s="220">
        <v>0.774</v>
      </c>
    </row>
  </sheetData>
  <mergeCells count="13">
    <mergeCell ref="C6:D6"/>
    <mergeCell ref="E6:F6"/>
    <mergeCell ref="G6:H6"/>
    <mergeCell ref="C16:D16"/>
    <mergeCell ref="E16:F16"/>
    <mergeCell ref="G16:H16"/>
    <mergeCell ref="K30:L30"/>
    <mergeCell ref="B30:B31"/>
    <mergeCell ref="C30:C31"/>
    <mergeCell ref="D30:D31"/>
    <mergeCell ref="E30:F30"/>
    <mergeCell ref="G30:H30"/>
    <mergeCell ref="I30:J30"/>
  </mergeCells>
  <conditionalFormatting sqref="C45 N33:N42">
    <cfRule type="cellIs" priority="19" dxfId="1" operator="equal">
      <formula>FALSE</formula>
    </cfRule>
    <cfRule type="cellIs" priority="20" dxfId="0" operator="equal">
      <formula>TRUE</formula>
    </cfRule>
  </conditionalFormatting>
  <conditionalFormatting sqref="E45">
    <cfRule type="cellIs" priority="17" dxfId="1" operator="equal">
      <formula>FALSE</formula>
    </cfRule>
    <cfRule type="cellIs" priority="18" dxfId="0" operator="equal">
      <formula>TRUE</formula>
    </cfRule>
  </conditionalFormatting>
  <conditionalFormatting sqref="F45">
    <cfRule type="cellIs" priority="15" dxfId="1" operator="equal">
      <formula>FALSE</formula>
    </cfRule>
    <cfRule type="cellIs" priority="16" dxfId="0" operator="equal">
      <formula>TRUE</formula>
    </cfRule>
  </conditionalFormatting>
  <conditionalFormatting sqref="K45">
    <cfRule type="cellIs" priority="13" dxfId="1" operator="equal">
      <formula>FALSE</formula>
    </cfRule>
    <cfRule type="cellIs" priority="14" dxfId="0" operator="equal">
      <formula>TRUE</formula>
    </cfRule>
  </conditionalFormatting>
  <conditionalFormatting sqref="L45">
    <cfRule type="cellIs" priority="11" dxfId="1" operator="equal">
      <formula>FALSE</formula>
    </cfRule>
    <cfRule type="cellIs" priority="12" dxfId="0" operator="equal">
      <formula>TRUE</formula>
    </cfRule>
  </conditionalFormatting>
  <conditionalFormatting sqref="C15">
    <cfRule type="cellIs" priority="7" dxfId="1" operator="equal">
      <formula>FALSE</formula>
    </cfRule>
    <cfRule type="cellIs" priority="8" dxfId="0" operator="equal">
      <formula>TRUE</formula>
    </cfRule>
  </conditionalFormatting>
  <conditionalFormatting sqref="D15">
    <cfRule type="cellIs" priority="5" dxfId="1" operator="equal">
      <formula>FALSE</formula>
    </cfRule>
    <cfRule type="cellIs" priority="6" dxfId="0" operator="equal">
      <formula>TRUE</formula>
    </cfRule>
  </conditionalFormatting>
  <conditionalFormatting sqref="E23">
    <cfRule type="cellIs" priority="3" dxfId="1" operator="equal">
      <formula>FALSE</formula>
    </cfRule>
    <cfRule type="cellIs" priority="4" dxfId="0" operator="equal">
      <formula>TRUE</formula>
    </cfRule>
  </conditionalFormatting>
  <conditionalFormatting sqref="N32">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6"/>
  <sheetViews>
    <sheetView workbookViewId="0" topLeftCell="A1">
      <selection activeCell="C1" sqref="C1"/>
    </sheetView>
  </sheetViews>
  <sheetFormatPr defaultColWidth="8.7109375" defaultRowHeight="15"/>
  <cols>
    <col min="2" max="2" width="15.28125" style="0" customWidth="1"/>
    <col min="3" max="3" width="46.28125" style="0" customWidth="1"/>
  </cols>
  <sheetData>
    <row r="2" spans="2:3" ht="18">
      <c r="B2" s="1" t="s">
        <v>17</v>
      </c>
      <c r="C2" t="s">
        <v>183</v>
      </c>
    </row>
    <row r="6" spans="2:3" ht="18">
      <c r="B6" s="1" t="s">
        <v>13</v>
      </c>
      <c r="C6" t="s">
        <v>184</v>
      </c>
    </row>
  </sheetData>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5"/>
  <sheetViews>
    <sheetView zoomScale="70" zoomScaleNormal="70" workbookViewId="0" topLeftCell="A1">
      <selection activeCell="E3" sqref="E3"/>
    </sheetView>
  </sheetViews>
  <sheetFormatPr defaultColWidth="8.7109375" defaultRowHeight="15"/>
  <cols>
    <col min="1" max="1" width="5.00390625" style="5" bestFit="1" customWidth="1"/>
    <col min="2" max="2" width="42.7109375" style="5" bestFit="1" customWidth="1"/>
    <col min="3" max="3" width="20.7109375" style="5" customWidth="1"/>
    <col min="4" max="4" width="24.28125" style="5" bestFit="1"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73</v>
      </c>
    </row>
    <row r="2" ht="4.5" customHeight="1"/>
    <row r="3" spans="2:3" ht="15">
      <c r="B3" s="7" t="s">
        <v>229</v>
      </c>
      <c r="C3" s="28" t="s">
        <v>74</v>
      </c>
    </row>
    <row r="4" spans="2:3" ht="15">
      <c r="B4" s="27" t="s">
        <v>228</v>
      </c>
      <c r="C4" s="4" t="s">
        <v>144</v>
      </c>
    </row>
    <row r="5" ht="14.25" customHeight="1">
      <c r="C5" s="4" t="s">
        <v>145</v>
      </c>
    </row>
    <row r="6" ht="14.25" customHeight="1"/>
    <row r="7" spans="2:3" ht="15" thickBot="1">
      <c r="B7" s="16"/>
      <c r="C7" s="17"/>
    </row>
    <row r="8" spans="2:14" ht="16.5" customHeight="1">
      <c r="B8" s="389" t="s">
        <v>1</v>
      </c>
      <c r="C8" s="391" t="s">
        <v>3</v>
      </c>
      <c r="D8" s="393" t="s">
        <v>4</v>
      </c>
      <c r="E8" s="395" t="s">
        <v>5</v>
      </c>
      <c r="F8" s="396"/>
      <c r="G8" s="395" t="s">
        <v>6</v>
      </c>
      <c r="H8" s="396"/>
      <c r="I8" s="395" t="s">
        <v>12</v>
      </c>
      <c r="J8" s="396"/>
      <c r="K8" s="387" t="s">
        <v>7</v>
      </c>
      <c r="L8" s="388"/>
      <c r="N8" s="26"/>
    </row>
    <row r="9" spans="2:12" ht="15" thickBot="1">
      <c r="B9" s="390"/>
      <c r="C9" s="392"/>
      <c r="D9" s="394"/>
      <c r="E9" s="79" t="s">
        <v>10</v>
      </c>
      <c r="F9" s="80" t="s">
        <v>11</v>
      </c>
      <c r="G9" s="79" t="s">
        <v>10</v>
      </c>
      <c r="H9" s="80" t="s">
        <v>11</v>
      </c>
      <c r="I9" s="79" t="s">
        <v>10</v>
      </c>
      <c r="J9" s="80" t="s">
        <v>11</v>
      </c>
      <c r="K9" s="79" t="s">
        <v>10</v>
      </c>
      <c r="L9" s="80" t="s">
        <v>11</v>
      </c>
    </row>
    <row r="10" spans="1:14" ht="15">
      <c r="A10" s="10">
        <v>6</v>
      </c>
      <c r="B10" s="45" t="s">
        <v>76</v>
      </c>
      <c r="C10" s="75">
        <v>0</v>
      </c>
      <c r="D10" s="76">
        <v>0</v>
      </c>
      <c r="E10" s="77"/>
      <c r="F10" s="78"/>
      <c r="G10" s="77"/>
      <c r="H10" s="78"/>
      <c r="I10" s="77"/>
      <c r="J10" s="78"/>
      <c r="K10" s="77"/>
      <c r="L10" s="78"/>
      <c r="N10" s="27"/>
    </row>
    <row r="11" spans="1:14" ht="15">
      <c r="A11" s="10">
        <v>8</v>
      </c>
      <c r="B11" s="18" t="s">
        <v>28</v>
      </c>
      <c r="C11" s="31">
        <v>0</v>
      </c>
      <c r="D11" s="19">
        <v>0</v>
      </c>
      <c r="E11" s="20"/>
      <c r="F11" s="21"/>
      <c r="G11" s="20"/>
      <c r="H11" s="21"/>
      <c r="I11" s="20"/>
      <c r="J11" s="21"/>
      <c r="K11" s="20"/>
      <c r="L11" s="21"/>
      <c r="N11" s="27"/>
    </row>
    <row r="12" spans="1:14" ht="15">
      <c r="A12" s="10">
        <v>10</v>
      </c>
      <c r="B12" s="18" t="s">
        <v>29</v>
      </c>
      <c r="C12" s="31">
        <v>0</v>
      </c>
      <c r="D12" s="19">
        <v>0</v>
      </c>
      <c r="E12" s="20" t="s">
        <v>143</v>
      </c>
      <c r="F12" s="21"/>
      <c r="G12" s="20"/>
      <c r="H12" s="21"/>
      <c r="I12" s="20"/>
      <c r="J12" s="21"/>
      <c r="K12" s="20"/>
      <c r="L12" s="21"/>
      <c r="N12" s="27"/>
    </row>
    <row r="13" spans="1:14" ht="15">
      <c r="A13" s="10">
        <v>11</v>
      </c>
      <c r="B13" s="18" t="s">
        <v>30</v>
      </c>
      <c r="C13" s="31">
        <v>0</v>
      </c>
      <c r="D13" s="19">
        <v>0</v>
      </c>
      <c r="E13" s="20" t="s">
        <v>143</v>
      </c>
      <c r="F13" s="21"/>
      <c r="G13" s="20"/>
      <c r="H13" s="21"/>
      <c r="I13" s="20"/>
      <c r="J13" s="21"/>
      <c r="K13" s="20"/>
      <c r="L13" s="21"/>
      <c r="N13" s="27"/>
    </row>
    <row r="14" spans="1:14" ht="15">
      <c r="A14" s="10" t="s">
        <v>31</v>
      </c>
      <c r="B14" s="18" t="s">
        <v>32</v>
      </c>
      <c r="C14" s="31">
        <v>0</v>
      </c>
      <c r="D14" s="19">
        <v>0</v>
      </c>
      <c r="E14" s="20" t="s">
        <v>143</v>
      </c>
      <c r="F14" s="21"/>
      <c r="G14" s="20"/>
      <c r="H14" s="21"/>
      <c r="I14" s="20"/>
      <c r="J14" s="21"/>
      <c r="K14" s="20"/>
      <c r="L14" s="21"/>
      <c r="N14" s="27"/>
    </row>
    <row r="15" spans="1:14" ht="15">
      <c r="A15" s="10" t="s">
        <v>33</v>
      </c>
      <c r="B15" s="18" t="s">
        <v>34</v>
      </c>
      <c r="C15" s="31">
        <v>0</v>
      </c>
      <c r="D15" s="19">
        <v>0</v>
      </c>
      <c r="E15" s="20">
        <v>0</v>
      </c>
      <c r="F15" s="21"/>
      <c r="G15" s="20"/>
      <c r="H15" s="21"/>
      <c r="I15" s="20"/>
      <c r="J15" s="21"/>
      <c r="K15" s="20"/>
      <c r="L15" s="21"/>
      <c r="N15" s="27"/>
    </row>
    <row r="16" spans="1:14" ht="15">
      <c r="A16" s="10" t="s">
        <v>35</v>
      </c>
      <c r="B16" s="18" t="s">
        <v>36</v>
      </c>
      <c r="C16" s="31">
        <v>0</v>
      </c>
      <c r="D16" s="19">
        <v>0</v>
      </c>
      <c r="E16" s="20" t="s">
        <v>143</v>
      </c>
      <c r="F16" s="21"/>
      <c r="G16" s="20"/>
      <c r="H16" s="21"/>
      <c r="I16" s="20"/>
      <c r="J16" s="21"/>
      <c r="K16" s="20"/>
      <c r="L16" s="21"/>
      <c r="N16" s="27"/>
    </row>
    <row r="17" spans="1:14" ht="15">
      <c r="A17" s="10">
        <v>13</v>
      </c>
      <c r="B17" s="18" t="s">
        <v>37</v>
      </c>
      <c r="C17" s="300">
        <f>198/1000</f>
        <v>0.198</v>
      </c>
      <c r="D17" s="216">
        <f>655.42/1000</f>
        <v>0.65542</v>
      </c>
      <c r="E17" s="20">
        <f>C17*D17</f>
        <v>0.12977316</v>
      </c>
      <c r="F17" s="21"/>
      <c r="G17" s="20"/>
      <c r="H17" s="21"/>
      <c r="I17" s="20"/>
      <c r="J17" s="21"/>
      <c r="K17" s="20"/>
      <c r="L17" s="21"/>
      <c r="N17" s="27"/>
    </row>
    <row r="18" spans="1:14" ht="15" thickBot="1">
      <c r="A18" s="10">
        <v>16</v>
      </c>
      <c r="B18" s="18" t="s">
        <v>21</v>
      </c>
      <c r="C18" s="37">
        <v>0</v>
      </c>
      <c r="D18" s="19">
        <v>0</v>
      </c>
      <c r="E18" s="20" t="s">
        <v>143</v>
      </c>
      <c r="F18" s="21"/>
      <c r="G18" s="20"/>
      <c r="H18" s="21"/>
      <c r="I18" s="20"/>
      <c r="J18" s="21"/>
      <c r="K18" s="20"/>
      <c r="L18" s="21"/>
      <c r="N18" s="27"/>
    </row>
    <row r="19" spans="1:12" ht="15" thickBot="1">
      <c r="A19" s="10">
        <v>17</v>
      </c>
      <c r="B19" s="22" t="s">
        <v>9</v>
      </c>
      <c r="C19" s="44">
        <f>198/1000</f>
        <v>0.198</v>
      </c>
      <c r="D19" s="44">
        <f>655.42/1000</f>
        <v>0.65542</v>
      </c>
      <c r="E19" s="227">
        <f>C19*D19</f>
        <v>0.12977316</v>
      </c>
      <c r="F19" s="228">
        <f>E19/C24</f>
        <v>0.12977316</v>
      </c>
      <c r="G19" s="227">
        <v>0</v>
      </c>
      <c r="H19" s="228">
        <v>0</v>
      </c>
      <c r="I19" s="227">
        <v>0</v>
      </c>
      <c r="J19" s="228">
        <v>0</v>
      </c>
      <c r="K19" s="227">
        <f>E19+G19-I19</f>
        <v>0.12977316</v>
      </c>
      <c r="L19" s="228">
        <f>F19+H19-J19</f>
        <v>0.12977316</v>
      </c>
    </row>
    <row r="20" spans="3:12" ht="15">
      <c r="C20" s="14"/>
      <c r="E20" s="14"/>
      <c r="F20" s="14"/>
      <c r="G20" s="14"/>
      <c r="H20" s="14"/>
      <c r="I20" s="14"/>
      <c r="J20" s="14"/>
      <c r="K20" s="14"/>
      <c r="L20" s="14"/>
    </row>
    <row r="21" ht="15">
      <c r="B21" s="26"/>
    </row>
    <row r="22" ht="15" thickBot="1"/>
    <row r="23" spans="2:3" ht="15" thickBot="1">
      <c r="B23" s="84"/>
      <c r="C23" s="87">
        <v>2020</v>
      </c>
    </row>
    <row r="24" spans="2:3" ht="15">
      <c r="B24" s="112" t="s">
        <v>146</v>
      </c>
      <c r="C24" s="219">
        <v>1</v>
      </c>
    </row>
    <row r="25" spans="2:3" ht="15" thickBot="1">
      <c r="B25" s="113" t="s">
        <v>147</v>
      </c>
      <c r="C25" s="220">
        <v>1</v>
      </c>
    </row>
  </sheetData>
  <mergeCells count="7">
    <mergeCell ref="K8:L8"/>
    <mergeCell ref="B8:B9"/>
    <mergeCell ref="C8:C9"/>
    <mergeCell ref="D8:D9"/>
    <mergeCell ref="E8:F8"/>
    <mergeCell ref="G8:H8"/>
    <mergeCell ref="I8:J8"/>
  </mergeCells>
  <conditionalFormatting sqref="C21 N11:N18">
    <cfRule type="cellIs" priority="21" dxfId="1" operator="equal">
      <formula>FALSE</formula>
    </cfRule>
    <cfRule type="cellIs" priority="22" dxfId="0" operator="equal">
      <formula>TRUE</formula>
    </cfRule>
  </conditionalFormatting>
  <conditionalFormatting sqref="E21">
    <cfRule type="cellIs" priority="19" dxfId="1" operator="equal">
      <formula>FALSE</formula>
    </cfRule>
    <cfRule type="cellIs" priority="20" dxfId="0" operator="equal">
      <formula>TRUE</formula>
    </cfRule>
  </conditionalFormatting>
  <conditionalFormatting sqref="F21">
    <cfRule type="cellIs" priority="17" dxfId="1" operator="equal">
      <formula>FALSE</formula>
    </cfRule>
    <cfRule type="cellIs" priority="18" dxfId="0" operator="equal">
      <formula>TRUE</formula>
    </cfRule>
  </conditionalFormatting>
  <conditionalFormatting sqref="K21">
    <cfRule type="cellIs" priority="15" dxfId="1" operator="equal">
      <formula>FALSE</formula>
    </cfRule>
    <cfRule type="cellIs" priority="16" dxfId="0" operator="equal">
      <formula>TRUE</formula>
    </cfRule>
  </conditionalFormatting>
  <conditionalFormatting sqref="L21">
    <cfRule type="cellIs" priority="13" dxfId="1" operator="equal">
      <formula>FALSE</formula>
    </cfRule>
    <cfRule type="cellIs" priority="14" dxfId="0" operator="equal">
      <formula>TRUE</formula>
    </cfRule>
  </conditionalFormatting>
  <conditionalFormatting sqref="N10">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34"/>
  <sheetViews>
    <sheetView zoomScale="70" zoomScaleNormal="70" workbookViewId="0" topLeftCell="A1">
      <selection activeCell="E1" sqref="E1"/>
    </sheetView>
  </sheetViews>
  <sheetFormatPr defaultColWidth="8.7109375" defaultRowHeight="15"/>
  <cols>
    <col min="1" max="1" width="5.00390625" style="5" bestFit="1" customWidth="1"/>
    <col min="2" max="2" width="42.7109375" style="5" bestFit="1" customWidth="1"/>
    <col min="3" max="4" width="20.7109375" style="5"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72</v>
      </c>
    </row>
    <row r="2" ht="4.5" customHeight="1"/>
    <row r="3" spans="2:3" ht="15">
      <c r="B3" s="7" t="s">
        <v>174</v>
      </c>
      <c r="C3" s="28" t="s">
        <v>23</v>
      </c>
    </row>
    <row r="4" spans="2:3" ht="15">
      <c r="B4" s="27" t="s">
        <v>75</v>
      </c>
      <c r="C4" s="4" t="s">
        <v>144</v>
      </c>
    </row>
    <row r="5" ht="14.25" customHeight="1">
      <c r="C5" s="4" t="s">
        <v>145</v>
      </c>
    </row>
    <row r="6" ht="14.25" customHeight="1" thickBot="1"/>
    <row r="7" spans="2:4" ht="16.5" customHeight="1" thickBot="1">
      <c r="B7" s="84"/>
      <c r="C7" s="85" t="s">
        <v>3</v>
      </c>
      <c r="D7" s="9"/>
    </row>
    <row r="8" spans="1:4" ht="15">
      <c r="A8" s="10">
        <v>1</v>
      </c>
      <c r="B8" s="82" t="s">
        <v>0</v>
      </c>
      <c r="C8" s="46">
        <f>849024/1000</f>
        <v>849.024</v>
      </c>
      <c r="D8" s="40"/>
    </row>
    <row r="9" spans="1:3" ht="15">
      <c r="A9" s="10">
        <v>2</v>
      </c>
      <c r="B9" s="11" t="s">
        <v>8</v>
      </c>
      <c r="C9" s="38">
        <f>5324.8/1000</f>
        <v>5.3248</v>
      </c>
    </row>
    <row r="10" spans="1:3" ht="15">
      <c r="A10" s="10">
        <v>3</v>
      </c>
      <c r="B10" s="12" t="s">
        <v>2</v>
      </c>
      <c r="C10" s="41">
        <f>C8-C9</f>
        <v>843.6992</v>
      </c>
    </row>
    <row r="11" spans="1:3" ht="15">
      <c r="A11" s="10">
        <v>7</v>
      </c>
      <c r="B11" s="11" t="s">
        <v>27</v>
      </c>
      <c r="C11" s="38">
        <f>32326.4/1000</f>
        <v>32.3264</v>
      </c>
    </row>
    <row r="12" spans="2:3" ht="15" thickBot="1">
      <c r="B12" s="13" t="s">
        <v>77</v>
      </c>
      <c r="C12" s="42">
        <f>IF(ISNUMBER(C11)=TRUE,C10-C11,C10)</f>
        <v>811.3728</v>
      </c>
    </row>
    <row r="13" spans="2:3" ht="15">
      <c r="B13" s="14"/>
      <c r="C13" s="15"/>
    </row>
    <row r="14" spans="2:3" ht="15" thickBot="1">
      <c r="B14" s="16"/>
      <c r="C14" s="17"/>
    </row>
    <row r="15" spans="2:14" ht="16.5" customHeight="1">
      <c r="B15" s="389" t="s">
        <v>1</v>
      </c>
      <c r="C15" s="391" t="s">
        <v>3</v>
      </c>
      <c r="D15" s="393" t="s">
        <v>4</v>
      </c>
      <c r="E15" s="395" t="s">
        <v>5</v>
      </c>
      <c r="F15" s="396"/>
      <c r="G15" s="395" t="s">
        <v>6</v>
      </c>
      <c r="H15" s="396"/>
      <c r="I15" s="395" t="s">
        <v>12</v>
      </c>
      <c r="J15" s="396"/>
      <c r="K15" s="387" t="s">
        <v>7</v>
      </c>
      <c r="L15" s="388"/>
      <c r="N15" s="26"/>
    </row>
    <row r="16" spans="2:12" ht="15" thickBot="1">
      <c r="B16" s="390"/>
      <c r="C16" s="392"/>
      <c r="D16" s="394"/>
      <c r="E16" s="79" t="s">
        <v>10</v>
      </c>
      <c r="F16" s="80" t="s">
        <v>11</v>
      </c>
      <c r="G16" s="79" t="s">
        <v>10</v>
      </c>
      <c r="H16" s="80" t="s">
        <v>11</v>
      </c>
      <c r="I16" s="79" t="s">
        <v>10</v>
      </c>
      <c r="J16" s="80" t="s">
        <v>11</v>
      </c>
      <c r="K16" s="79" t="s">
        <v>10</v>
      </c>
      <c r="L16" s="81" t="s">
        <v>11</v>
      </c>
    </row>
    <row r="17" spans="1:14" ht="15">
      <c r="A17" s="10">
        <v>6</v>
      </c>
      <c r="B17" s="45" t="s">
        <v>76</v>
      </c>
      <c r="C17" s="75">
        <v>0</v>
      </c>
      <c r="D17" s="76">
        <v>0</v>
      </c>
      <c r="E17" s="303">
        <v>0</v>
      </c>
      <c r="F17" s="78"/>
      <c r="G17" s="77"/>
      <c r="H17" s="78"/>
      <c r="I17" s="77"/>
      <c r="J17" s="78"/>
      <c r="K17" s="77"/>
      <c r="L17" s="78"/>
      <c r="N17" s="27"/>
    </row>
    <row r="18" spans="1:14" ht="15">
      <c r="A18" s="10">
        <v>8</v>
      </c>
      <c r="B18" s="18" t="s">
        <v>28</v>
      </c>
      <c r="C18" s="31">
        <v>0</v>
      </c>
      <c r="D18" s="19">
        <v>0</v>
      </c>
      <c r="E18" s="307">
        <v>0</v>
      </c>
      <c r="F18" s="21"/>
      <c r="G18" s="20"/>
      <c r="H18" s="21"/>
      <c r="I18" s="20"/>
      <c r="J18" s="21"/>
      <c r="K18" s="20"/>
      <c r="L18" s="21"/>
      <c r="N18" s="27"/>
    </row>
    <row r="19" spans="1:14" ht="15">
      <c r="A19" s="10">
        <v>10</v>
      </c>
      <c r="B19" s="18" t="s">
        <v>29</v>
      </c>
      <c r="C19" s="37">
        <f>1706.3/1000</f>
        <v>1.7063</v>
      </c>
      <c r="D19" s="216">
        <f>293.27/1000</f>
        <v>0.29327</v>
      </c>
      <c r="E19" s="20">
        <f>C19*D19</f>
        <v>0.5004066009999999</v>
      </c>
      <c r="F19" s="21"/>
      <c r="G19" s="20"/>
      <c r="H19" s="21"/>
      <c r="I19" s="20"/>
      <c r="J19" s="21"/>
      <c r="K19" s="20"/>
      <c r="L19" s="21"/>
      <c r="N19" s="27"/>
    </row>
    <row r="20" spans="1:14" ht="15">
      <c r="A20" s="10">
        <v>11</v>
      </c>
      <c r="B20" s="18" t="s">
        <v>30</v>
      </c>
      <c r="C20" s="37">
        <f>6066.3/1000</f>
        <v>6.0663</v>
      </c>
      <c r="D20" s="216">
        <f>293.27/1000</f>
        <v>0.29327</v>
      </c>
      <c r="E20" s="20">
        <f aca="true" t="shared" si="0" ref="E20:E26">C20*D20</f>
        <v>1.779063801</v>
      </c>
      <c r="F20" s="21"/>
      <c r="G20" s="20"/>
      <c r="H20" s="21"/>
      <c r="I20" s="20"/>
      <c r="J20" s="21"/>
      <c r="K20" s="20"/>
      <c r="L20" s="21"/>
      <c r="N20" s="27"/>
    </row>
    <row r="21" spans="1:14" ht="15">
      <c r="A21" s="10" t="s">
        <v>31</v>
      </c>
      <c r="B21" s="18" t="s">
        <v>32</v>
      </c>
      <c r="C21" s="31">
        <v>0</v>
      </c>
      <c r="D21" s="19">
        <v>0</v>
      </c>
      <c r="E21" s="307">
        <f t="shared" si="0"/>
        <v>0</v>
      </c>
      <c r="F21" s="21"/>
      <c r="G21" s="20"/>
      <c r="H21" s="21"/>
      <c r="I21" s="20"/>
      <c r="J21" s="21"/>
      <c r="K21" s="20"/>
      <c r="L21" s="21"/>
      <c r="N21" s="27"/>
    </row>
    <row r="22" spans="1:14" ht="15">
      <c r="A22" s="10" t="s">
        <v>33</v>
      </c>
      <c r="B22" s="18" t="s">
        <v>34</v>
      </c>
      <c r="C22" s="37">
        <f>803587.8/1000</f>
        <v>803.5878</v>
      </c>
      <c r="D22" s="216">
        <f>293.27/1000</f>
        <v>0.29327</v>
      </c>
      <c r="E22" s="20">
        <f t="shared" si="0"/>
        <v>235.668194106</v>
      </c>
      <c r="F22" s="21"/>
      <c r="G22" s="20"/>
      <c r="H22" s="21"/>
      <c r="I22" s="20"/>
      <c r="J22" s="21"/>
      <c r="K22" s="20"/>
      <c r="L22" s="21"/>
      <c r="N22" s="27"/>
    </row>
    <row r="23" spans="1:14" ht="15">
      <c r="A23" s="10" t="s">
        <v>35</v>
      </c>
      <c r="B23" s="18" t="s">
        <v>36</v>
      </c>
      <c r="C23" s="31">
        <v>0</v>
      </c>
      <c r="D23" s="19">
        <v>0</v>
      </c>
      <c r="E23" s="31">
        <f t="shared" si="0"/>
        <v>0</v>
      </c>
      <c r="F23" s="21"/>
      <c r="G23" s="20"/>
      <c r="H23" s="21"/>
      <c r="I23" s="20"/>
      <c r="J23" s="21"/>
      <c r="K23" s="20"/>
      <c r="L23" s="21"/>
      <c r="N23" s="27"/>
    </row>
    <row r="24" spans="1:14" ht="15">
      <c r="A24" s="10">
        <v>13</v>
      </c>
      <c r="B24" s="18" t="s">
        <v>37</v>
      </c>
      <c r="C24" s="31">
        <v>0</v>
      </c>
      <c r="D24" s="19">
        <v>0</v>
      </c>
      <c r="E24" s="31">
        <f t="shared" si="0"/>
        <v>0</v>
      </c>
      <c r="F24" s="21"/>
      <c r="G24" s="20"/>
      <c r="H24" s="21"/>
      <c r="I24" s="20"/>
      <c r="J24" s="21"/>
      <c r="K24" s="20"/>
      <c r="L24" s="21"/>
      <c r="N24" s="27"/>
    </row>
    <row r="25" spans="1:14" s="111" customFormat="1" ht="15">
      <c r="A25" s="10"/>
      <c r="B25" s="341" t="s">
        <v>63</v>
      </c>
      <c r="C25" s="56">
        <f>221.1/1000</f>
        <v>0.2211</v>
      </c>
      <c r="D25" s="217">
        <f>310.07/1000</f>
        <v>0.31007</v>
      </c>
      <c r="E25" s="20">
        <f t="shared" si="0"/>
        <v>0.068556477</v>
      </c>
      <c r="F25" s="150"/>
      <c r="G25" s="52"/>
      <c r="H25" s="150"/>
      <c r="I25" s="52"/>
      <c r="J25" s="150"/>
      <c r="K25" s="52"/>
      <c r="L25" s="150"/>
      <c r="N25" s="27"/>
    </row>
    <row r="26" spans="1:14" s="111" customFormat="1" ht="15">
      <c r="A26" s="10"/>
      <c r="B26" s="341" t="s">
        <v>64</v>
      </c>
      <c r="C26" s="56">
        <f>233.5/1000</f>
        <v>0.2335</v>
      </c>
      <c r="D26" s="217">
        <f>293.27/1000</f>
        <v>0.29327</v>
      </c>
      <c r="E26" s="20">
        <f t="shared" si="0"/>
        <v>0.068478545</v>
      </c>
      <c r="F26" s="150"/>
      <c r="G26" s="52"/>
      <c r="H26" s="150"/>
      <c r="I26" s="52"/>
      <c r="J26" s="150"/>
      <c r="K26" s="52"/>
      <c r="L26" s="150"/>
      <c r="N26" s="27"/>
    </row>
    <row r="27" spans="1:14" ht="15" thickBot="1">
      <c r="A27" s="10">
        <v>16</v>
      </c>
      <c r="B27" s="18" t="s">
        <v>21</v>
      </c>
      <c r="C27" s="37">
        <f>C26-C25</f>
        <v>0.012400000000000022</v>
      </c>
      <c r="D27" s="19"/>
      <c r="E27" s="20">
        <f>E26-E25</f>
        <v>-7.793200000000278E-05</v>
      </c>
      <c r="F27" s="21"/>
      <c r="G27" s="20"/>
      <c r="H27" s="21"/>
      <c r="I27" s="20"/>
      <c r="J27" s="21"/>
      <c r="K27" s="20"/>
      <c r="L27" s="21"/>
      <c r="N27" s="27"/>
    </row>
    <row r="28" spans="1:12" ht="15" thickBot="1">
      <c r="A28" s="10">
        <v>17</v>
      </c>
      <c r="B28" s="22" t="s">
        <v>9</v>
      </c>
      <c r="C28" s="227">
        <f aca="true" t="shared" si="1" ref="C28:D28">C19+C20+C22+C26-C25</f>
        <v>811.3728000000001</v>
      </c>
      <c r="D28" s="227">
        <f t="shared" si="1"/>
        <v>0.8630099999999998</v>
      </c>
      <c r="E28" s="227">
        <f>E19+E20+E22+E26-E25</f>
        <v>237.947586576</v>
      </c>
      <c r="F28" s="228">
        <f>E28/C33</f>
        <v>251.5834072488898</v>
      </c>
      <c r="G28" s="227">
        <v>0</v>
      </c>
      <c r="H28" s="228">
        <v>0</v>
      </c>
      <c r="I28" s="227">
        <v>0</v>
      </c>
      <c r="J28" s="228">
        <v>0</v>
      </c>
      <c r="K28" s="227">
        <f>E28+G28-I28</f>
        <v>237.947586576</v>
      </c>
      <c r="L28" s="228">
        <f>F28+H28-J28</f>
        <v>251.5834072488898</v>
      </c>
    </row>
    <row r="29" spans="3:12" ht="15">
      <c r="C29" s="14"/>
      <c r="E29" s="14"/>
      <c r="F29" s="14"/>
      <c r="G29" s="14"/>
      <c r="H29" s="14"/>
      <c r="I29" s="14"/>
      <c r="J29" s="14"/>
      <c r="K29" s="14"/>
      <c r="L29" s="14"/>
    </row>
    <row r="30" ht="15">
      <c r="B30" s="26"/>
    </row>
    <row r="31" ht="15" thickBot="1"/>
    <row r="32" spans="2:3" ht="15" thickBot="1">
      <c r="B32" s="84"/>
      <c r="C32" s="87">
        <v>2020</v>
      </c>
    </row>
    <row r="33" spans="2:3" ht="15">
      <c r="B33" s="112" t="s">
        <v>146</v>
      </c>
      <c r="C33" s="219">
        <v>0.9458</v>
      </c>
    </row>
    <row r="34" spans="2:3" ht="15" thickBot="1">
      <c r="B34" s="113" t="s">
        <v>147</v>
      </c>
      <c r="C34" s="220">
        <v>1.035</v>
      </c>
    </row>
  </sheetData>
  <mergeCells count="7">
    <mergeCell ref="K15:L15"/>
    <mergeCell ref="B15:B16"/>
    <mergeCell ref="C15:C16"/>
    <mergeCell ref="D15:D16"/>
    <mergeCell ref="E15:F15"/>
    <mergeCell ref="G15:H15"/>
    <mergeCell ref="I15:J15"/>
  </mergeCells>
  <conditionalFormatting sqref="C30 N18:N27">
    <cfRule type="cellIs" priority="19" dxfId="1" operator="equal">
      <formula>FALSE</formula>
    </cfRule>
    <cfRule type="cellIs" priority="20" dxfId="0" operator="equal">
      <formula>TRUE</formula>
    </cfRule>
  </conditionalFormatting>
  <conditionalFormatting sqref="E30">
    <cfRule type="cellIs" priority="17" dxfId="1" operator="equal">
      <formula>FALSE</formula>
    </cfRule>
    <cfRule type="cellIs" priority="18" dxfId="0" operator="equal">
      <formula>TRUE</formula>
    </cfRule>
  </conditionalFormatting>
  <conditionalFormatting sqref="F30">
    <cfRule type="cellIs" priority="15" dxfId="1" operator="equal">
      <formula>FALSE</formula>
    </cfRule>
    <cfRule type="cellIs" priority="16" dxfId="0" operator="equal">
      <formula>TRUE</formula>
    </cfRule>
  </conditionalFormatting>
  <conditionalFormatting sqref="K30">
    <cfRule type="cellIs" priority="13" dxfId="1" operator="equal">
      <formula>FALSE</formula>
    </cfRule>
    <cfRule type="cellIs" priority="14" dxfId="0" operator="equal">
      <formula>TRUE</formula>
    </cfRule>
  </conditionalFormatting>
  <conditionalFormatting sqref="L30">
    <cfRule type="cellIs" priority="11" dxfId="1" operator="equal">
      <formula>FALSE</formula>
    </cfRule>
    <cfRule type="cellIs" priority="12"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34"/>
  <sheetViews>
    <sheetView zoomScale="70" zoomScaleNormal="70" workbookViewId="0" topLeftCell="A1">
      <selection activeCell="E2" sqref="E2"/>
    </sheetView>
  </sheetViews>
  <sheetFormatPr defaultColWidth="8.7109375" defaultRowHeight="15"/>
  <cols>
    <col min="1" max="1" width="5.00390625" style="5" bestFit="1" customWidth="1"/>
    <col min="2" max="2" width="42.7109375" style="5" bestFit="1" customWidth="1"/>
    <col min="3" max="4" width="20.7109375" style="5"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79</v>
      </c>
    </row>
    <row r="2" ht="4.5" customHeight="1"/>
    <row r="3" spans="2:3" ht="15">
      <c r="B3" s="7" t="s">
        <v>173</v>
      </c>
      <c r="C3" s="28" t="s">
        <v>23</v>
      </c>
    </row>
    <row r="4" spans="2:3" ht="15">
      <c r="B4" s="27" t="s">
        <v>80</v>
      </c>
      <c r="C4" s="4" t="s">
        <v>144</v>
      </c>
    </row>
    <row r="5" ht="14.25" customHeight="1">
      <c r="C5" s="4" t="s">
        <v>145</v>
      </c>
    </row>
    <row r="6" ht="14.25" customHeight="1" thickBot="1"/>
    <row r="7" spans="2:4" ht="16.5" customHeight="1" thickBot="1">
      <c r="B7" s="84"/>
      <c r="C7" s="85" t="s">
        <v>3</v>
      </c>
      <c r="D7" s="9"/>
    </row>
    <row r="8" spans="1:4" ht="15">
      <c r="A8" s="10">
        <v>1</v>
      </c>
      <c r="B8" s="82" t="s">
        <v>0</v>
      </c>
      <c r="C8" s="46">
        <f>9944.6/1000</f>
        <v>9.944600000000001</v>
      </c>
      <c r="D8" s="40"/>
    </row>
    <row r="9" spans="1:3" ht="15">
      <c r="A9" s="10">
        <v>2</v>
      </c>
      <c r="B9" s="11" t="s">
        <v>8</v>
      </c>
      <c r="C9" s="38">
        <f>108/1000</f>
        <v>0.108</v>
      </c>
    </row>
    <row r="10" spans="1:3" ht="15">
      <c r="A10" s="10">
        <v>3</v>
      </c>
      <c r="B10" s="12" t="s">
        <v>2</v>
      </c>
      <c r="C10" s="41">
        <f>C8-C9</f>
        <v>9.8366</v>
      </c>
    </row>
    <row r="11" spans="1:3" ht="15">
      <c r="A11" s="10">
        <v>7</v>
      </c>
      <c r="B11" s="11" t="s">
        <v>27</v>
      </c>
      <c r="C11" s="38">
        <f>10.3/1000</f>
        <v>0.0103</v>
      </c>
    </row>
    <row r="12" spans="2:3" ht="15" thickBot="1">
      <c r="B12" s="13" t="s">
        <v>77</v>
      </c>
      <c r="C12" s="42">
        <f>IF(ISNUMBER(C11)=TRUE,C10-C11,C10)</f>
        <v>9.8263</v>
      </c>
    </row>
    <row r="13" spans="2:3" ht="15">
      <c r="B13" s="14"/>
      <c r="C13" s="15"/>
    </row>
    <row r="14" spans="2:3" ht="15" thickBot="1">
      <c r="B14" s="16"/>
      <c r="C14" s="17"/>
    </row>
    <row r="15" spans="2:14" ht="16.5" customHeight="1">
      <c r="B15" s="389" t="s">
        <v>1</v>
      </c>
      <c r="C15" s="391" t="s">
        <v>3</v>
      </c>
      <c r="D15" s="393" t="s">
        <v>4</v>
      </c>
      <c r="E15" s="395" t="s">
        <v>5</v>
      </c>
      <c r="F15" s="396"/>
      <c r="G15" s="395" t="s">
        <v>6</v>
      </c>
      <c r="H15" s="396"/>
      <c r="I15" s="395" t="s">
        <v>12</v>
      </c>
      <c r="J15" s="396"/>
      <c r="K15" s="387" t="s">
        <v>7</v>
      </c>
      <c r="L15" s="388"/>
      <c r="N15" s="26"/>
    </row>
    <row r="16" spans="2:12" ht="15" thickBot="1">
      <c r="B16" s="390"/>
      <c r="C16" s="392"/>
      <c r="D16" s="394"/>
      <c r="E16" s="79" t="s">
        <v>10</v>
      </c>
      <c r="F16" s="80" t="s">
        <v>11</v>
      </c>
      <c r="G16" s="79" t="s">
        <v>10</v>
      </c>
      <c r="H16" s="80" t="s">
        <v>11</v>
      </c>
      <c r="I16" s="79" t="s">
        <v>10</v>
      </c>
      <c r="J16" s="80" t="s">
        <v>11</v>
      </c>
      <c r="K16" s="79" t="s">
        <v>10</v>
      </c>
      <c r="L16" s="81" t="s">
        <v>11</v>
      </c>
    </row>
    <row r="17" spans="1:14" ht="15">
      <c r="A17" s="10">
        <v>6</v>
      </c>
      <c r="B17" s="45" t="s">
        <v>76</v>
      </c>
      <c r="C17" s="75">
        <v>0</v>
      </c>
      <c r="D17" s="76">
        <v>0</v>
      </c>
      <c r="E17" s="75">
        <v>0</v>
      </c>
      <c r="F17" s="78"/>
      <c r="G17" s="77"/>
      <c r="H17" s="78"/>
      <c r="I17" s="77"/>
      <c r="J17" s="78"/>
      <c r="K17" s="77"/>
      <c r="L17" s="78"/>
      <c r="N17" s="27"/>
    </row>
    <row r="18" spans="1:14" ht="15">
      <c r="A18" s="10">
        <v>8</v>
      </c>
      <c r="B18" s="18" t="s">
        <v>28</v>
      </c>
      <c r="C18" s="31">
        <v>0</v>
      </c>
      <c r="D18" s="19">
        <v>0</v>
      </c>
      <c r="E18" s="31">
        <v>0</v>
      </c>
      <c r="F18" s="21"/>
      <c r="G18" s="20"/>
      <c r="H18" s="21"/>
      <c r="I18" s="20"/>
      <c r="J18" s="21"/>
      <c r="K18" s="20"/>
      <c r="L18" s="21"/>
      <c r="N18" s="27"/>
    </row>
    <row r="19" spans="1:14" ht="15">
      <c r="A19" s="10">
        <v>10</v>
      </c>
      <c r="B19" s="18" t="s">
        <v>29</v>
      </c>
      <c r="C19" s="31">
        <v>0</v>
      </c>
      <c r="D19" s="19">
        <v>0</v>
      </c>
      <c r="E19" s="31">
        <v>0</v>
      </c>
      <c r="F19" s="21"/>
      <c r="G19" s="20"/>
      <c r="H19" s="21"/>
      <c r="I19" s="20"/>
      <c r="J19" s="21"/>
      <c r="K19" s="20"/>
      <c r="L19" s="21"/>
      <c r="N19" s="27"/>
    </row>
    <row r="20" spans="1:14" ht="15">
      <c r="A20" s="10">
        <v>11</v>
      </c>
      <c r="B20" s="18" t="s">
        <v>30</v>
      </c>
      <c r="C20" s="37">
        <f>372.9/1000</f>
        <v>0.37289999999999995</v>
      </c>
      <c r="D20" s="216">
        <f>1114.94/1000</f>
        <v>1.11494</v>
      </c>
      <c r="E20" s="20">
        <f>C20*D20</f>
        <v>0.415761126</v>
      </c>
      <c r="F20" s="21"/>
      <c r="G20" s="20"/>
      <c r="H20" s="21"/>
      <c r="I20" s="20"/>
      <c r="J20" s="21"/>
      <c r="K20" s="20"/>
      <c r="L20" s="21"/>
      <c r="N20" s="27"/>
    </row>
    <row r="21" spans="1:14" ht="15">
      <c r="A21" s="10" t="s">
        <v>31</v>
      </c>
      <c r="B21" s="18" t="s">
        <v>32</v>
      </c>
      <c r="C21" s="31">
        <v>0</v>
      </c>
      <c r="D21" s="19">
        <v>0</v>
      </c>
      <c r="E21" s="31">
        <f aca="true" t="shared" si="0" ref="E21:E26">C21*D21</f>
        <v>0</v>
      </c>
      <c r="F21" s="21"/>
      <c r="G21" s="20"/>
      <c r="H21" s="21"/>
      <c r="I21" s="20"/>
      <c r="J21" s="21"/>
      <c r="K21" s="20"/>
      <c r="L21" s="21"/>
      <c r="N21" s="27"/>
    </row>
    <row r="22" spans="1:14" ht="15">
      <c r="A22" s="10" t="s">
        <v>33</v>
      </c>
      <c r="B22" s="18" t="s">
        <v>34</v>
      </c>
      <c r="C22" s="37">
        <f>9445.7/1000</f>
        <v>9.4457</v>
      </c>
      <c r="D22" s="216">
        <f>1114.94/1000</f>
        <v>1.11494</v>
      </c>
      <c r="E22" s="20">
        <f t="shared" si="0"/>
        <v>10.531388758</v>
      </c>
      <c r="F22" s="21"/>
      <c r="G22" s="20"/>
      <c r="H22" s="21"/>
      <c r="I22" s="20"/>
      <c r="J22" s="21"/>
      <c r="K22" s="20"/>
      <c r="L22" s="21"/>
      <c r="N22" s="27"/>
    </row>
    <row r="23" spans="1:14" ht="15">
      <c r="A23" s="10" t="s">
        <v>35</v>
      </c>
      <c r="B23" s="18" t="s">
        <v>36</v>
      </c>
      <c r="C23" s="37">
        <v>0</v>
      </c>
      <c r="D23" s="19">
        <v>0</v>
      </c>
      <c r="E23" s="31">
        <f t="shared" si="0"/>
        <v>0</v>
      </c>
      <c r="F23" s="21"/>
      <c r="G23" s="20"/>
      <c r="H23" s="21"/>
      <c r="I23" s="20"/>
      <c r="J23" s="21"/>
      <c r="K23" s="20"/>
      <c r="L23" s="21"/>
      <c r="N23" s="27"/>
    </row>
    <row r="24" spans="1:14" ht="15">
      <c r="A24" s="10">
        <v>13</v>
      </c>
      <c r="B24" s="18" t="s">
        <v>37</v>
      </c>
      <c r="C24" s="37">
        <v>0</v>
      </c>
      <c r="D24" s="19">
        <v>0</v>
      </c>
      <c r="E24" s="31">
        <f t="shared" si="0"/>
        <v>0</v>
      </c>
      <c r="F24" s="21"/>
      <c r="G24" s="20"/>
      <c r="H24" s="21"/>
      <c r="I24" s="20"/>
      <c r="J24" s="21"/>
      <c r="K24" s="20"/>
      <c r="L24" s="21"/>
      <c r="N24" s="27"/>
    </row>
    <row r="25" spans="1:14" s="111" customFormat="1" ht="15">
      <c r="A25" s="10"/>
      <c r="B25" s="341" t="s">
        <v>63</v>
      </c>
      <c r="C25" s="56">
        <f>216.6/1000</f>
        <v>0.2166</v>
      </c>
      <c r="D25" s="217">
        <f>1149.8/1000</f>
        <v>1.1498</v>
      </c>
      <c r="E25" s="20">
        <f t="shared" si="0"/>
        <v>0.24904667999999996</v>
      </c>
      <c r="F25" s="150"/>
      <c r="G25" s="52"/>
      <c r="H25" s="150"/>
      <c r="I25" s="52"/>
      <c r="J25" s="150"/>
      <c r="K25" s="52"/>
      <c r="L25" s="150"/>
      <c r="N25" s="27"/>
    </row>
    <row r="26" spans="1:14" s="111" customFormat="1" ht="15">
      <c r="A26" s="10"/>
      <c r="B26" s="341" t="s">
        <v>64</v>
      </c>
      <c r="C26" s="56">
        <f>224.3/1000</f>
        <v>0.2243</v>
      </c>
      <c r="D26" s="217">
        <f>1114.94/1000</f>
        <v>1.11494</v>
      </c>
      <c r="E26" s="20">
        <f t="shared" si="0"/>
        <v>0.25008104200000003</v>
      </c>
      <c r="F26" s="150"/>
      <c r="G26" s="52"/>
      <c r="H26" s="150"/>
      <c r="I26" s="52"/>
      <c r="J26" s="150"/>
      <c r="K26" s="52"/>
      <c r="L26" s="150"/>
      <c r="N26" s="27"/>
    </row>
    <row r="27" spans="1:14" ht="15" thickBot="1">
      <c r="A27" s="10">
        <v>16</v>
      </c>
      <c r="B27" s="18" t="s">
        <v>21</v>
      </c>
      <c r="C27" s="37">
        <f>C26-C25</f>
        <v>0.007700000000000012</v>
      </c>
      <c r="D27" s="216">
        <f>D26-D25</f>
        <v>-0.03485999999999989</v>
      </c>
      <c r="E27" s="20">
        <f>E26-E25</f>
        <v>0.0010343620000000664</v>
      </c>
      <c r="F27" s="21"/>
      <c r="G27" s="20"/>
      <c r="H27" s="21"/>
      <c r="I27" s="20"/>
      <c r="J27" s="21"/>
      <c r="K27" s="20"/>
      <c r="L27" s="21"/>
      <c r="N27" s="27"/>
    </row>
    <row r="28" spans="1:12" ht="15" thickBot="1">
      <c r="A28" s="10">
        <v>17</v>
      </c>
      <c r="B28" s="22" t="s">
        <v>9</v>
      </c>
      <c r="C28" s="44">
        <f>C18+C19+C20+C21+C22+C23+C24+C26-C25</f>
        <v>9.8263</v>
      </c>
      <c r="D28" s="23"/>
      <c r="E28" s="227">
        <f>E20+E22+E26-E25</f>
        <v>10.948184246</v>
      </c>
      <c r="F28" s="228">
        <f>E28/C33</f>
        <v>11.29064383185129</v>
      </c>
      <c r="G28" s="227">
        <v>0</v>
      </c>
      <c r="H28" s="228">
        <v>0</v>
      </c>
      <c r="I28" s="227">
        <v>0</v>
      </c>
      <c r="J28" s="228">
        <v>0</v>
      </c>
      <c r="K28" s="227">
        <f>E28+G28-I28</f>
        <v>10.948184246</v>
      </c>
      <c r="L28" s="228">
        <f>F28+H28-J28</f>
        <v>11.29064383185129</v>
      </c>
    </row>
    <row r="29" spans="3:12" ht="15">
      <c r="C29" s="14"/>
      <c r="E29" s="14"/>
      <c r="F29" s="14"/>
      <c r="G29" s="14"/>
      <c r="H29" s="14"/>
      <c r="I29" s="14"/>
      <c r="J29" s="14"/>
      <c r="K29" s="14"/>
      <c r="L29" s="14"/>
    </row>
    <row r="30" ht="15">
      <c r="B30" s="26"/>
    </row>
    <row r="31" ht="15" thickBot="1"/>
    <row r="32" spans="2:3" ht="15" thickBot="1">
      <c r="B32" s="84"/>
      <c r="C32" s="87">
        <v>2020</v>
      </c>
    </row>
    <row r="33" spans="2:3" ht="15">
      <c r="B33" s="112" t="s">
        <v>146</v>
      </c>
      <c r="C33" s="349">
        <v>0.969668728289418</v>
      </c>
    </row>
    <row r="34" spans="2:3" ht="15" thickBot="1">
      <c r="B34" s="113" t="s">
        <v>147</v>
      </c>
      <c r="C34" s="220">
        <v>1.038</v>
      </c>
    </row>
  </sheetData>
  <mergeCells count="7">
    <mergeCell ref="K15:L15"/>
    <mergeCell ref="B15:B16"/>
    <mergeCell ref="C15:C16"/>
    <mergeCell ref="D15:D16"/>
    <mergeCell ref="E15:F15"/>
    <mergeCell ref="G15:H15"/>
    <mergeCell ref="I15:J15"/>
  </mergeCells>
  <conditionalFormatting sqref="C30 N18:N27">
    <cfRule type="cellIs" priority="13" dxfId="1" operator="equal">
      <formula>FALSE</formula>
    </cfRule>
    <cfRule type="cellIs" priority="14" dxfId="0" operator="equal">
      <formula>TRUE</formula>
    </cfRule>
  </conditionalFormatting>
  <conditionalFormatting sqref="E30">
    <cfRule type="cellIs" priority="11" dxfId="1" operator="equal">
      <formula>FALSE</formula>
    </cfRule>
    <cfRule type="cellIs" priority="12" dxfId="0" operator="equal">
      <formula>TRUE</formula>
    </cfRule>
  </conditionalFormatting>
  <conditionalFormatting sqref="F30">
    <cfRule type="cellIs" priority="9" dxfId="1" operator="equal">
      <formula>FALSE</formula>
    </cfRule>
    <cfRule type="cellIs" priority="10" dxfId="0" operator="equal">
      <formula>TRUE</formula>
    </cfRule>
  </conditionalFormatting>
  <conditionalFormatting sqref="K30">
    <cfRule type="cellIs" priority="7" dxfId="1" operator="equal">
      <formula>FALSE</formula>
    </cfRule>
    <cfRule type="cellIs" priority="8" dxfId="0" operator="equal">
      <formula>TRUE</formula>
    </cfRule>
  </conditionalFormatting>
  <conditionalFormatting sqref="L30">
    <cfRule type="cellIs" priority="5" dxfId="1" operator="equal">
      <formula>FALSE</formula>
    </cfRule>
    <cfRule type="cellIs" priority="6"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32"/>
  <sheetViews>
    <sheetView zoomScale="70" zoomScaleNormal="70" workbookViewId="0" topLeftCell="A1">
      <selection activeCell="E1" sqref="E1"/>
    </sheetView>
  </sheetViews>
  <sheetFormatPr defaultColWidth="8.7109375" defaultRowHeight="15"/>
  <cols>
    <col min="1" max="1" width="5.00390625" style="5" bestFit="1" customWidth="1"/>
    <col min="2" max="2" width="42.7109375" style="5" bestFit="1" customWidth="1"/>
    <col min="3" max="4" width="20.7109375" style="5"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81</v>
      </c>
    </row>
    <row r="2" ht="4.5" customHeight="1"/>
    <row r="3" spans="2:3" ht="15">
      <c r="B3" s="7" t="s">
        <v>230</v>
      </c>
      <c r="C3" s="28" t="s">
        <v>23</v>
      </c>
    </row>
    <row r="4" spans="2:3" ht="15">
      <c r="B4" s="27" t="s">
        <v>231</v>
      </c>
      <c r="C4" s="4" t="s">
        <v>144</v>
      </c>
    </row>
    <row r="5" ht="14.25" customHeight="1">
      <c r="C5" s="4" t="s">
        <v>145</v>
      </c>
    </row>
    <row r="6" ht="14.25" customHeight="1" thickBot="1"/>
    <row r="7" spans="2:4" ht="16.5" customHeight="1" thickBot="1">
      <c r="B7" s="84"/>
      <c r="C7" s="85" t="s">
        <v>3</v>
      </c>
      <c r="D7" s="9"/>
    </row>
    <row r="8" spans="1:4" ht="15">
      <c r="A8" s="10">
        <v>1</v>
      </c>
      <c r="B8" s="82" t="s">
        <v>0</v>
      </c>
      <c r="C8" s="46">
        <f>82/1000</f>
        <v>0.082</v>
      </c>
      <c r="D8" s="40"/>
    </row>
    <row r="9" spans="1:3" ht="15">
      <c r="A9" s="10">
        <v>2</v>
      </c>
      <c r="B9" s="11" t="s">
        <v>8</v>
      </c>
      <c r="C9" s="38">
        <v>0</v>
      </c>
    </row>
    <row r="10" spans="1:3" ht="15">
      <c r="A10" s="10">
        <v>3</v>
      </c>
      <c r="B10" s="12" t="s">
        <v>2</v>
      </c>
      <c r="C10" s="41">
        <f>C8-C9</f>
        <v>0.082</v>
      </c>
    </row>
    <row r="11" spans="1:3" ht="15">
      <c r="A11" s="10">
        <v>7</v>
      </c>
      <c r="B11" s="11" t="s">
        <v>27</v>
      </c>
      <c r="C11" s="38">
        <v>0</v>
      </c>
    </row>
    <row r="12" spans="2:3" ht="15" thickBot="1">
      <c r="B12" s="13" t="s">
        <v>77</v>
      </c>
      <c r="C12" s="42">
        <f>IF(ISNUMBER(C11)=TRUE,C10-C11,C10)</f>
        <v>0.082</v>
      </c>
    </row>
    <row r="13" spans="2:3" ht="15">
      <c r="B13" s="14"/>
      <c r="C13" s="15"/>
    </row>
    <row r="14" spans="2:3" ht="15" thickBot="1">
      <c r="B14" s="16"/>
      <c r="C14" s="17"/>
    </row>
    <row r="15" spans="2:14" ht="16.5" customHeight="1">
      <c r="B15" s="389" t="s">
        <v>1</v>
      </c>
      <c r="C15" s="391" t="s">
        <v>3</v>
      </c>
      <c r="D15" s="393" t="s">
        <v>4</v>
      </c>
      <c r="E15" s="395" t="s">
        <v>5</v>
      </c>
      <c r="F15" s="396"/>
      <c r="G15" s="395" t="s">
        <v>6</v>
      </c>
      <c r="H15" s="396"/>
      <c r="I15" s="395" t="s">
        <v>12</v>
      </c>
      <c r="J15" s="396"/>
      <c r="K15" s="387" t="s">
        <v>7</v>
      </c>
      <c r="L15" s="388"/>
      <c r="N15" s="26"/>
    </row>
    <row r="16" spans="2:12" ht="15" thickBot="1">
      <c r="B16" s="390"/>
      <c r="C16" s="392"/>
      <c r="D16" s="394"/>
      <c r="E16" s="79" t="s">
        <v>10</v>
      </c>
      <c r="F16" s="80" t="s">
        <v>11</v>
      </c>
      <c r="G16" s="79" t="s">
        <v>10</v>
      </c>
      <c r="H16" s="80" t="s">
        <v>11</v>
      </c>
      <c r="I16" s="79" t="s">
        <v>10</v>
      </c>
      <c r="J16" s="80" t="s">
        <v>11</v>
      </c>
      <c r="K16" s="79" t="s">
        <v>10</v>
      </c>
      <c r="L16" s="81" t="s">
        <v>11</v>
      </c>
    </row>
    <row r="17" spans="1:14" ht="15">
      <c r="A17" s="10">
        <v>6</v>
      </c>
      <c r="B17" s="45" t="s">
        <v>76</v>
      </c>
      <c r="C17" s="75" t="s">
        <v>143</v>
      </c>
      <c r="D17" s="76"/>
      <c r="E17" s="77"/>
      <c r="F17" s="78"/>
      <c r="G17" s="77"/>
      <c r="H17" s="78"/>
      <c r="I17" s="77"/>
      <c r="J17" s="78"/>
      <c r="K17" s="77"/>
      <c r="L17" s="78"/>
      <c r="N17" s="27"/>
    </row>
    <row r="18" spans="1:14" ht="15">
      <c r="A18" s="10">
        <v>8</v>
      </c>
      <c r="B18" s="18" t="s">
        <v>28</v>
      </c>
      <c r="C18" s="31" t="s">
        <v>143</v>
      </c>
      <c r="D18" s="19"/>
      <c r="E18" s="20"/>
      <c r="F18" s="21"/>
      <c r="G18" s="20"/>
      <c r="H18" s="21"/>
      <c r="I18" s="20"/>
      <c r="J18" s="21"/>
      <c r="K18" s="20"/>
      <c r="L18" s="21"/>
      <c r="N18" s="27"/>
    </row>
    <row r="19" spans="1:14" ht="15">
      <c r="A19" s="10">
        <v>10</v>
      </c>
      <c r="B19" s="18" t="s">
        <v>29</v>
      </c>
      <c r="C19" s="31" t="s">
        <v>143</v>
      </c>
      <c r="D19" s="19" t="s">
        <v>143</v>
      </c>
      <c r="E19" s="20" t="s">
        <v>143</v>
      </c>
      <c r="F19" s="21"/>
      <c r="G19" s="20"/>
      <c r="H19" s="21"/>
      <c r="I19" s="20"/>
      <c r="J19" s="21"/>
      <c r="K19" s="20"/>
      <c r="L19" s="21"/>
      <c r="N19" s="27"/>
    </row>
    <row r="20" spans="1:14" ht="15">
      <c r="A20" s="10">
        <v>11</v>
      </c>
      <c r="B20" s="18" t="s">
        <v>30</v>
      </c>
      <c r="C20" s="300">
        <f>82/1000</f>
        <v>0.082</v>
      </c>
      <c r="D20" s="216">
        <f>677.55/1000</f>
        <v>0.67755</v>
      </c>
      <c r="E20" s="20">
        <f>C20*D20</f>
        <v>0.0555591</v>
      </c>
      <c r="F20" s="21"/>
      <c r="G20" s="20"/>
      <c r="H20" s="21"/>
      <c r="I20" s="20"/>
      <c r="J20" s="21"/>
      <c r="K20" s="20"/>
      <c r="L20" s="21"/>
      <c r="N20" s="27"/>
    </row>
    <row r="21" spans="1:14" ht="15">
      <c r="A21" s="10" t="s">
        <v>31</v>
      </c>
      <c r="B21" s="18" t="s">
        <v>32</v>
      </c>
      <c r="C21" s="37" t="s">
        <v>143</v>
      </c>
      <c r="D21" s="216"/>
      <c r="E21" s="20" t="s">
        <v>143</v>
      </c>
      <c r="F21" s="21"/>
      <c r="G21" s="20"/>
      <c r="H21" s="21"/>
      <c r="I21" s="20"/>
      <c r="J21" s="21"/>
      <c r="K21" s="20"/>
      <c r="L21" s="21"/>
      <c r="N21" s="27"/>
    </row>
    <row r="22" spans="1:14" ht="15">
      <c r="A22" s="10" t="s">
        <v>33</v>
      </c>
      <c r="B22" s="18" t="s">
        <v>34</v>
      </c>
      <c r="C22" s="37"/>
      <c r="D22" s="216"/>
      <c r="E22" s="20"/>
      <c r="F22" s="21"/>
      <c r="G22" s="20"/>
      <c r="H22" s="21"/>
      <c r="I22" s="20"/>
      <c r="J22" s="21"/>
      <c r="K22" s="20"/>
      <c r="L22" s="21"/>
      <c r="N22" s="27"/>
    </row>
    <row r="23" spans="1:14" ht="15">
      <c r="A23" s="10" t="s">
        <v>35</v>
      </c>
      <c r="B23" s="18" t="s">
        <v>36</v>
      </c>
      <c r="C23" s="37" t="s">
        <v>143</v>
      </c>
      <c r="D23" s="216"/>
      <c r="E23" s="20" t="s">
        <v>143</v>
      </c>
      <c r="F23" s="21"/>
      <c r="G23" s="20"/>
      <c r="H23" s="21"/>
      <c r="I23" s="20"/>
      <c r="J23" s="21"/>
      <c r="K23" s="20"/>
      <c r="L23" s="21"/>
      <c r="N23" s="27"/>
    </row>
    <row r="24" spans="1:14" ht="15">
      <c r="A24" s="10">
        <v>13</v>
      </c>
      <c r="B24" s="18" t="s">
        <v>37</v>
      </c>
      <c r="C24" s="37"/>
      <c r="D24" s="216"/>
      <c r="E24" s="20"/>
      <c r="F24" s="21"/>
      <c r="G24" s="20"/>
      <c r="H24" s="21"/>
      <c r="I24" s="20"/>
      <c r="J24" s="21"/>
      <c r="K24" s="20"/>
      <c r="L24" s="21"/>
      <c r="N24" s="27"/>
    </row>
    <row r="25" spans="1:14" ht="15" thickBot="1">
      <c r="A25" s="10">
        <v>16</v>
      </c>
      <c r="B25" s="18" t="s">
        <v>21</v>
      </c>
      <c r="C25" s="37" t="s">
        <v>143</v>
      </c>
      <c r="D25" s="216"/>
      <c r="E25" s="20" t="s">
        <v>143</v>
      </c>
      <c r="F25" s="21"/>
      <c r="G25" s="20"/>
      <c r="H25" s="21"/>
      <c r="I25" s="20"/>
      <c r="J25" s="21"/>
      <c r="K25" s="20"/>
      <c r="L25" s="21"/>
      <c r="N25" s="27"/>
    </row>
    <row r="26" spans="1:12" ht="15" thickBot="1">
      <c r="A26" s="10">
        <v>17</v>
      </c>
      <c r="B26" s="22" t="s">
        <v>9</v>
      </c>
      <c r="C26" s="44">
        <f>C20</f>
        <v>0.082</v>
      </c>
      <c r="D26" s="233">
        <f>D20</f>
        <v>0.67755</v>
      </c>
      <c r="E26" s="227">
        <f>E20</f>
        <v>0.0555591</v>
      </c>
      <c r="F26" s="228">
        <f>E26/C31</f>
        <v>0.055670440881763525</v>
      </c>
      <c r="G26" s="227">
        <v>0</v>
      </c>
      <c r="H26" s="228">
        <v>0</v>
      </c>
      <c r="I26" s="227">
        <v>0</v>
      </c>
      <c r="J26" s="228">
        <v>0</v>
      </c>
      <c r="K26" s="227">
        <f>E26+G26-I26</f>
        <v>0.0555591</v>
      </c>
      <c r="L26" s="228">
        <f>F26+H26-J26</f>
        <v>0.055670440881763525</v>
      </c>
    </row>
    <row r="27" spans="3:12" ht="15">
      <c r="C27" s="14"/>
      <c r="E27" s="14"/>
      <c r="F27" s="14"/>
      <c r="G27" s="14"/>
      <c r="H27" s="14"/>
      <c r="I27" s="14"/>
      <c r="J27" s="14"/>
      <c r="K27" s="14"/>
      <c r="L27" s="14"/>
    </row>
    <row r="28" ht="15">
      <c r="B28" s="26"/>
    </row>
    <row r="29" ht="15" thickBot="1"/>
    <row r="30" spans="2:3" ht="15" thickBot="1">
      <c r="B30" s="84"/>
      <c r="C30" s="87">
        <v>2020</v>
      </c>
    </row>
    <row r="31" spans="2:3" ht="15">
      <c r="B31" s="112" t="s">
        <v>146</v>
      </c>
      <c r="C31" s="219">
        <v>0.998</v>
      </c>
    </row>
    <row r="32" spans="2:3" ht="15" thickBot="1">
      <c r="B32" s="113" t="s">
        <v>147</v>
      </c>
      <c r="C32" s="220">
        <v>0.872</v>
      </c>
    </row>
  </sheetData>
  <mergeCells count="7">
    <mergeCell ref="K15:L15"/>
    <mergeCell ref="B15:B16"/>
    <mergeCell ref="C15:C16"/>
    <mergeCell ref="D15:D16"/>
    <mergeCell ref="E15:F15"/>
    <mergeCell ref="G15:H15"/>
    <mergeCell ref="I15:J15"/>
  </mergeCells>
  <conditionalFormatting sqref="C28 N18:N25">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17"/>
  <sheetViews>
    <sheetView zoomScale="70" zoomScaleNormal="70" workbookViewId="0" topLeftCell="A1">
      <selection activeCell="D1" sqref="D1"/>
    </sheetView>
  </sheetViews>
  <sheetFormatPr defaultColWidth="8.7109375" defaultRowHeight="15"/>
  <cols>
    <col min="1" max="1" width="5.00390625" style="5" bestFit="1" customWidth="1"/>
    <col min="2" max="2" width="42.7109375" style="5" bestFit="1" customWidth="1"/>
    <col min="3" max="4" width="20.7109375" style="5"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82</v>
      </c>
    </row>
    <row r="2" ht="4.5" customHeight="1"/>
    <row r="3" spans="2:3" ht="15">
      <c r="B3" s="7" t="s">
        <v>172</v>
      </c>
      <c r="C3" s="4" t="s">
        <v>145</v>
      </c>
    </row>
    <row r="4" spans="2:3" ht="15">
      <c r="B4" s="27" t="s">
        <v>83</v>
      </c>
      <c r="C4" s="4"/>
    </row>
    <row r="5" ht="14.25" customHeight="1">
      <c r="C5" s="4"/>
    </row>
    <row r="6" spans="2:12" ht="31.95" customHeight="1">
      <c r="B6" s="402" t="s">
        <v>142</v>
      </c>
      <c r="C6" s="402"/>
      <c r="D6" s="402"/>
      <c r="E6" s="402"/>
      <c r="F6" s="402"/>
      <c r="G6" s="402"/>
      <c r="H6" s="402"/>
      <c r="I6" s="402"/>
      <c r="J6" s="402"/>
      <c r="K6" s="402"/>
      <c r="L6" s="402"/>
    </row>
    <row r="7" ht="14.25" customHeight="1"/>
    <row r="8" spans="2:3" ht="15" thickBot="1">
      <c r="B8" s="16" t="s">
        <v>240</v>
      </c>
      <c r="C8" s="17"/>
    </row>
    <row r="9" spans="2:14" ht="16.5" customHeight="1">
      <c r="B9" s="389" t="s">
        <v>1</v>
      </c>
      <c r="C9" s="391" t="s">
        <v>3</v>
      </c>
      <c r="D9" s="393" t="s">
        <v>4</v>
      </c>
      <c r="E9" s="395" t="s">
        <v>5</v>
      </c>
      <c r="F9" s="396"/>
      <c r="G9" s="395" t="s">
        <v>6</v>
      </c>
      <c r="H9" s="396"/>
      <c r="I9" s="395" t="s">
        <v>12</v>
      </c>
      <c r="J9" s="396"/>
      <c r="K9" s="387" t="s">
        <v>7</v>
      </c>
      <c r="L9" s="388"/>
      <c r="N9" s="26"/>
    </row>
    <row r="10" spans="2:12" ht="15" thickBot="1">
      <c r="B10" s="390"/>
      <c r="C10" s="392"/>
      <c r="D10" s="394"/>
      <c r="E10" s="79" t="s">
        <v>10</v>
      </c>
      <c r="F10" s="80" t="s">
        <v>11</v>
      </c>
      <c r="G10" s="79" t="s">
        <v>10</v>
      </c>
      <c r="H10" s="80" t="s">
        <v>11</v>
      </c>
      <c r="I10" s="79" t="s">
        <v>10</v>
      </c>
      <c r="J10" s="80" t="s">
        <v>11</v>
      </c>
      <c r="K10" s="79" t="s">
        <v>10</v>
      </c>
      <c r="L10" s="81" t="s">
        <v>11</v>
      </c>
    </row>
    <row r="11" spans="1:13" ht="15" thickBot="1">
      <c r="A11" s="10">
        <v>17</v>
      </c>
      <c r="B11" s="22" t="s">
        <v>9</v>
      </c>
      <c r="C11" s="32"/>
      <c r="D11" s="23"/>
      <c r="E11" s="227">
        <f>63469.2/1000</f>
        <v>63.469199999999994</v>
      </c>
      <c r="F11" s="228">
        <f>E11/C16</f>
        <v>62.97490993194416</v>
      </c>
      <c r="G11" s="227">
        <v>0</v>
      </c>
      <c r="H11" s="228">
        <v>0</v>
      </c>
      <c r="I11" s="227">
        <v>0</v>
      </c>
      <c r="J11" s="228">
        <v>0</v>
      </c>
      <c r="K11" s="227">
        <f>E11+G11-I11</f>
        <v>63.469199999999994</v>
      </c>
      <c r="L11" s="228">
        <f>F11+H11-J11</f>
        <v>62.97490993194416</v>
      </c>
      <c r="M11" s="298"/>
    </row>
    <row r="12" spans="3:12" ht="15">
      <c r="C12" s="14"/>
      <c r="E12" s="14"/>
      <c r="F12" s="14"/>
      <c r="G12" s="14"/>
      <c r="H12" s="14"/>
      <c r="I12" s="14"/>
      <c r="J12" s="14"/>
      <c r="K12" s="14"/>
      <c r="L12" s="14"/>
    </row>
    <row r="13" ht="15">
      <c r="B13" s="26"/>
    </row>
    <row r="14" ht="15" thickBot="1"/>
    <row r="15" spans="2:3" ht="15" thickBot="1">
      <c r="B15" s="84"/>
      <c r="C15" s="87">
        <v>2020</v>
      </c>
    </row>
    <row r="16" spans="2:3" ht="15">
      <c r="B16" s="112" t="s">
        <v>146</v>
      </c>
      <c r="C16" s="219">
        <v>1.007849</v>
      </c>
    </row>
    <row r="17" spans="2:3" ht="15" thickBot="1">
      <c r="B17" s="113" t="s">
        <v>147</v>
      </c>
      <c r="C17" s="220">
        <v>1.085</v>
      </c>
    </row>
  </sheetData>
  <mergeCells count="8">
    <mergeCell ref="B6:L6"/>
    <mergeCell ref="K9:L9"/>
    <mergeCell ref="B9:B10"/>
    <mergeCell ref="C9:C10"/>
    <mergeCell ref="D9:D10"/>
    <mergeCell ref="E9:F9"/>
    <mergeCell ref="G9:H9"/>
    <mergeCell ref="I9:J9"/>
  </mergeCells>
  <conditionalFormatting sqref="C13">
    <cfRule type="cellIs" priority="13" dxfId="1" operator="equal">
      <formula>FALSE</formula>
    </cfRule>
    <cfRule type="cellIs" priority="14" dxfId="0" operator="equal">
      <formula>TRUE</formula>
    </cfRule>
  </conditionalFormatting>
  <conditionalFormatting sqref="E13">
    <cfRule type="cellIs" priority="11" dxfId="1" operator="equal">
      <formula>FALSE</formula>
    </cfRule>
    <cfRule type="cellIs" priority="12" dxfId="0" operator="equal">
      <formula>TRUE</formula>
    </cfRule>
  </conditionalFormatting>
  <conditionalFormatting sqref="F13">
    <cfRule type="cellIs" priority="9" dxfId="1" operator="equal">
      <formula>FALSE</formula>
    </cfRule>
    <cfRule type="cellIs" priority="10" dxfId="0" operator="equal">
      <formula>TRUE</formula>
    </cfRule>
  </conditionalFormatting>
  <conditionalFormatting sqref="K13">
    <cfRule type="cellIs" priority="7" dxfId="1" operator="equal">
      <formula>FALSE</formula>
    </cfRule>
    <cfRule type="cellIs" priority="8" dxfId="0" operator="equal">
      <formula>TRUE</formula>
    </cfRule>
  </conditionalFormatting>
  <conditionalFormatting sqref="L13">
    <cfRule type="cellIs" priority="5" dxfId="1" operator="equal">
      <formula>FALSE</formula>
    </cfRule>
    <cfRule type="cellIs" priority="6"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5"/>
  <sheetViews>
    <sheetView zoomScale="90" zoomScaleNormal="90" workbookViewId="0" topLeftCell="A1">
      <selection activeCell="E1" sqref="E1"/>
    </sheetView>
  </sheetViews>
  <sheetFormatPr defaultColWidth="8.7109375" defaultRowHeight="15"/>
  <cols>
    <col min="1" max="1" width="5.00390625" style="5" bestFit="1" customWidth="1"/>
    <col min="2" max="2" width="48.7109375" style="5" customWidth="1"/>
    <col min="3" max="4" width="20.7109375" style="5"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84</v>
      </c>
    </row>
    <row r="2" ht="4.5" customHeight="1"/>
    <row r="3" spans="2:3" ht="28.8">
      <c r="B3" s="48" t="s">
        <v>171</v>
      </c>
      <c r="C3" s="49" t="s">
        <v>145</v>
      </c>
    </row>
    <row r="4" spans="2:3" ht="15">
      <c r="B4" s="27" t="s">
        <v>85</v>
      </c>
      <c r="C4" s="4"/>
    </row>
    <row r="5" spans="2:3" ht="15">
      <c r="B5" s="27"/>
      <c r="C5" s="4"/>
    </row>
    <row r="6" spans="2:3" ht="15" thickBot="1">
      <c r="B6" s="16" t="s">
        <v>240</v>
      </c>
      <c r="C6" s="17"/>
    </row>
    <row r="7" spans="2:14" ht="16.5" customHeight="1">
      <c r="B7" s="389" t="s">
        <v>1</v>
      </c>
      <c r="C7" s="391" t="s">
        <v>3</v>
      </c>
      <c r="D7" s="393" t="s">
        <v>4</v>
      </c>
      <c r="E7" s="395" t="s">
        <v>5</v>
      </c>
      <c r="F7" s="396"/>
      <c r="G7" s="395" t="s">
        <v>6</v>
      </c>
      <c r="H7" s="396"/>
      <c r="I7" s="395" t="s">
        <v>12</v>
      </c>
      <c r="J7" s="396"/>
      <c r="K7" s="387" t="s">
        <v>7</v>
      </c>
      <c r="L7" s="388"/>
      <c r="N7" s="26"/>
    </row>
    <row r="8" spans="2:12" ht="15" thickBot="1">
      <c r="B8" s="390"/>
      <c r="C8" s="392"/>
      <c r="D8" s="394"/>
      <c r="E8" s="79" t="s">
        <v>10</v>
      </c>
      <c r="F8" s="80" t="s">
        <v>11</v>
      </c>
      <c r="G8" s="79" t="s">
        <v>10</v>
      </c>
      <c r="H8" s="80" t="s">
        <v>11</v>
      </c>
      <c r="I8" s="79" t="s">
        <v>10</v>
      </c>
      <c r="J8" s="80" t="s">
        <v>11</v>
      </c>
      <c r="K8" s="79" t="s">
        <v>10</v>
      </c>
      <c r="L8" s="81" t="s">
        <v>11</v>
      </c>
    </row>
    <row r="9" spans="1:12" ht="15" thickBot="1">
      <c r="A9" s="10">
        <v>17</v>
      </c>
      <c r="B9" s="22" t="s">
        <v>9</v>
      </c>
      <c r="C9" s="32"/>
      <c r="D9" s="23"/>
      <c r="E9" s="227">
        <f>19504.6/1000</f>
        <v>19.5046</v>
      </c>
      <c r="F9" s="228">
        <f>E9/C14</f>
        <v>11.173259244407527</v>
      </c>
      <c r="G9" s="227">
        <v>0</v>
      </c>
      <c r="H9" s="228">
        <v>0</v>
      </c>
      <c r="I9" s="227">
        <v>0</v>
      </c>
      <c r="J9" s="228">
        <v>0</v>
      </c>
      <c r="K9" s="227">
        <f>E9+G9-I9</f>
        <v>19.5046</v>
      </c>
      <c r="L9" s="228">
        <f>F9+H9-J9</f>
        <v>11.173259244407527</v>
      </c>
    </row>
    <row r="10" spans="3:12" ht="15">
      <c r="C10" s="14"/>
      <c r="E10" s="14"/>
      <c r="F10" s="14"/>
      <c r="G10" s="14"/>
      <c r="H10" s="14"/>
      <c r="I10" s="14"/>
      <c r="J10" s="14"/>
      <c r="K10" s="14"/>
      <c r="L10" s="14"/>
    </row>
    <row r="11" ht="15">
      <c r="B11" s="26"/>
    </row>
    <row r="12" ht="15" thickBot="1"/>
    <row r="13" spans="2:3" ht="15" thickBot="1">
      <c r="B13" s="84"/>
      <c r="C13" s="87">
        <v>2020</v>
      </c>
    </row>
    <row r="14" spans="2:3" ht="15">
      <c r="B14" s="112" t="s">
        <v>146</v>
      </c>
      <c r="C14" s="219">
        <v>1.74565</v>
      </c>
    </row>
    <row r="15" spans="2:3" ht="15" thickBot="1">
      <c r="B15" s="113" t="s">
        <v>147</v>
      </c>
      <c r="C15" s="220">
        <v>1</v>
      </c>
    </row>
  </sheetData>
  <mergeCells count="7">
    <mergeCell ref="I7:J7"/>
    <mergeCell ref="K7:L7"/>
    <mergeCell ref="B7:B8"/>
    <mergeCell ref="C7:C8"/>
    <mergeCell ref="D7:D8"/>
    <mergeCell ref="E7:F7"/>
    <mergeCell ref="G7:H7"/>
  </mergeCells>
  <conditionalFormatting sqref="C11">
    <cfRule type="cellIs" priority="13" dxfId="1" operator="equal">
      <formula>FALSE</formula>
    </cfRule>
    <cfRule type="cellIs" priority="14" dxfId="0" operator="equal">
      <formula>TRUE</formula>
    </cfRule>
  </conditionalFormatting>
  <conditionalFormatting sqref="E11">
    <cfRule type="cellIs" priority="11" dxfId="1" operator="equal">
      <formula>FALSE</formula>
    </cfRule>
    <cfRule type="cellIs" priority="12" dxfId="0" operator="equal">
      <formula>TRUE</formula>
    </cfRule>
  </conditionalFormatting>
  <conditionalFormatting sqref="F11">
    <cfRule type="cellIs" priority="9" dxfId="1" operator="equal">
      <formula>FALSE</formula>
    </cfRule>
    <cfRule type="cellIs" priority="10" dxfId="0" operator="equal">
      <formula>TRUE</formula>
    </cfRule>
  </conditionalFormatting>
  <conditionalFormatting sqref="K11">
    <cfRule type="cellIs" priority="7" dxfId="1" operator="equal">
      <formula>FALSE</formula>
    </cfRule>
    <cfRule type="cellIs" priority="8" dxfId="0" operator="equal">
      <formula>TRUE</formula>
    </cfRule>
  </conditionalFormatting>
  <conditionalFormatting sqref="L11">
    <cfRule type="cellIs" priority="5" dxfId="1" operator="equal">
      <formula>FALSE</formula>
    </cfRule>
    <cfRule type="cellIs" priority="6"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16"/>
  <sheetViews>
    <sheetView zoomScale="80" zoomScaleNormal="80" workbookViewId="0" topLeftCell="A1">
      <selection activeCell="D4" sqref="D4"/>
    </sheetView>
  </sheetViews>
  <sheetFormatPr defaultColWidth="8.7109375" defaultRowHeight="15"/>
  <cols>
    <col min="1" max="1" width="5.00390625" style="5" bestFit="1" customWidth="1"/>
    <col min="2" max="2" width="48.7109375" style="5" customWidth="1"/>
    <col min="3" max="6" width="20.7109375" style="5" customWidth="1"/>
    <col min="7"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87</v>
      </c>
    </row>
    <row r="2" ht="4.5" customHeight="1"/>
    <row r="3" spans="2:11" ht="28.8">
      <c r="B3" s="48" t="s">
        <v>170</v>
      </c>
      <c r="C3" s="49"/>
      <c r="F3" s="60"/>
      <c r="G3" s="111"/>
      <c r="H3" s="111"/>
      <c r="I3" s="111"/>
      <c r="J3" s="111"/>
      <c r="K3" s="111"/>
    </row>
    <row r="4" spans="2:11" ht="15">
      <c r="B4" s="27" t="s">
        <v>89</v>
      </c>
      <c r="C4" s="4"/>
      <c r="F4" s="60"/>
      <c r="G4" s="111"/>
      <c r="H4" s="111"/>
      <c r="I4" s="111"/>
      <c r="J4" s="111"/>
      <c r="K4" s="111"/>
    </row>
    <row r="5" spans="2:6" ht="15">
      <c r="B5" s="16" t="s">
        <v>240</v>
      </c>
      <c r="C5" s="4"/>
      <c r="F5" s="60"/>
    </row>
    <row r="6" spans="2:3" ht="15" thickBot="1">
      <c r="B6" s="27"/>
      <c r="C6" s="4"/>
    </row>
    <row r="7" spans="2:6" ht="16.5" customHeight="1">
      <c r="B7" s="405"/>
      <c r="C7" s="395" t="s">
        <v>86</v>
      </c>
      <c r="D7" s="396"/>
      <c r="E7" s="391" t="s">
        <v>93</v>
      </c>
      <c r="F7" s="393" t="s">
        <v>94</v>
      </c>
    </row>
    <row r="8" spans="2:6" ht="15">
      <c r="B8" s="406"/>
      <c r="C8" s="50" t="s">
        <v>10</v>
      </c>
      <c r="D8" s="91" t="s">
        <v>11</v>
      </c>
      <c r="E8" s="403"/>
      <c r="F8" s="404"/>
    </row>
    <row r="9" spans="2:6" ht="15" thickBot="1">
      <c r="B9" s="407"/>
      <c r="C9" s="92" t="s">
        <v>150</v>
      </c>
      <c r="D9" s="90" t="s">
        <v>150</v>
      </c>
      <c r="E9" s="115" t="s">
        <v>177</v>
      </c>
      <c r="F9" s="114" t="s">
        <v>177</v>
      </c>
    </row>
    <row r="10" spans="1:6" ht="28.8">
      <c r="A10" s="10"/>
      <c r="B10" s="168" t="s">
        <v>250</v>
      </c>
      <c r="C10" s="236">
        <f>C11+C12</f>
        <v>40.85236295246174</v>
      </c>
      <c r="D10" s="236">
        <f>D13+D14</f>
        <v>40.88928691359395</v>
      </c>
      <c r="E10" s="236">
        <f>C10/D10</f>
        <v>0.9990969771321707</v>
      </c>
      <c r="F10" s="237">
        <v>1.05</v>
      </c>
    </row>
    <row r="11" spans="1:6" s="111" customFormat="1" ht="28.8">
      <c r="A11" s="10"/>
      <c r="B11" s="143" t="s">
        <v>251</v>
      </c>
      <c r="C11" s="77">
        <f>38376.3226172/1000</f>
        <v>38.376322617199996</v>
      </c>
      <c r="D11" s="162"/>
      <c r="E11" s="77"/>
      <c r="F11" s="78"/>
    </row>
    <row r="12" spans="1:6" s="111" customFormat="1" ht="28.8">
      <c r="A12" s="10"/>
      <c r="B12" s="143" t="s">
        <v>252</v>
      </c>
      <c r="C12" s="77">
        <f>C11*0.06452</f>
        <v>2.4760403352617435</v>
      </c>
      <c r="D12" s="162"/>
      <c r="E12" s="77"/>
      <c r="F12" s="78"/>
    </row>
    <row r="13" spans="1:6" ht="28.8">
      <c r="A13" s="10"/>
      <c r="B13" s="169" t="s">
        <v>88</v>
      </c>
      <c r="C13" s="242">
        <f>8211.77463845581/1000</f>
        <v>8.211774638455811</v>
      </c>
      <c r="D13" s="243">
        <f>C13/E13</f>
        <v>8.219171893159654</v>
      </c>
      <c r="E13" s="242">
        <v>0.9991</v>
      </c>
      <c r="F13" s="243">
        <v>1.076</v>
      </c>
    </row>
    <row r="14" spans="1:6" ht="29.4" thickBot="1">
      <c r="A14" s="10"/>
      <c r="B14" s="170" t="s">
        <v>421</v>
      </c>
      <c r="C14" s="244">
        <f>32640.7119169159/1000</f>
        <v>32.640711916915905</v>
      </c>
      <c r="D14" s="245">
        <f>C14/E14</f>
        <v>32.670115020434295</v>
      </c>
      <c r="E14" s="244">
        <v>0.9991</v>
      </c>
      <c r="F14" s="245">
        <v>1.044</v>
      </c>
    </row>
    <row r="15" ht="15">
      <c r="C15" s="14"/>
    </row>
    <row r="16" ht="15">
      <c r="B16" s="26"/>
    </row>
  </sheetData>
  <mergeCells count="4">
    <mergeCell ref="C7:D7"/>
    <mergeCell ref="E7:E8"/>
    <mergeCell ref="F7:F8"/>
    <mergeCell ref="B7:B9"/>
  </mergeCells>
  <conditionalFormatting sqref="C16">
    <cfRule type="cellIs" priority="13" dxfId="1" operator="equal">
      <formula>FALSE</formula>
    </cfRule>
    <cfRule type="cellIs" priority="14"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21"/>
  <sheetViews>
    <sheetView zoomScale="90" zoomScaleNormal="90" workbookViewId="0" topLeftCell="A1">
      <selection activeCell="D1" sqref="D1"/>
    </sheetView>
  </sheetViews>
  <sheetFormatPr defaultColWidth="8.7109375" defaultRowHeight="15"/>
  <cols>
    <col min="1" max="1" width="5.00390625" style="5" bestFit="1" customWidth="1"/>
    <col min="2" max="2" width="48.7109375" style="5" customWidth="1"/>
    <col min="3" max="7" width="20.7109375" style="5" customWidth="1"/>
    <col min="8"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90</v>
      </c>
    </row>
    <row r="2" ht="4.5" customHeight="1"/>
    <row r="3" spans="2:11" ht="15">
      <c r="B3" s="48" t="s">
        <v>169</v>
      </c>
      <c r="C3" s="49"/>
      <c r="F3" s="111"/>
      <c r="G3" s="111"/>
      <c r="H3" s="111"/>
      <c r="I3" s="111"/>
      <c r="J3" s="111"/>
      <c r="K3" s="111"/>
    </row>
    <row r="4" spans="2:11" ht="15">
      <c r="B4" s="27" t="s">
        <v>91</v>
      </c>
      <c r="C4" s="4"/>
      <c r="F4" s="111"/>
      <c r="G4" s="111"/>
      <c r="H4" s="111"/>
      <c r="I4" s="111"/>
      <c r="J4" s="111"/>
      <c r="K4" s="111"/>
    </row>
    <row r="5" spans="2:3" ht="15">
      <c r="B5" s="16" t="s">
        <v>240</v>
      </c>
      <c r="C5" s="4"/>
    </row>
    <row r="6" ht="14.25" customHeight="1" thickBot="1">
      <c r="C6" s="4"/>
    </row>
    <row r="7" spans="2:6" ht="16.5" customHeight="1">
      <c r="B7" s="405"/>
      <c r="C7" s="395" t="s">
        <v>86</v>
      </c>
      <c r="D7" s="396"/>
      <c r="E7" s="391" t="s">
        <v>93</v>
      </c>
      <c r="F7" s="393" t="s">
        <v>94</v>
      </c>
    </row>
    <row r="8" spans="2:6" ht="15">
      <c r="B8" s="406"/>
      <c r="C8" s="50" t="s">
        <v>10</v>
      </c>
      <c r="D8" s="91" t="s">
        <v>11</v>
      </c>
      <c r="E8" s="403"/>
      <c r="F8" s="404"/>
    </row>
    <row r="9" spans="2:6" ht="15" thickBot="1">
      <c r="B9" s="407"/>
      <c r="C9" s="92" t="s">
        <v>150</v>
      </c>
      <c r="D9" s="90" t="s">
        <v>150</v>
      </c>
      <c r="E9" s="117" t="s">
        <v>177</v>
      </c>
      <c r="F9" s="116" t="s">
        <v>177</v>
      </c>
    </row>
    <row r="10" spans="1:6" ht="15">
      <c r="A10" s="10"/>
      <c r="B10" s="168" t="s">
        <v>92</v>
      </c>
      <c r="C10" s="246">
        <f>C11+C14+C17</f>
        <v>60.977999999999994</v>
      </c>
      <c r="D10" s="246">
        <f>D11+D14+D17</f>
        <v>721.9465902859552</v>
      </c>
      <c r="E10" s="236">
        <f>C10/D10</f>
        <v>0.08446331185780277</v>
      </c>
      <c r="F10" s="237">
        <v>1.006</v>
      </c>
    </row>
    <row r="11" spans="1:6" ht="15">
      <c r="A11" s="10"/>
      <c r="B11" s="169" t="s">
        <v>243</v>
      </c>
      <c r="C11" s="247">
        <f>C12+C13</f>
        <v>18.331</v>
      </c>
      <c r="D11" s="248">
        <f>C11/E11</f>
        <v>204.80447214647458</v>
      </c>
      <c r="E11" s="242">
        <f>89.5048814504881/1000</f>
        <v>0.0895048814504881</v>
      </c>
      <c r="F11" s="243">
        <f>123.801106562121/1000</f>
        <v>0.12380110656212101</v>
      </c>
    </row>
    <row r="12" spans="1:6" s="111" customFormat="1" ht="15">
      <c r="A12" s="10"/>
      <c r="B12" s="350" t="s">
        <v>241</v>
      </c>
      <c r="C12" s="52">
        <f>17272/1000</f>
        <v>17.272</v>
      </c>
      <c r="D12" s="54"/>
      <c r="E12" s="57"/>
      <c r="F12" s="163"/>
    </row>
    <row r="13" spans="1:6" s="111" customFormat="1" ht="15">
      <c r="A13" s="10"/>
      <c r="B13" s="350" t="s">
        <v>242</v>
      </c>
      <c r="C13" s="52">
        <f>1059/1000</f>
        <v>1.059</v>
      </c>
      <c r="D13" s="54"/>
      <c r="E13" s="57"/>
      <c r="F13" s="163"/>
    </row>
    <row r="14" spans="1:6" ht="15">
      <c r="A14" s="10"/>
      <c r="B14" s="351" t="s">
        <v>244</v>
      </c>
      <c r="C14" s="242">
        <f>C15+C16</f>
        <v>40.068999999999996</v>
      </c>
      <c r="D14" s="249">
        <f>C14/E14</f>
        <v>487.47246858612823</v>
      </c>
      <c r="E14" s="247">
        <f>82.19746258946/1000</f>
        <v>0.08219746258946001</v>
      </c>
      <c r="F14" s="250">
        <f>93.4022951931199/1000</f>
        <v>0.09340229519311989</v>
      </c>
    </row>
    <row r="15" spans="1:6" s="111" customFormat="1" ht="15">
      <c r="A15" s="10"/>
      <c r="B15" s="350" t="s">
        <v>245</v>
      </c>
      <c r="C15" s="61">
        <f>37672/1000</f>
        <v>37.672</v>
      </c>
      <c r="D15" s="62"/>
      <c r="E15" s="164"/>
      <c r="F15" s="165"/>
    </row>
    <row r="16" spans="1:6" s="111" customFormat="1" ht="15">
      <c r="A16" s="10"/>
      <c r="B16" s="350" t="s">
        <v>246</v>
      </c>
      <c r="C16" s="61">
        <f>2397/1000</f>
        <v>2.397</v>
      </c>
      <c r="D16" s="62"/>
      <c r="E16" s="164"/>
      <c r="F16" s="165"/>
    </row>
    <row r="17" spans="1:6" s="111" customFormat="1" ht="15">
      <c r="A17" s="10"/>
      <c r="B17" s="352" t="s">
        <v>247</v>
      </c>
      <c r="C17" s="251">
        <f>C18+C19</f>
        <v>2.578</v>
      </c>
      <c r="D17" s="252">
        <f>C17/E17</f>
        <v>29.669649553352322</v>
      </c>
      <c r="E17" s="253">
        <f>86.8901398839986/1000</f>
        <v>0.0868901398839986</v>
      </c>
      <c r="F17" s="254">
        <f>98.3809606660102/1000</f>
        <v>0.0983809606660102</v>
      </c>
    </row>
    <row r="18" spans="1:6" s="111" customFormat="1" ht="15">
      <c r="A18" s="10"/>
      <c r="B18" s="144" t="s">
        <v>248</v>
      </c>
      <c r="C18" s="166">
        <f>2423/1000</f>
        <v>2.423</v>
      </c>
      <c r="D18" s="62"/>
      <c r="E18" s="164"/>
      <c r="F18" s="165"/>
    </row>
    <row r="19" spans="1:6" ht="15" thickBot="1">
      <c r="A19" s="10"/>
      <c r="B19" s="353" t="s">
        <v>249</v>
      </c>
      <c r="C19" s="167">
        <f>155/1000</f>
        <v>0.155</v>
      </c>
      <c r="D19" s="55"/>
      <c r="E19" s="58"/>
      <c r="F19" s="59"/>
    </row>
    <row r="20" ht="15">
      <c r="C20" s="14"/>
    </row>
    <row r="21" ht="15">
      <c r="B21" s="26"/>
    </row>
  </sheetData>
  <mergeCells count="4">
    <mergeCell ref="C7:D7"/>
    <mergeCell ref="E7:E8"/>
    <mergeCell ref="F7:F8"/>
    <mergeCell ref="B7:B9"/>
  </mergeCells>
  <conditionalFormatting sqref="C21">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6"/>
  <sheetViews>
    <sheetView zoomScale="80" zoomScaleNormal="80" workbookViewId="0" topLeftCell="A1">
      <selection activeCell="D1" sqref="D1"/>
    </sheetView>
  </sheetViews>
  <sheetFormatPr defaultColWidth="8.7109375" defaultRowHeight="15"/>
  <cols>
    <col min="1" max="1" width="5.00390625" style="5" bestFit="1" customWidth="1"/>
    <col min="2" max="2" width="49.28125" style="5" customWidth="1"/>
    <col min="3" max="7" width="20.7109375" style="5" customWidth="1"/>
    <col min="8"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95</v>
      </c>
    </row>
    <row r="2" spans="6:11" ht="4.5" customHeight="1">
      <c r="F2" s="111"/>
      <c r="G2" s="111"/>
      <c r="H2" s="111"/>
      <c r="I2" s="111"/>
      <c r="J2" s="111"/>
      <c r="K2" s="111"/>
    </row>
    <row r="3" spans="2:11" ht="15">
      <c r="B3" s="48" t="s">
        <v>168</v>
      </c>
      <c r="C3" s="49"/>
      <c r="F3" s="111"/>
      <c r="G3" s="111"/>
      <c r="H3" s="111"/>
      <c r="I3" s="111"/>
      <c r="J3" s="111"/>
      <c r="K3" s="111"/>
    </row>
    <row r="4" spans="2:11" ht="15">
      <c r="B4" s="27" t="s">
        <v>96</v>
      </c>
      <c r="C4" s="4"/>
      <c r="F4" s="111"/>
      <c r="G4" s="111"/>
      <c r="H4" s="111"/>
      <c r="I4" s="111"/>
      <c r="J4" s="111"/>
      <c r="K4" s="111"/>
    </row>
    <row r="5" spans="2:3" ht="15">
      <c r="B5" s="27"/>
      <c r="C5" s="4"/>
    </row>
    <row r="6" spans="2:3" ht="14.25" customHeight="1" thickBot="1">
      <c r="B6" s="16" t="s">
        <v>240</v>
      </c>
      <c r="C6" s="4"/>
    </row>
    <row r="7" spans="2:6" ht="16.5" customHeight="1">
      <c r="B7" s="405"/>
      <c r="C7" s="395" t="s">
        <v>86</v>
      </c>
      <c r="D7" s="396"/>
      <c r="E7" s="391" t="s">
        <v>93</v>
      </c>
      <c r="F7" s="393" t="s">
        <v>94</v>
      </c>
    </row>
    <row r="8" spans="2:6" ht="15">
      <c r="B8" s="406"/>
      <c r="C8" s="50" t="s">
        <v>10</v>
      </c>
      <c r="D8" s="91" t="s">
        <v>11</v>
      </c>
      <c r="E8" s="403"/>
      <c r="F8" s="404"/>
    </row>
    <row r="9" spans="2:6" ht="15" thickBot="1">
      <c r="B9" s="407"/>
      <c r="C9" s="92" t="s">
        <v>150</v>
      </c>
      <c r="D9" s="90" t="s">
        <v>150</v>
      </c>
      <c r="E9" s="119" t="s">
        <v>177</v>
      </c>
      <c r="F9" s="118" t="s">
        <v>177</v>
      </c>
    </row>
    <row r="10" spans="1:6" ht="15">
      <c r="A10" s="10"/>
      <c r="B10" s="168" t="s">
        <v>253</v>
      </c>
      <c r="C10" s="236">
        <f>C11+C12</f>
        <v>74.915516249493</v>
      </c>
      <c r="D10" s="236">
        <f>D13+D14</f>
        <v>75.15064304843756</v>
      </c>
      <c r="E10" s="236">
        <f>C10/D10</f>
        <v>0.9968712603191829</v>
      </c>
      <c r="F10" s="237">
        <v>1.026</v>
      </c>
    </row>
    <row r="11" spans="1:6" s="111" customFormat="1" ht="15">
      <c r="A11" s="10"/>
      <c r="B11" s="354" t="s">
        <v>254</v>
      </c>
      <c r="C11" s="93">
        <f>70374.92602252/1000</f>
        <v>70.37492602252</v>
      </c>
      <c r="D11" s="94"/>
      <c r="E11" s="95"/>
      <c r="F11" s="96"/>
    </row>
    <row r="12" spans="1:6" s="111" customFormat="1" ht="15">
      <c r="A12" s="10"/>
      <c r="B12" s="354" t="s">
        <v>255</v>
      </c>
      <c r="C12" s="93">
        <f>C11*0.06452</f>
        <v>4.54059022697299</v>
      </c>
      <c r="D12" s="94"/>
      <c r="E12" s="95"/>
      <c r="F12" s="96"/>
    </row>
    <row r="13" spans="1:6" ht="15">
      <c r="A13" s="10"/>
      <c r="B13" s="51" t="s">
        <v>97</v>
      </c>
      <c r="C13" s="238">
        <f>907.77744855157/1000</f>
        <v>0.90777744855157</v>
      </c>
      <c r="D13" s="255">
        <f>C13/E13</f>
        <v>0.910623806827135</v>
      </c>
      <c r="E13" s="238">
        <f>99.6874276452883/100</f>
        <v>0.996874276452883</v>
      </c>
      <c r="F13" s="239">
        <f>107.813685471722/100</f>
        <v>1.0781368547172199</v>
      </c>
    </row>
    <row r="14" spans="1:6" ht="29.4" thickBot="1">
      <c r="A14" s="10"/>
      <c r="B14" s="53" t="s">
        <v>98</v>
      </c>
      <c r="C14" s="240">
        <f>74007.9654653285/1000</f>
        <v>74.0079654653285</v>
      </c>
      <c r="D14" s="255">
        <f>C14/E14</f>
        <v>74.24001924161043</v>
      </c>
      <c r="E14" s="240">
        <f>99.6874276452883/100</f>
        <v>0.996874276452883</v>
      </c>
      <c r="F14" s="241">
        <f>102.583028097741/100</f>
        <v>1.02583028097741</v>
      </c>
    </row>
    <row r="15" ht="15">
      <c r="C15" s="14"/>
    </row>
    <row r="16" ht="15">
      <c r="B16" s="26"/>
    </row>
  </sheetData>
  <mergeCells count="4">
    <mergeCell ref="C7:D7"/>
    <mergeCell ref="E7:E8"/>
    <mergeCell ref="F7:F8"/>
    <mergeCell ref="B7:B9"/>
  </mergeCells>
  <conditionalFormatting sqref="C16">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15"/>
  <sheetViews>
    <sheetView zoomScale="80" zoomScaleNormal="80" workbookViewId="0" topLeftCell="A1">
      <selection activeCell="D3" sqref="D3"/>
    </sheetView>
  </sheetViews>
  <sheetFormatPr defaultColWidth="8.7109375" defaultRowHeight="15"/>
  <cols>
    <col min="1" max="1" width="5.00390625" style="5" bestFit="1" customWidth="1"/>
    <col min="2" max="2" width="48.7109375" style="5" customWidth="1"/>
    <col min="3" max="7" width="20.7109375" style="5" customWidth="1"/>
    <col min="8"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99</v>
      </c>
    </row>
    <row r="2" ht="4.5" customHeight="1"/>
    <row r="3" spans="2:3" ht="29.55" customHeight="1">
      <c r="B3" s="48" t="s">
        <v>167</v>
      </c>
      <c r="C3" s="49"/>
    </row>
    <row r="4" spans="2:3" ht="15">
      <c r="B4" s="27" t="s">
        <v>100</v>
      </c>
      <c r="C4" s="4"/>
    </row>
    <row r="5" spans="2:3" ht="15">
      <c r="B5" s="27"/>
      <c r="C5" s="4"/>
    </row>
    <row r="6" spans="2:3" ht="14.25" customHeight="1" thickBot="1">
      <c r="B6" s="16" t="s">
        <v>240</v>
      </c>
      <c r="C6" s="4"/>
    </row>
    <row r="7" spans="2:6" ht="16.5" customHeight="1">
      <c r="B7" s="405"/>
      <c r="C7" s="395" t="s">
        <v>86</v>
      </c>
      <c r="D7" s="396"/>
      <c r="E7" s="391" t="s">
        <v>93</v>
      </c>
      <c r="F7" s="393" t="s">
        <v>94</v>
      </c>
    </row>
    <row r="8" spans="2:6" ht="15">
      <c r="B8" s="406"/>
      <c r="C8" s="50" t="s">
        <v>10</v>
      </c>
      <c r="D8" s="91" t="s">
        <v>11</v>
      </c>
      <c r="E8" s="403"/>
      <c r="F8" s="404"/>
    </row>
    <row r="9" spans="2:6" ht="15" thickBot="1">
      <c r="B9" s="407"/>
      <c r="C9" s="92" t="s">
        <v>150</v>
      </c>
      <c r="D9" s="90" t="s">
        <v>150</v>
      </c>
      <c r="E9" s="121" t="s">
        <v>177</v>
      </c>
      <c r="F9" s="120" t="s">
        <v>177</v>
      </c>
    </row>
    <row r="10" spans="2:6" s="111" customFormat="1" ht="28.8">
      <c r="B10" s="173" t="s">
        <v>256</v>
      </c>
      <c r="C10" s="256">
        <f>C11+C12</f>
        <v>30.400485126797946</v>
      </c>
      <c r="D10" s="257">
        <f>C10/E10</f>
        <v>29.97077604566152</v>
      </c>
      <c r="E10" s="257">
        <f>101.433760275282/100</f>
        <v>1.01433760275282</v>
      </c>
      <c r="F10" s="258">
        <f>110.586379753866/100</f>
        <v>1.10586379753866</v>
      </c>
    </row>
    <row r="11" spans="2:6" s="111" customFormat="1" ht="28.8">
      <c r="B11" s="355" t="s">
        <v>257</v>
      </c>
      <c r="C11" s="187">
        <f>28557.92763574/1000</f>
        <v>28.55792763574</v>
      </c>
      <c r="D11" s="174"/>
      <c r="E11" s="174"/>
      <c r="F11" s="175"/>
    </row>
    <row r="12" spans="1:6" ht="29.4" thickBot="1">
      <c r="A12" s="10"/>
      <c r="B12" s="356" t="s">
        <v>258</v>
      </c>
      <c r="C12" s="176">
        <f>C11*0.06452</f>
        <v>1.8425574910579448</v>
      </c>
      <c r="D12" s="176"/>
      <c r="E12" s="177"/>
      <c r="F12" s="178"/>
    </row>
    <row r="13" spans="1:6" s="111" customFormat="1" ht="15">
      <c r="A13" s="10"/>
      <c r="B13" s="171"/>
      <c r="C13" s="172"/>
      <c r="D13" s="172"/>
      <c r="E13" s="47"/>
      <c r="F13" s="47"/>
    </row>
    <row r="14" ht="15">
      <c r="C14" s="14"/>
    </row>
    <row r="15" ht="15">
      <c r="B15" s="26"/>
    </row>
  </sheetData>
  <mergeCells count="4">
    <mergeCell ref="C7:D7"/>
    <mergeCell ref="E7:E8"/>
    <mergeCell ref="F7:F8"/>
    <mergeCell ref="B7:B9"/>
  </mergeCells>
  <conditionalFormatting sqref="C15">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7"/>
  <sheetViews>
    <sheetView zoomScale="70" zoomScaleNormal="70" workbookViewId="0" topLeftCell="A1">
      <selection activeCell="B13" sqref="B13"/>
    </sheetView>
  </sheetViews>
  <sheetFormatPr defaultColWidth="8.7109375" defaultRowHeight="15"/>
  <cols>
    <col min="1" max="1" width="5.00390625" style="5" bestFit="1" customWidth="1"/>
    <col min="2" max="2" width="42.7109375" style="5" bestFit="1" customWidth="1"/>
    <col min="3" max="3" width="20.7109375" style="5" bestFit="1" customWidth="1"/>
    <col min="4" max="4" width="8.7109375" style="5" customWidth="1"/>
    <col min="5" max="10" width="14.28125" style="5" bestFit="1" customWidth="1"/>
    <col min="11" max="11" width="17.00390625" style="5" bestFit="1" customWidth="1"/>
    <col min="12" max="12" width="12.7109375" style="5" bestFit="1" customWidth="1"/>
    <col min="13" max="13" width="11.421875" style="5" customWidth="1"/>
    <col min="14" max="14" width="9.7109375" style="5" bestFit="1" customWidth="1"/>
    <col min="15" max="16384" width="8.7109375" style="5" customWidth="1"/>
  </cols>
  <sheetData>
    <row r="1" ht="18">
      <c r="B1" s="6" t="s">
        <v>22</v>
      </c>
    </row>
    <row r="2" ht="4.5" customHeight="1"/>
    <row r="3" spans="2:3" ht="15">
      <c r="B3" s="7" t="s">
        <v>185</v>
      </c>
      <c r="C3" s="4" t="s">
        <v>23</v>
      </c>
    </row>
    <row r="4" spans="2:3" ht="15">
      <c r="B4" s="8" t="s">
        <v>24</v>
      </c>
      <c r="C4" s="28" t="s">
        <v>144</v>
      </c>
    </row>
    <row r="5" ht="14.25" customHeight="1">
      <c r="C5" s="4" t="s">
        <v>145</v>
      </c>
    </row>
    <row r="6" ht="14.25" customHeight="1" thickBot="1"/>
    <row r="7" spans="2:4" ht="16.5" customHeight="1" thickBot="1">
      <c r="B7" s="84"/>
      <c r="C7" s="85" t="s">
        <v>3</v>
      </c>
      <c r="D7" s="9"/>
    </row>
    <row r="8" spans="1:3" ht="15">
      <c r="A8" s="10">
        <v>1</v>
      </c>
      <c r="B8" s="82" t="s">
        <v>0</v>
      </c>
      <c r="C8" s="46">
        <f>840519/1000</f>
        <v>840.519</v>
      </c>
    </row>
    <row r="9" spans="1:3" ht="15">
      <c r="A9" s="10">
        <v>2</v>
      </c>
      <c r="B9" s="11" t="s">
        <v>8</v>
      </c>
      <c r="C9" s="38">
        <f>2556/1000</f>
        <v>2.556</v>
      </c>
    </row>
    <row r="10" spans="1:3" ht="15">
      <c r="A10" s="10">
        <v>3</v>
      </c>
      <c r="B10" s="12" t="s">
        <v>2</v>
      </c>
      <c r="C10" s="205">
        <f>C8-C9</f>
        <v>837.963</v>
      </c>
    </row>
    <row r="11" spans="1:3" ht="15">
      <c r="A11" s="10">
        <v>6</v>
      </c>
      <c r="B11" s="11" t="s">
        <v>25</v>
      </c>
      <c r="C11" s="38">
        <f>24095.93/1000</f>
        <v>24.09593</v>
      </c>
    </row>
    <row r="12" spans="2:3" ht="15" thickBot="1">
      <c r="B12" s="13" t="s">
        <v>26</v>
      </c>
      <c r="C12" s="39">
        <f>IF(ISNUMBER(C11)=TRUE,C10-C11,C10)</f>
        <v>813.86707</v>
      </c>
    </row>
    <row r="13" spans="2:3" ht="15">
      <c r="B13" s="14"/>
      <c r="C13" s="15"/>
    </row>
    <row r="14" spans="2:3" ht="15" thickBot="1">
      <c r="B14" s="16"/>
      <c r="C14" s="17"/>
    </row>
    <row r="15" spans="2:14" ht="16.5" customHeight="1">
      <c r="B15" s="389" t="s">
        <v>1</v>
      </c>
      <c r="C15" s="391" t="s">
        <v>3</v>
      </c>
      <c r="D15" s="393" t="s">
        <v>4</v>
      </c>
      <c r="E15" s="395" t="s">
        <v>5</v>
      </c>
      <c r="F15" s="396"/>
      <c r="G15" s="395" t="s">
        <v>6</v>
      </c>
      <c r="H15" s="396"/>
      <c r="I15" s="395" t="s">
        <v>12</v>
      </c>
      <c r="J15" s="396"/>
      <c r="K15" s="387" t="s">
        <v>7</v>
      </c>
      <c r="L15" s="388"/>
      <c r="N15" s="111"/>
    </row>
    <row r="16" spans="2:14" ht="15" thickBot="1">
      <c r="B16" s="390"/>
      <c r="C16" s="392"/>
      <c r="D16" s="394"/>
      <c r="E16" s="79" t="s">
        <v>10</v>
      </c>
      <c r="F16" s="80" t="s">
        <v>11</v>
      </c>
      <c r="G16" s="79" t="s">
        <v>10</v>
      </c>
      <c r="H16" s="80" t="s">
        <v>11</v>
      </c>
      <c r="I16" s="79" t="s">
        <v>10</v>
      </c>
      <c r="J16" s="80" t="s">
        <v>11</v>
      </c>
      <c r="K16" s="79" t="s">
        <v>10</v>
      </c>
      <c r="L16" s="81" t="s">
        <v>11</v>
      </c>
      <c r="N16" s="111"/>
    </row>
    <row r="17" spans="1:14" ht="15">
      <c r="A17" s="10">
        <v>7</v>
      </c>
      <c r="B17" s="74" t="s">
        <v>27</v>
      </c>
      <c r="C17" s="202">
        <f>53067/1000</f>
        <v>53.067</v>
      </c>
      <c r="D17" s="215">
        <f>159.72/1000</f>
        <v>0.15972</v>
      </c>
      <c r="E17" s="77">
        <f aca="true" t="shared" si="0" ref="E17:E26">C17*D17</f>
        <v>8.47586124</v>
      </c>
      <c r="F17" s="78"/>
      <c r="G17" s="77">
        <v>0</v>
      </c>
      <c r="H17" s="78"/>
      <c r="I17" s="77">
        <v>0</v>
      </c>
      <c r="J17" s="78"/>
      <c r="K17" s="77"/>
      <c r="L17" s="78"/>
      <c r="N17" s="111"/>
    </row>
    <row r="18" spans="1:14" ht="15">
      <c r="A18" s="10">
        <v>8</v>
      </c>
      <c r="B18" s="18" t="s">
        <v>28</v>
      </c>
      <c r="C18" s="31">
        <v>0</v>
      </c>
      <c r="D18" s="19">
        <v>0</v>
      </c>
      <c r="E18" s="303">
        <f t="shared" si="0"/>
        <v>0</v>
      </c>
      <c r="F18" s="21"/>
      <c r="G18" s="20">
        <v>0</v>
      </c>
      <c r="H18" s="21"/>
      <c r="I18" s="20">
        <v>0</v>
      </c>
      <c r="J18" s="21"/>
      <c r="K18" s="20"/>
      <c r="L18" s="21"/>
      <c r="N18" s="111"/>
    </row>
    <row r="19" spans="1:14" ht="15">
      <c r="A19" s="10">
        <v>10</v>
      </c>
      <c r="B19" s="18" t="s">
        <v>316</v>
      </c>
      <c r="C19" s="37">
        <f>1069/1000</f>
        <v>1.069</v>
      </c>
      <c r="D19" s="216">
        <f>163.46/1000</f>
        <v>0.16346</v>
      </c>
      <c r="E19" s="77">
        <f t="shared" si="0"/>
        <v>0.17473873999999998</v>
      </c>
      <c r="F19" s="21"/>
      <c r="G19" s="20">
        <v>0</v>
      </c>
      <c r="H19" s="21"/>
      <c r="I19" s="20">
        <v>0</v>
      </c>
      <c r="J19" s="21"/>
      <c r="K19" s="20"/>
      <c r="L19" s="21"/>
      <c r="N19" s="111"/>
    </row>
    <row r="20" spans="1:14" ht="15">
      <c r="A20" s="10">
        <v>11</v>
      </c>
      <c r="B20" s="18" t="s">
        <v>30</v>
      </c>
      <c r="C20" s="31">
        <v>0</v>
      </c>
      <c r="D20" s="19">
        <v>0</v>
      </c>
      <c r="E20" s="303">
        <f t="shared" si="0"/>
        <v>0</v>
      </c>
      <c r="F20" s="21"/>
      <c r="G20" s="20">
        <v>0</v>
      </c>
      <c r="H20" s="21"/>
      <c r="I20" s="20">
        <v>0</v>
      </c>
      <c r="J20" s="21"/>
      <c r="K20" s="20"/>
      <c r="L20" s="21"/>
      <c r="N20" s="111"/>
    </row>
    <row r="21" spans="1:14" ht="15">
      <c r="A21" s="10" t="s">
        <v>31</v>
      </c>
      <c r="B21" s="18" t="s">
        <v>32</v>
      </c>
      <c r="C21" s="37">
        <f>13597/1000</f>
        <v>13.597</v>
      </c>
      <c r="D21" s="216">
        <f>163.46/1000</f>
        <v>0.16346</v>
      </c>
      <c r="E21" s="77">
        <f t="shared" si="0"/>
        <v>2.2225656199999997</v>
      </c>
      <c r="F21" s="21"/>
      <c r="G21" s="20">
        <v>0</v>
      </c>
      <c r="H21" s="21"/>
      <c r="I21" s="20">
        <v>0</v>
      </c>
      <c r="J21" s="21"/>
      <c r="K21" s="20"/>
      <c r="L21" s="21"/>
      <c r="N21" s="111"/>
    </row>
    <row r="22" spans="1:14" ht="15">
      <c r="A22" s="10" t="s">
        <v>33</v>
      </c>
      <c r="B22" s="18" t="s">
        <v>34</v>
      </c>
      <c r="C22" s="37">
        <f>756578/1000</f>
        <v>756.578</v>
      </c>
      <c r="D22" s="216">
        <f>163.46/1000</f>
        <v>0.16346</v>
      </c>
      <c r="E22" s="77">
        <f t="shared" si="0"/>
        <v>123.67023988</v>
      </c>
      <c r="F22" s="21"/>
      <c r="G22" s="20">
        <v>0</v>
      </c>
      <c r="H22" s="21"/>
      <c r="I22" s="20">
        <v>0</v>
      </c>
      <c r="J22" s="21"/>
      <c r="K22" s="20"/>
      <c r="L22" s="21"/>
      <c r="N22" s="111"/>
    </row>
    <row r="23" spans="1:14" ht="15">
      <c r="A23" s="10" t="s">
        <v>35</v>
      </c>
      <c r="B23" s="18" t="s">
        <v>36</v>
      </c>
      <c r="C23" s="31">
        <v>0</v>
      </c>
      <c r="D23" s="19">
        <v>0</v>
      </c>
      <c r="E23" s="303">
        <f t="shared" si="0"/>
        <v>0</v>
      </c>
      <c r="F23" s="21"/>
      <c r="G23" s="20">
        <v>0</v>
      </c>
      <c r="H23" s="21"/>
      <c r="I23" s="20">
        <v>0</v>
      </c>
      <c r="J23" s="21"/>
      <c r="K23" s="20"/>
      <c r="L23" s="21"/>
      <c r="N23" s="111"/>
    </row>
    <row r="24" spans="1:14" ht="15">
      <c r="A24" s="10">
        <v>13</v>
      </c>
      <c r="B24" s="18" t="s">
        <v>37</v>
      </c>
      <c r="C24" s="31">
        <v>0</v>
      </c>
      <c r="D24" s="19">
        <v>0</v>
      </c>
      <c r="E24" s="303">
        <f t="shared" si="0"/>
        <v>0</v>
      </c>
      <c r="F24" s="21"/>
      <c r="G24" s="20">
        <v>0</v>
      </c>
      <c r="H24" s="21"/>
      <c r="I24" s="20">
        <v>0</v>
      </c>
      <c r="J24" s="21"/>
      <c r="K24" s="20"/>
      <c r="L24" s="21"/>
      <c r="N24" s="27" t="str">
        <f aca="true" t="shared" si="1" ref="N24:N27">IF(AND(ISNUMBER(C24)=TRUE,C24&gt;0),ROUND(E24,5)=ROUND(C24*D24/10^3,5),"")</f>
        <v/>
      </c>
    </row>
    <row r="25" spans="1:14" s="111" customFormat="1" ht="15">
      <c r="A25" s="10">
        <v>4</v>
      </c>
      <c r="B25" s="151" t="s">
        <v>63</v>
      </c>
      <c r="C25" s="56">
        <f>40718/1000</f>
        <v>40.718</v>
      </c>
      <c r="D25" s="217">
        <f>162.94/1000</f>
        <v>0.16294</v>
      </c>
      <c r="E25" s="77">
        <f t="shared" si="0"/>
        <v>6.634590920000001</v>
      </c>
      <c r="F25" s="150"/>
      <c r="G25" s="52">
        <v>0</v>
      </c>
      <c r="H25" s="150"/>
      <c r="I25" s="52">
        <v>0</v>
      </c>
      <c r="J25" s="150"/>
      <c r="K25" s="52"/>
      <c r="L25" s="150"/>
      <c r="N25" s="27"/>
    </row>
    <row r="26" spans="1:14" s="111" customFormat="1" ht="15">
      <c r="A26" s="10">
        <v>14</v>
      </c>
      <c r="B26" s="151" t="s">
        <v>64</v>
      </c>
      <c r="C26" s="56">
        <f>30274/1000</f>
        <v>30.274</v>
      </c>
      <c r="D26" s="217">
        <f>195.31/1000</f>
        <v>0.19531</v>
      </c>
      <c r="E26" s="77">
        <f t="shared" si="0"/>
        <v>5.9128149400000005</v>
      </c>
      <c r="F26" s="150"/>
      <c r="G26" s="52">
        <v>0</v>
      </c>
      <c r="H26" s="150"/>
      <c r="I26" s="52">
        <v>0</v>
      </c>
      <c r="J26" s="150"/>
      <c r="K26" s="52"/>
      <c r="L26" s="150"/>
      <c r="N26" s="27"/>
    </row>
    <row r="27" spans="1:14" ht="15" thickBot="1">
      <c r="A27" s="10">
        <v>16</v>
      </c>
      <c r="B27" s="18" t="s">
        <v>21</v>
      </c>
      <c r="C27" s="37">
        <f>C26-C25</f>
        <v>-10.444000000000003</v>
      </c>
      <c r="D27" s="19" t="s">
        <v>143</v>
      </c>
      <c r="E27" s="20">
        <f>E26-E25</f>
        <v>-0.7217759800000003</v>
      </c>
      <c r="F27" s="21"/>
      <c r="G27" s="20">
        <v>0</v>
      </c>
      <c r="H27" s="21"/>
      <c r="I27" s="20">
        <v>0</v>
      </c>
      <c r="J27" s="21"/>
      <c r="K27" s="20"/>
      <c r="L27" s="21"/>
      <c r="N27" s="27" t="str">
        <f t="shared" si="1"/>
        <v/>
      </c>
    </row>
    <row r="28" spans="1:14" ht="15" thickBot="1">
      <c r="A28" s="10">
        <v>17</v>
      </c>
      <c r="B28" s="22" t="s">
        <v>9</v>
      </c>
      <c r="C28" s="24">
        <f>C17+C19+C21+C22+C26-C25</f>
        <v>813.867</v>
      </c>
      <c r="D28" s="24"/>
      <c r="E28" s="24">
        <f>E17+E19+E21+E22+E26-E25</f>
        <v>133.8216295</v>
      </c>
      <c r="F28" s="25">
        <f>E28/C33</f>
        <v>123.79314162173384</v>
      </c>
      <c r="G28" s="24">
        <v>0</v>
      </c>
      <c r="H28" s="25">
        <v>0</v>
      </c>
      <c r="I28" s="24">
        <v>0</v>
      </c>
      <c r="J28" s="25">
        <v>0</v>
      </c>
      <c r="K28" s="24">
        <f>E28+G28-I28</f>
        <v>133.8216295</v>
      </c>
      <c r="L28" s="25">
        <f>F28+H28-J28</f>
        <v>123.79314162173384</v>
      </c>
      <c r="N28" s="27"/>
    </row>
    <row r="29" spans="3:12" ht="15">
      <c r="C29" s="14"/>
      <c r="E29" s="14"/>
      <c r="F29" s="14"/>
      <c r="G29" s="14"/>
      <c r="H29" s="14"/>
      <c r="I29" s="14"/>
      <c r="J29" s="14"/>
      <c r="K29" s="14"/>
      <c r="L29" s="14"/>
    </row>
    <row r="30" ht="15">
      <c r="B30" s="26"/>
    </row>
    <row r="31" spans="3:12" ht="15" thickBot="1">
      <c r="C31" s="14"/>
      <c r="E31" s="14"/>
      <c r="F31" s="14"/>
      <c r="G31" s="14"/>
      <c r="H31" s="14"/>
      <c r="I31" s="14"/>
      <c r="J31" s="14"/>
      <c r="K31" s="14"/>
      <c r="L31" s="14"/>
    </row>
    <row r="32" spans="2:3" ht="15" thickBot="1">
      <c r="B32" s="84"/>
      <c r="C32" s="87">
        <v>2020</v>
      </c>
    </row>
    <row r="33" spans="2:3" ht="15">
      <c r="B33" s="137" t="s">
        <v>146</v>
      </c>
      <c r="C33" s="218">
        <v>1.08101004423096</v>
      </c>
    </row>
    <row r="34" spans="2:3" ht="15" thickBot="1">
      <c r="B34" s="135" t="s">
        <v>147</v>
      </c>
      <c r="C34" s="191">
        <v>0.996</v>
      </c>
    </row>
    <row r="37" ht="15">
      <c r="C37" s="5" t="s">
        <v>143</v>
      </c>
    </row>
  </sheetData>
  <mergeCells count="7">
    <mergeCell ref="K15:L15"/>
    <mergeCell ref="B15:B16"/>
    <mergeCell ref="C15:C16"/>
    <mergeCell ref="D15:D16"/>
    <mergeCell ref="E15:F15"/>
    <mergeCell ref="G15:H15"/>
    <mergeCell ref="I15:J15"/>
  </mergeCells>
  <conditionalFormatting sqref="C30 N24:N28">
    <cfRule type="cellIs" priority="11" dxfId="1" operator="equal">
      <formula>FALSE</formula>
    </cfRule>
    <cfRule type="cellIs" priority="12" dxfId="0" operator="equal">
      <formula>TRUE</formula>
    </cfRule>
  </conditionalFormatting>
  <conditionalFormatting sqref="E30">
    <cfRule type="cellIs" priority="9" dxfId="1" operator="equal">
      <formula>FALSE</formula>
    </cfRule>
    <cfRule type="cellIs" priority="10" dxfId="0" operator="equal">
      <formula>TRUE</formula>
    </cfRule>
  </conditionalFormatting>
  <conditionalFormatting sqref="F30">
    <cfRule type="cellIs" priority="7" dxfId="1" operator="equal">
      <formula>FALSE</formula>
    </cfRule>
    <cfRule type="cellIs" priority="8" dxfId="0" operator="equal">
      <formula>TRUE</formula>
    </cfRule>
  </conditionalFormatting>
  <conditionalFormatting sqref="K30">
    <cfRule type="cellIs" priority="5" dxfId="1" operator="equal">
      <formula>FALSE</formula>
    </cfRule>
    <cfRule type="cellIs" priority="6" dxfId="0" operator="equal">
      <formula>TRUE</formula>
    </cfRule>
  </conditionalFormatting>
  <conditionalFormatting sqref="L30">
    <cfRule type="cellIs" priority="3" dxfId="1" operator="equal">
      <formula>FALSE</formula>
    </cfRule>
    <cfRule type="cellIs" priority="4"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14"/>
  <sheetViews>
    <sheetView zoomScale="80" zoomScaleNormal="80" workbookViewId="0" topLeftCell="A1">
      <selection activeCell="D1" sqref="D1"/>
    </sheetView>
  </sheetViews>
  <sheetFormatPr defaultColWidth="8.7109375" defaultRowHeight="15"/>
  <cols>
    <col min="1" max="1" width="5.00390625" style="5" bestFit="1" customWidth="1"/>
    <col min="2" max="2" width="48.7109375" style="5" customWidth="1"/>
    <col min="3" max="7" width="20.7109375" style="5" customWidth="1"/>
    <col min="8"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101</v>
      </c>
    </row>
    <row r="2" ht="4.5" customHeight="1"/>
    <row r="3" spans="2:11" ht="15">
      <c r="B3" s="48" t="s">
        <v>166</v>
      </c>
      <c r="C3" s="49"/>
      <c r="F3" s="111"/>
      <c r="G3" s="111"/>
      <c r="H3" s="111"/>
      <c r="I3" s="111"/>
      <c r="J3" s="111"/>
      <c r="K3" s="111"/>
    </row>
    <row r="4" spans="2:11" ht="15">
      <c r="B4" s="27" t="s">
        <v>102</v>
      </c>
      <c r="C4" s="4"/>
      <c r="F4" s="111"/>
      <c r="G4" s="111"/>
      <c r="H4" s="111"/>
      <c r="I4" s="111"/>
      <c r="J4" s="111"/>
      <c r="K4" s="111"/>
    </row>
    <row r="5" spans="2:3" ht="15">
      <c r="B5" s="27"/>
      <c r="C5" s="4"/>
    </row>
    <row r="6" spans="2:3" ht="14.25" customHeight="1" thickBot="1">
      <c r="B6" s="16" t="s">
        <v>240</v>
      </c>
      <c r="C6" s="4"/>
    </row>
    <row r="7" spans="2:6" ht="16.5" customHeight="1">
      <c r="B7" s="405"/>
      <c r="C7" s="395" t="s">
        <v>86</v>
      </c>
      <c r="D7" s="396"/>
      <c r="E7" s="391" t="s">
        <v>93</v>
      </c>
      <c r="F7" s="393" t="s">
        <v>94</v>
      </c>
    </row>
    <row r="8" spans="2:6" ht="15">
      <c r="B8" s="406"/>
      <c r="C8" s="50" t="s">
        <v>10</v>
      </c>
      <c r="D8" s="91" t="s">
        <v>11</v>
      </c>
      <c r="E8" s="403"/>
      <c r="F8" s="404"/>
    </row>
    <row r="9" spans="2:6" ht="15" thickBot="1">
      <c r="B9" s="407"/>
      <c r="C9" s="92" t="s">
        <v>150</v>
      </c>
      <c r="D9" s="90" t="s">
        <v>150</v>
      </c>
      <c r="E9" s="123" t="s">
        <v>177</v>
      </c>
      <c r="F9" s="122" t="s">
        <v>177</v>
      </c>
    </row>
    <row r="10" spans="2:6" s="111" customFormat="1" ht="15" thickBot="1">
      <c r="B10" s="259" t="s">
        <v>259</v>
      </c>
      <c r="C10" s="262">
        <f>C11+C12</f>
        <v>13.986344085537</v>
      </c>
      <c r="D10" s="256">
        <f>C10/E10</f>
        <v>13.569322911276544</v>
      </c>
      <c r="E10" s="260">
        <f>103.073264428794/100</f>
        <v>1.03073264428794</v>
      </c>
      <c r="F10" s="261">
        <f>106.295326714735/100</f>
        <v>1.06295326714735</v>
      </c>
    </row>
    <row r="11" spans="2:6" s="111" customFormat="1" ht="15" thickBot="1">
      <c r="B11" s="357" t="s">
        <v>260</v>
      </c>
      <c r="C11" s="263">
        <f>13195.444085537/1000</f>
        <v>13.195444085537</v>
      </c>
      <c r="D11" s="174"/>
      <c r="E11" s="174"/>
      <c r="F11" s="175"/>
    </row>
    <row r="12" spans="1:6" ht="15" thickBot="1">
      <c r="A12" s="10"/>
      <c r="B12" s="357" t="s">
        <v>261</v>
      </c>
      <c r="C12" s="179">
        <f>790.9/1000</f>
        <v>0.7908999999999999</v>
      </c>
      <c r="D12" s="176"/>
      <c r="E12" s="177"/>
      <c r="F12" s="178"/>
    </row>
    <row r="13" ht="15">
      <c r="C13" s="14"/>
    </row>
    <row r="14" ht="15">
      <c r="B14" s="26"/>
    </row>
  </sheetData>
  <mergeCells count="4">
    <mergeCell ref="C7:D7"/>
    <mergeCell ref="E7:E8"/>
    <mergeCell ref="F7:F8"/>
    <mergeCell ref="B7:B9"/>
  </mergeCells>
  <conditionalFormatting sqref="C14">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32"/>
  <sheetViews>
    <sheetView zoomScale="70" zoomScaleNormal="70" workbookViewId="0" topLeftCell="A1">
      <selection activeCell="D1" sqref="D1"/>
    </sheetView>
  </sheetViews>
  <sheetFormatPr defaultColWidth="8.7109375" defaultRowHeight="15"/>
  <cols>
    <col min="1" max="1" width="5.00390625" style="5" bestFit="1" customWidth="1"/>
    <col min="2" max="2" width="48.7109375" style="5" customWidth="1"/>
    <col min="3" max="7" width="20.7109375" style="5" customWidth="1"/>
    <col min="8"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103</v>
      </c>
    </row>
    <row r="2" ht="4.5" customHeight="1"/>
    <row r="3" spans="2:11" ht="15">
      <c r="B3" s="48" t="s">
        <v>165</v>
      </c>
      <c r="C3" s="49"/>
      <c r="F3" s="111"/>
      <c r="G3" s="111"/>
      <c r="H3" s="111"/>
      <c r="I3" s="111"/>
      <c r="J3" s="111"/>
      <c r="K3" s="111"/>
    </row>
    <row r="4" spans="2:11" ht="15">
      <c r="B4" s="27" t="s">
        <v>104</v>
      </c>
      <c r="C4" s="4"/>
      <c r="F4" s="111"/>
      <c r="G4" s="111"/>
      <c r="H4" s="111"/>
      <c r="I4" s="111"/>
      <c r="J4" s="111"/>
      <c r="K4" s="111"/>
    </row>
    <row r="5" spans="2:11" ht="15">
      <c r="B5" s="27"/>
      <c r="C5" s="4"/>
      <c r="F5" s="111"/>
      <c r="G5" s="111"/>
      <c r="H5" s="111"/>
      <c r="I5" s="111"/>
      <c r="J5" s="111"/>
      <c r="K5" s="111"/>
    </row>
    <row r="6" spans="2:3" ht="15" thickBot="1">
      <c r="B6" s="16" t="s">
        <v>240</v>
      </c>
      <c r="C6" s="4"/>
    </row>
    <row r="7" spans="2:6" ht="16.5" customHeight="1">
      <c r="B7" s="405"/>
      <c r="C7" s="395" t="s">
        <v>86</v>
      </c>
      <c r="D7" s="396"/>
      <c r="E7" s="391" t="s">
        <v>93</v>
      </c>
      <c r="F7" s="393" t="s">
        <v>94</v>
      </c>
    </row>
    <row r="8" spans="2:6" ht="15">
      <c r="B8" s="406"/>
      <c r="C8" s="50" t="s">
        <v>10</v>
      </c>
      <c r="D8" s="91" t="s">
        <v>11</v>
      </c>
      <c r="E8" s="403"/>
      <c r="F8" s="404"/>
    </row>
    <row r="9" spans="2:6" ht="15" thickBot="1">
      <c r="B9" s="407"/>
      <c r="C9" s="92" t="s">
        <v>150</v>
      </c>
      <c r="D9" s="90" t="s">
        <v>150</v>
      </c>
      <c r="E9" s="125" t="s">
        <v>177</v>
      </c>
      <c r="F9" s="124" t="s">
        <v>177</v>
      </c>
    </row>
    <row r="10" spans="1:6" ht="15">
      <c r="A10" s="10"/>
      <c r="B10" s="168" t="s">
        <v>105</v>
      </c>
      <c r="C10" s="236">
        <f>C14+C15+C16</f>
        <v>242.66317517474303</v>
      </c>
      <c r="D10" s="236">
        <f>D14+D15+D16</f>
        <v>245.69176936955174</v>
      </c>
      <c r="E10" s="236">
        <f>C10/D10</f>
        <v>0.9876731963688482</v>
      </c>
      <c r="F10" s="237">
        <f>105.31802575115/100</f>
        <v>1.0531802575115001</v>
      </c>
    </row>
    <row r="11" spans="1:6" s="111" customFormat="1" ht="15">
      <c r="A11" s="10"/>
      <c r="B11" s="354" t="s">
        <v>262</v>
      </c>
      <c r="C11" s="93">
        <f>C12+C13</f>
        <v>145.64190000000002</v>
      </c>
      <c r="D11" s="94"/>
      <c r="E11" s="95"/>
      <c r="F11" s="96"/>
    </row>
    <row r="12" spans="1:6" s="111" customFormat="1" ht="15">
      <c r="A12" s="10"/>
      <c r="B12" s="354" t="s">
        <v>263</v>
      </c>
      <c r="C12" s="93">
        <f>137479/1000</f>
        <v>137.479</v>
      </c>
      <c r="D12" s="94"/>
      <c r="E12" s="95"/>
      <c r="F12" s="96"/>
    </row>
    <row r="13" spans="1:6" s="111" customFormat="1" ht="15">
      <c r="A13" s="10"/>
      <c r="B13" s="354" t="s">
        <v>264</v>
      </c>
      <c r="C13" s="93">
        <f>8162.9/1000</f>
        <v>8.1629</v>
      </c>
      <c r="D13" s="94"/>
      <c r="E13" s="95"/>
      <c r="F13" s="96"/>
    </row>
    <row r="14" spans="1:6" ht="28.8">
      <c r="A14" s="10"/>
      <c r="B14" s="351" t="s">
        <v>106</v>
      </c>
      <c r="C14" s="242">
        <f>31591.441931829/1000</f>
        <v>31.591441931829</v>
      </c>
      <c r="D14" s="249">
        <f>C14/E14</f>
        <v>31.985723666465812</v>
      </c>
      <c r="E14" s="242">
        <f>98.7673196368848/100</f>
        <v>0.9876731963688481</v>
      </c>
      <c r="F14" s="243">
        <f>108.818068660238/100</f>
        <v>1.08818068660238</v>
      </c>
    </row>
    <row r="15" spans="1:6" ht="28.8">
      <c r="A15" s="10"/>
      <c r="B15" s="352" t="s">
        <v>107</v>
      </c>
      <c r="C15" s="251">
        <f>114050.451242914/1000</f>
        <v>114.05045124291401</v>
      </c>
      <c r="D15" s="249">
        <f aca="true" t="shared" si="0" ref="D15:D16">C15/E15</f>
        <v>115.4738750248738</v>
      </c>
      <c r="E15" s="251">
        <f>98.7673196368848/100</f>
        <v>0.9876731963688481</v>
      </c>
      <c r="F15" s="264">
        <f>109.493562058323/100</f>
        <v>1.09493562058323</v>
      </c>
    </row>
    <row r="16" spans="1:6" s="111" customFormat="1" ht="28.8">
      <c r="A16" s="10"/>
      <c r="B16" s="352" t="s">
        <v>108</v>
      </c>
      <c r="C16" s="251">
        <f>C17+C18+C19+C20+C21+C22+C23+C24+C25+C26</f>
        <v>97.02128200000001</v>
      </c>
      <c r="D16" s="249">
        <f t="shared" si="0"/>
        <v>98.23217067821213</v>
      </c>
      <c r="E16" s="251">
        <f>98.7673196368848/100</f>
        <v>0.9876731963688481</v>
      </c>
      <c r="F16" s="264">
        <f>99.7989885701879/100</f>
        <v>0.997989885701879</v>
      </c>
    </row>
    <row r="17" spans="1:6" s="111" customFormat="1" ht="15">
      <c r="A17" s="10"/>
      <c r="B17" s="358" t="s">
        <v>265</v>
      </c>
      <c r="C17" s="61">
        <f>8475869/1000000</f>
        <v>8.475869</v>
      </c>
      <c r="D17" s="62"/>
      <c r="E17" s="63"/>
      <c r="F17" s="64"/>
    </row>
    <row r="18" spans="1:6" s="111" customFormat="1" ht="15">
      <c r="A18" s="10"/>
      <c r="B18" s="358" t="s">
        <v>266</v>
      </c>
      <c r="C18" s="61">
        <f>383720/1000000</f>
        <v>0.38372</v>
      </c>
      <c r="D18" s="62"/>
      <c r="E18" s="63"/>
      <c r="F18" s="64"/>
    </row>
    <row r="19" spans="1:6" s="111" customFormat="1" ht="15">
      <c r="A19" s="10"/>
      <c r="B19" s="358" t="s">
        <v>267</v>
      </c>
      <c r="C19" s="61">
        <f>12497225/1000000</f>
        <v>12.497225</v>
      </c>
      <c r="D19" s="62"/>
      <c r="E19" s="63"/>
      <c r="F19" s="64"/>
    </row>
    <row r="20" spans="1:6" s="111" customFormat="1" ht="15">
      <c r="A20" s="10"/>
      <c r="B20" s="358" t="s">
        <v>268</v>
      </c>
      <c r="C20" s="61">
        <f>4067693/1000000</f>
        <v>4.067693</v>
      </c>
      <c r="D20" s="62"/>
      <c r="E20" s="63"/>
      <c r="F20" s="64"/>
    </row>
    <row r="21" spans="1:6" s="111" customFormat="1" ht="15">
      <c r="A21" s="10"/>
      <c r="B21" s="358" t="s">
        <v>269</v>
      </c>
      <c r="C21" s="61">
        <f>2390072/1000000</f>
        <v>2.390072</v>
      </c>
      <c r="D21" s="62"/>
      <c r="E21" s="63"/>
      <c r="F21" s="64"/>
    </row>
    <row r="22" spans="1:6" s="111" customFormat="1" ht="15">
      <c r="A22" s="10"/>
      <c r="B22" s="358" t="s">
        <v>270</v>
      </c>
      <c r="C22" s="61">
        <f>31736/1000000</f>
        <v>0.031736</v>
      </c>
      <c r="D22" s="62"/>
      <c r="E22" s="63"/>
      <c r="F22" s="64"/>
    </row>
    <row r="23" spans="1:6" s="111" customFormat="1" ht="15">
      <c r="A23" s="10"/>
      <c r="B23" s="358" t="s">
        <v>271</v>
      </c>
      <c r="C23" s="61">
        <f>618725/1000000</f>
        <v>0.618725</v>
      </c>
      <c r="D23" s="62"/>
      <c r="E23" s="63"/>
      <c r="F23" s="64"/>
    </row>
    <row r="24" spans="1:6" s="111" customFormat="1" ht="15">
      <c r="A24" s="10"/>
      <c r="B24" s="358" t="s">
        <v>272</v>
      </c>
      <c r="C24" s="61">
        <f>398043/1000000</f>
        <v>0.398043</v>
      </c>
      <c r="D24" s="62"/>
      <c r="E24" s="63"/>
      <c r="F24" s="64"/>
    </row>
    <row r="25" spans="1:6" s="111" customFormat="1" ht="15">
      <c r="A25" s="10"/>
      <c r="B25" s="358" t="s">
        <v>273</v>
      </c>
      <c r="C25" s="61">
        <f>67708724/1000000</f>
        <v>67.708724</v>
      </c>
      <c r="D25" s="62"/>
      <c r="E25" s="63"/>
      <c r="F25" s="64"/>
    </row>
    <row r="26" spans="1:6" s="111" customFormat="1" ht="15" thickBot="1">
      <c r="A26" s="10"/>
      <c r="B26" s="353" t="s">
        <v>20</v>
      </c>
      <c r="C26" s="182">
        <f>449475/1000000</f>
        <v>0.449475</v>
      </c>
      <c r="D26" s="183"/>
      <c r="E26" s="184"/>
      <c r="F26" s="185"/>
    </row>
    <row r="27" spans="1:6" s="111" customFormat="1" ht="15">
      <c r="A27" s="10"/>
      <c r="B27" s="180"/>
      <c r="C27" s="181"/>
      <c r="D27" s="181"/>
      <c r="E27" s="69"/>
      <c r="F27" s="69"/>
    </row>
    <row r="28" ht="15">
      <c r="C28" s="14"/>
    </row>
    <row r="29" spans="2:4" ht="15">
      <c r="B29" s="26"/>
      <c r="D29" s="65"/>
    </row>
    <row r="30" ht="15">
      <c r="D30" s="65"/>
    </row>
    <row r="31" ht="15">
      <c r="D31" s="65"/>
    </row>
    <row r="32" ht="15">
      <c r="D32" s="65"/>
    </row>
  </sheetData>
  <mergeCells count="4">
    <mergeCell ref="C7:D7"/>
    <mergeCell ref="E7:E8"/>
    <mergeCell ref="F7:F8"/>
    <mergeCell ref="B7:B9"/>
  </mergeCells>
  <conditionalFormatting sqref="C29">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14"/>
  <sheetViews>
    <sheetView zoomScale="80" zoomScaleNormal="80" workbookViewId="0" topLeftCell="A1">
      <selection activeCell="D1" sqref="D1"/>
    </sheetView>
  </sheetViews>
  <sheetFormatPr defaultColWidth="8.7109375" defaultRowHeight="15"/>
  <cols>
    <col min="1" max="1" width="5.00390625" style="5" bestFit="1" customWidth="1"/>
    <col min="2" max="2" width="48.7109375" style="5" customWidth="1"/>
    <col min="3" max="7" width="20.7109375" style="5" customWidth="1"/>
    <col min="8"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109</v>
      </c>
    </row>
    <row r="2" ht="4.5" customHeight="1"/>
    <row r="3" spans="2:11" ht="15">
      <c r="B3" s="48" t="s">
        <v>164</v>
      </c>
      <c r="C3" s="49"/>
      <c r="F3" s="111"/>
      <c r="G3" s="111"/>
      <c r="H3" s="111"/>
      <c r="I3" s="111"/>
      <c r="J3" s="111"/>
      <c r="K3" s="111"/>
    </row>
    <row r="4" spans="2:11" ht="15">
      <c r="B4" s="27" t="s">
        <v>110</v>
      </c>
      <c r="C4" s="4"/>
      <c r="F4" s="111"/>
      <c r="G4" s="111"/>
      <c r="H4" s="111"/>
      <c r="I4" s="111"/>
      <c r="J4" s="111"/>
      <c r="K4" s="111"/>
    </row>
    <row r="5" spans="2:11" ht="15">
      <c r="B5" s="27"/>
      <c r="C5" s="4"/>
      <c r="F5" s="111"/>
      <c r="G5" s="111"/>
      <c r="H5" s="111"/>
      <c r="I5" s="111"/>
      <c r="J5" s="111"/>
      <c r="K5" s="111"/>
    </row>
    <row r="6" spans="2:3" ht="15" thickBot="1">
      <c r="B6" s="16" t="s">
        <v>240</v>
      </c>
      <c r="C6" s="4"/>
    </row>
    <row r="7" spans="2:6" ht="16.5" customHeight="1">
      <c r="B7" s="405"/>
      <c r="C7" s="395" t="s">
        <v>86</v>
      </c>
      <c r="D7" s="396"/>
      <c r="E7" s="391" t="s">
        <v>93</v>
      </c>
      <c r="F7" s="393" t="s">
        <v>94</v>
      </c>
    </row>
    <row r="8" spans="2:6" ht="15">
      <c r="B8" s="406"/>
      <c r="C8" s="50" t="s">
        <v>10</v>
      </c>
      <c r="D8" s="91" t="s">
        <v>11</v>
      </c>
      <c r="E8" s="403"/>
      <c r="F8" s="404"/>
    </row>
    <row r="9" spans="2:6" ht="15" thickBot="1">
      <c r="B9" s="407"/>
      <c r="C9" s="92" t="s">
        <v>150</v>
      </c>
      <c r="D9" s="90" t="s">
        <v>150</v>
      </c>
      <c r="E9" s="127" t="s">
        <v>177</v>
      </c>
      <c r="F9" s="126" t="s">
        <v>177</v>
      </c>
    </row>
    <row r="10" spans="2:6" s="111" customFormat="1" ht="15">
      <c r="B10" s="173" t="s">
        <v>274</v>
      </c>
      <c r="C10" s="256">
        <f>C11+C12</f>
        <v>30.12708157996416</v>
      </c>
      <c r="D10" s="256">
        <f>C10/E10</f>
        <v>29.681853773363706</v>
      </c>
      <c r="E10" s="256">
        <v>1.015</v>
      </c>
      <c r="F10" s="265">
        <v>1.064</v>
      </c>
    </row>
    <row r="11" spans="2:6" s="111" customFormat="1" ht="15">
      <c r="B11" s="355" t="s">
        <v>275</v>
      </c>
      <c r="C11" s="187">
        <f>28438.5274942614/1000</f>
        <v>28.4385274942614</v>
      </c>
      <c r="D11" s="174"/>
      <c r="E11" s="174"/>
      <c r="F11" s="175"/>
    </row>
    <row r="12" spans="1:6" ht="15" thickBot="1">
      <c r="A12" s="10"/>
      <c r="B12" s="356" t="s">
        <v>276</v>
      </c>
      <c r="C12" s="176">
        <f>1688.55408570276/1000</f>
        <v>1.6885540857027599</v>
      </c>
      <c r="D12" s="176"/>
      <c r="E12" s="177"/>
      <c r="F12" s="178"/>
    </row>
    <row r="13" ht="15">
      <c r="C13" s="14"/>
    </row>
    <row r="14" ht="15">
      <c r="B14" s="26"/>
    </row>
  </sheetData>
  <mergeCells count="4">
    <mergeCell ref="C7:D7"/>
    <mergeCell ref="E7:E8"/>
    <mergeCell ref="F7:F8"/>
    <mergeCell ref="B7:B9"/>
  </mergeCells>
  <conditionalFormatting sqref="C14">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14"/>
  <sheetViews>
    <sheetView zoomScale="90" zoomScaleNormal="90" workbookViewId="0" topLeftCell="A1">
      <selection activeCell="D1" sqref="D1"/>
    </sheetView>
  </sheetViews>
  <sheetFormatPr defaultColWidth="8.7109375" defaultRowHeight="15"/>
  <cols>
    <col min="1" max="1" width="5.00390625" style="5" bestFit="1" customWidth="1"/>
    <col min="2" max="2" width="48.7109375" style="5" customWidth="1"/>
    <col min="3" max="7" width="20.7109375" style="5" customWidth="1"/>
    <col min="8"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111</v>
      </c>
    </row>
    <row r="2" ht="4.5" customHeight="1"/>
    <row r="3" spans="2:11" ht="15">
      <c r="B3" s="48" t="s">
        <v>163</v>
      </c>
      <c r="C3" s="49"/>
      <c r="F3" s="111"/>
      <c r="G3" s="111"/>
      <c r="H3" s="111"/>
      <c r="I3" s="111"/>
      <c r="J3" s="111"/>
      <c r="K3" s="111"/>
    </row>
    <row r="4" spans="2:11" ht="15">
      <c r="B4" s="27" t="s">
        <v>110</v>
      </c>
      <c r="C4" s="4"/>
      <c r="F4" s="111"/>
      <c r="G4" s="111"/>
      <c r="H4" s="111"/>
      <c r="I4" s="111"/>
      <c r="J4" s="111"/>
      <c r="K4" s="111"/>
    </row>
    <row r="5" spans="2:3" ht="15">
      <c r="B5" s="27"/>
      <c r="C5" s="4"/>
    </row>
    <row r="6" spans="2:3" ht="14.25" customHeight="1" thickBot="1">
      <c r="B6" s="16" t="s">
        <v>240</v>
      </c>
      <c r="C6" s="4"/>
    </row>
    <row r="7" spans="2:6" ht="16.5" customHeight="1">
      <c r="B7" s="405"/>
      <c r="C7" s="395" t="s">
        <v>86</v>
      </c>
      <c r="D7" s="396"/>
      <c r="E7" s="391" t="s">
        <v>93</v>
      </c>
      <c r="F7" s="393" t="s">
        <v>94</v>
      </c>
    </row>
    <row r="8" spans="2:6" ht="15">
      <c r="B8" s="406"/>
      <c r="C8" s="50" t="s">
        <v>10</v>
      </c>
      <c r="D8" s="91" t="s">
        <v>11</v>
      </c>
      <c r="E8" s="403"/>
      <c r="F8" s="404"/>
    </row>
    <row r="9" spans="2:6" ht="15" thickBot="1">
      <c r="B9" s="407"/>
      <c r="C9" s="92" t="s">
        <v>150</v>
      </c>
      <c r="D9" s="90" t="s">
        <v>150</v>
      </c>
      <c r="E9" s="129" t="s">
        <v>177</v>
      </c>
      <c r="F9" s="128" t="s">
        <v>177</v>
      </c>
    </row>
    <row r="10" spans="2:6" s="111" customFormat="1" ht="15">
      <c r="B10" s="173" t="s">
        <v>277</v>
      </c>
      <c r="C10" s="260">
        <f>C11+C12</f>
        <v>7.8879971269934686</v>
      </c>
      <c r="D10" s="260">
        <f>C10/E10</f>
        <v>7.863760045921337</v>
      </c>
      <c r="E10" s="260">
        <f>100.308212368264/100</f>
        <v>1.00308212368264</v>
      </c>
      <c r="F10" s="261">
        <f>101.612035057425/100</f>
        <v>1.01612035057425</v>
      </c>
    </row>
    <row r="11" spans="2:6" s="111" customFormat="1" ht="15">
      <c r="B11" s="355" t="s">
        <v>278</v>
      </c>
      <c r="C11" s="187">
        <f>7445.89291117542/1000</f>
        <v>7.445892911175419</v>
      </c>
      <c r="D11" s="174"/>
      <c r="E11" s="174"/>
      <c r="F11" s="175"/>
    </row>
    <row r="12" spans="1:6" ht="15" thickBot="1">
      <c r="A12" s="10"/>
      <c r="B12" s="356" t="s">
        <v>279</v>
      </c>
      <c r="C12" s="186">
        <f>442.104215818049/1000</f>
        <v>0.442104215818049</v>
      </c>
      <c r="D12" s="176"/>
      <c r="E12" s="177"/>
      <c r="F12" s="178"/>
    </row>
    <row r="13" ht="15">
      <c r="C13" s="14"/>
    </row>
    <row r="14" ht="15">
      <c r="B14" s="26"/>
    </row>
  </sheetData>
  <mergeCells count="4">
    <mergeCell ref="C7:D7"/>
    <mergeCell ref="E7:E8"/>
    <mergeCell ref="F7:F8"/>
    <mergeCell ref="B7:B9"/>
  </mergeCells>
  <conditionalFormatting sqref="C14">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11"/>
  <sheetViews>
    <sheetView zoomScale="90" zoomScaleNormal="90" workbookViewId="0" topLeftCell="A1">
      <selection activeCell="C1" sqref="C1"/>
    </sheetView>
  </sheetViews>
  <sheetFormatPr defaultColWidth="8.7109375" defaultRowHeight="15"/>
  <cols>
    <col min="1" max="1" width="5.00390625" style="5" bestFit="1" customWidth="1"/>
    <col min="2" max="2" width="48.7109375" style="5" customWidth="1"/>
    <col min="3" max="6" width="20.7109375" style="5" customWidth="1"/>
    <col min="7" max="7" width="11.421875" style="5" customWidth="1"/>
    <col min="8" max="16384" width="8.7109375" style="5" customWidth="1"/>
  </cols>
  <sheetData>
    <row r="1" ht="18">
      <c r="B1" s="6" t="s">
        <v>112</v>
      </c>
    </row>
    <row r="2" ht="4.5" customHeight="1"/>
    <row r="3" spans="2:6" ht="15">
      <c r="B3" s="48" t="s">
        <v>162</v>
      </c>
      <c r="C3" s="49"/>
      <c r="E3" s="111"/>
      <c r="F3" s="111"/>
    </row>
    <row r="4" spans="2:6" ht="15">
      <c r="B4" s="27" t="s">
        <v>113</v>
      </c>
      <c r="C4" s="4"/>
      <c r="E4" s="111"/>
      <c r="F4" s="111"/>
    </row>
    <row r="5" spans="2:6" ht="15">
      <c r="B5" s="27"/>
      <c r="C5" s="4"/>
      <c r="E5" s="111"/>
      <c r="F5" s="111"/>
    </row>
    <row r="6" spans="2:3" ht="15" thickBot="1">
      <c r="B6" s="16" t="s">
        <v>240</v>
      </c>
      <c r="C6" s="4"/>
    </row>
    <row r="7" spans="2:6" ht="16.5" customHeight="1">
      <c r="B7" s="405"/>
      <c r="C7" s="395" t="s">
        <v>86</v>
      </c>
      <c r="D7" s="396"/>
      <c r="E7" s="391" t="s">
        <v>93</v>
      </c>
      <c r="F7" s="393" t="s">
        <v>115</v>
      </c>
    </row>
    <row r="8" spans="2:6" ht="15">
      <c r="B8" s="406"/>
      <c r="C8" s="50" t="s">
        <v>10</v>
      </c>
      <c r="D8" s="91" t="s">
        <v>11</v>
      </c>
      <c r="E8" s="403"/>
      <c r="F8" s="404"/>
    </row>
    <row r="9" spans="2:6" ht="15" thickBot="1">
      <c r="B9" s="407"/>
      <c r="C9" s="92" t="s">
        <v>150</v>
      </c>
      <c r="D9" s="90" t="s">
        <v>150</v>
      </c>
      <c r="E9" s="131" t="s">
        <v>177</v>
      </c>
      <c r="F9" s="130" t="s">
        <v>177</v>
      </c>
    </row>
    <row r="10" spans="1:6" ht="15" thickBot="1">
      <c r="A10" s="10"/>
      <c r="B10" s="266" t="s">
        <v>114</v>
      </c>
      <c r="C10" s="267">
        <f>63469.187/1000</f>
        <v>63.469187</v>
      </c>
      <c r="D10" s="268">
        <f>C10/E10</f>
        <v>62.97489818168397</v>
      </c>
      <c r="E10" s="267">
        <f>100.784898161947/100</f>
        <v>1.00784898161947</v>
      </c>
      <c r="F10" s="269">
        <f>108.483778191907/100</f>
        <v>1.08483778191907</v>
      </c>
    </row>
    <row r="11" ht="15">
      <c r="C11" s="14"/>
    </row>
  </sheetData>
  <mergeCells count="4">
    <mergeCell ref="C7:D7"/>
    <mergeCell ref="E7:E8"/>
    <mergeCell ref="F7:F8"/>
    <mergeCell ref="B7:B9"/>
  </mergeCells>
  <printOptions/>
  <pageMargins left="0.7" right="0.7" top="0.787401575" bottom="0.7874015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G22"/>
  <sheetViews>
    <sheetView zoomScale="90" zoomScaleNormal="90" workbookViewId="0" topLeftCell="A1">
      <selection activeCell="E1" sqref="E1"/>
    </sheetView>
  </sheetViews>
  <sheetFormatPr defaultColWidth="8.7109375" defaultRowHeight="15"/>
  <cols>
    <col min="1" max="1" width="5.00390625" style="5" bestFit="1" customWidth="1"/>
    <col min="2" max="2" width="48.7109375" style="5" customWidth="1"/>
    <col min="3" max="6" width="20.7109375" style="5" customWidth="1"/>
    <col min="7" max="9" width="14.28125" style="5" bestFit="1" customWidth="1"/>
    <col min="10" max="10" width="17.00390625" style="5" bestFit="1" customWidth="1"/>
    <col min="11" max="11" width="12.7109375" style="5" bestFit="1" customWidth="1"/>
    <col min="12" max="12" width="11.421875" style="5" customWidth="1"/>
    <col min="13" max="16384" width="8.7109375" style="5" customWidth="1"/>
  </cols>
  <sheetData>
    <row r="1" ht="18">
      <c r="B1" s="6" t="s">
        <v>116</v>
      </c>
    </row>
    <row r="2" ht="4.5" customHeight="1"/>
    <row r="3" spans="2:7" ht="15">
      <c r="B3" s="48" t="s">
        <v>161</v>
      </c>
      <c r="C3" s="111" t="s">
        <v>320</v>
      </c>
      <c r="D3" s="111" t="s">
        <v>319</v>
      </c>
      <c r="E3" s="111"/>
      <c r="F3" s="111"/>
      <c r="G3" s="71"/>
    </row>
    <row r="4" spans="2:7" ht="15">
      <c r="B4" s="27" t="s">
        <v>117</v>
      </c>
      <c r="C4" s="111" t="s">
        <v>321</v>
      </c>
      <c r="D4" s="111" t="s">
        <v>322</v>
      </c>
      <c r="E4" s="111"/>
      <c r="F4" s="111"/>
      <c r="G4" s="71"/>
    </row>
    <row r="5" spans="2:3" ht="15">
      <c r="B5" s="27"/>
      <c r="C5" s="4"/>
    </row>
    <row r="6" spans="2:3" ht="14.25" customHeight="1" thickBot="1">
      <c r="B6" s="16" t="s">
        <v>240</v>
      </c>
      <c r="C6" s="4"/>
    </row>
    <row r="7" spans="2:5" ht="16.5" customHeight="1">
      <c r="B7" s="405"/>
      <c r="C7" s="395" t="s">
        <v>86</v>
      </c>
      <c r="D7" s="396"/>
      <c r="E7" s="67"/>
    </row>
    <row r="8" spans="2:5" ht="15">
      <c r="B8" s="406"/>
      <c r="C8" s="50" t="s">
        <v>10</v>
      </c>
      <c r="D8" s="91" t="s">
        <v>11</v>
      </c>
      <c r="E8" s="67"/>
    </row>
    <row r="9" spans="2:5" ht="15" thickBot="1">
      <c r="B9" s="406"/>
      <c r="C9" s="134" t="s">
        <v>150</v>
      </c>
      <c r="D9" s="133" t="s">
        <v>150</v>
      </c>
      <c r="E9" s="68"/>
    </row>
    <row r="10" spans="2:5" s="111" customFormat="1" ht="15">
      <c r="B10" s="173" t="s">
        <v>280</v>
      </c>
      <c r="C10" s="270">
        <v>12.457429865557561</v>
      </c>
      <c r="D10" s="271">
        <v>11.77518977461851</v>
      </c>
      <c r="E10" s="188"/>
    </row>
    <row r="11" spans="2:5" s="111" customFormat="1" ht="15">
      <c r="B11" s="359" t="s">
        <v>281</v>
      </c>
      <c r="C11" s="272">
        <v>11.59250441865815</v>
      </c>
      <c r="D11" s="273">
        <v>10.9191706709194</v>
      </c>
      <c r="E11" s="68"/>
    </row>
    <row r="12" spans="2:5" s="111" customFormat="1" ht="15">
      <c r="B12" s="355" t="s">
        <v>282</v>
      </c>
      <c r="C12" s="290">
        <v>2.11573957161282</v>
      </c>
      <c r="D12" s="291">
        <v>2.01835468292543</v>
      </c>
      <c r="E12" s="68"/>
    </row>
    <row r="13" spans="2:5" s="111" customFormat="1" ht="15">
      <c r="B13" s="355" t="s">
        <v>283</v>
      </c>
      <c r="C13" s="290">
        <v>2.62867467638304</v>
      </c>
      <c r="D13" s="291">
        <v>2.51374872233028</v>
      </c>
      <c r="E13" s="68"/>
    </row>
    <row r="14" spans="2:5" s="111" customFormat="1" ht="15">
      <c r="B14" s="355" t="s">
        <v>284</v>
      </c>
      <c r="C14" s="290">
        <v>3.67861847946326</v>
      </c>
      <c r="D14" s="291">
        <v>3.45850596285218</v>
      </c>
      <c r="E14" s="68"/>
    </row>
    <row r="15" spans="2:5" s="111" customFormat="1" ht="15">
      <c r="B15" s="355" t="s">
        <v>285</v>
      </c>
      <c r="C15" s="290">
        <v>3.16947169119903</v>
      </c>
      <c r="D15" s="291">
        <v>2.92856130281151</v>
      </c>
      <c r="E15" s="68"/>
    </row>
    <row r="16" spans="2:5" s="111" customFormat="1" ht="15">
      <c r="B16" s="359" t="s">
        <v>286</v>
      </c>
      <c r="C16" s="272">
        <v>0.86492544689941</v>
      </c>
      <c r="D16" s="273">
        <v>0.8560191036991099</v>
      </c>
      <c r="E16" s="68"/>
    </row>
    <row r="17" spans="2:5" s="111" customFormat="1" ht="15">
      <c r="B17" s="355" t="s">
        <v>282</v>
      </c>
      <c r="C17" s="290">
        <v>0.18770986467395</v>
      </c>
      <c r="D17" s="291">
        <v>0.18179435961043</v>
      </c>
      <c r="E17" s="68"/>
    </row>
    <row r="18" spans="2:5" s="111" customFormat="1" ht="15">
      <c r="B18" s="355" t="s">
        <v>283</v>
      </c>
      <c r="C18" s="290">
        <v>0.2365525671706</v>
      </c>
      <c r="D18" s="291">
        <v>0.23459701796986</v>
      </c>
      <c r="E18" s="68"/>
    </row>
    <row r="19" spans="2:5" s="111" customFormat="1" ht="15">
      <c r="B19" s="355" t="s">
        <v>284</v>
      </c>
      <c r="C19" s="290">
        <v>0.2483412464329</v>
      </c>
      <c r="D19" s="291">
        <v>0.24525668327692</v>
      </c>
      <c r="E19" s="68"/>
    </row>
    <row r="20" spans="2:5" s="111" customFormat="1" ht="15" thickBot="1">
      <c r="B20" s="356" t="s">
        <v>285</v>
      </c>
      <c r="C20" s="292">
        <v>0.19232176862196</v>
      </c>
      <c r="D20" s="293">
        <v>0.1943710428419</v>
      </c>
      <c r="E20" s="68"/>
    </row>
    <row r="21" ht="15">
      <c r="C21" s="14"/>
    </row>
    <row r="22" ht="15">
      <c r="B22" s="26"/>
    </row>
  </sheetData>
  <mergeCells count="2">
    <mergeCell ref="C7:D7"/>
    <mergeCell ref="B7:B9"/>
  </mergeCells>
  <conditionalFormatting sqref="C22">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G11"/>
  <sheetViews>
    <sheetView zoomScale="90" zoomScaleNormal="90" workbookViewId="0" topLeftCell="A1">
      <selection activeCell="D1" sqref="D1"/>
    </sheetView>
  </sheetViews>
  <sheetFormatPr defaultColWidth="8.7109375" defaultRowHeight="15"/>
  <cols>
    <col min="1" max="1" width="5.00390625" style="5" bestFit="1" customWidth="1"/>
    <col min="2" max="2" width="48.7109375" style="5" customWidth="1"/>
    <col min="3" max="8" width="20.7109375" style="5" customWidth="1"/>
    <col min="9" max="11" width="14.28125" style="5" bestFit="1" customWidth="1"/>
    <col min="12" max="12" width="17.00390625" style="5" bestFit="1" customWidth="1"/>
    <col min="13" max="13" width="12.7109375" style="5" bestFit="1" customWidth="1"/>
    <col min="14" max="14" width="11.421875" style="5" customWidth="1"/>
    <col min="15" max="16384" width="8.7109375" style="5" customWidth="1"/>
  </cols>
  <sheetData>
    <row r="1" ht="18">
      <c r="B1" s="6" t="s">
        <v>118</v>
      </c>
    </row>
    <row r="2" ht="4.5" customHeight="1"/>
    <row r="3" spans="2:3" ht="15">
      <c r="B3" s="48" t="s">
        <v>160</v>
      </c>
      <c r="C3" s="49"/>
    </row>
    <row r="4" spans="2:3" ht="15">
      <c r="B4" s="27" t="s">
        <v>119</v>
      </c>
      <c r="C4" s="4"/>
    </row>
    <row r="5" spans="2:3" ht="15" thickBot="1">
      <c r="B5" s="16" t="s">
        <v>240</v>
      </c>
      <c r="C5" s="4"/>
    </row>
    <row r="6" spans="2:7" ht="16.5" customHeight="1">
      <c r="B6" s="408" t="s">
        <v>121</v>
      </c>
      <c r="C6" s="395" t="s">
        <v>86</v>
      </c>
      <c r="D6" s="396"/>
      <c r="E6" s="391" t="s">
        <v>93</v>
      </c>
      <c r="F6" s="393" t="s">
        <v>115</v>
      </c>
      <c r="G6" s="67"/>
    </row>
    <row r="7" spans="2:7" ht="15">
      <c r="B7" s="409"/>
      <c r="C7" s="50" t="s">
        <v>10</v>
      </c>
      <c r="D7" s="91" t="s">
        <v>11</v>
      </c>
      <c r="E7" s="403"/>
      <c r="F7" s="404"/>
      <c r="G7" s="67"/>
    </row>
    <row r="8" spans="2:7" ht="15" thickBot="1">
      <c r="B8" s="410"/>
      <c r="C8" s="92" t="s">
        <v>150</v>
      </c>
      <c r="D8" s="90" t="s">
        <v>150</v>
      </c>
      <c r="E8" s="134" t="s">
        <v>177</v>
      </c>
      <c r="F8" s="133" t="s">
        <v>177</v>
      </c>
      <c r="G8" s="68"/>
    </row>
    <row r="9" spans="1:7" ht="15" thickBot="1">
      <c r="A9" s="10"/>
      <c r="B9" s="97" t="s">
        <v>287</v>
      </c>
      <c r="C9" s="227">
        <f>173321.25/1000</f>
        <v>173.32125</v>
      </c>
      <c r="D9" s="274">
        <f>C9/E9</f>
        <v>171.97144925571823</v>
      </c>
      <c r="E9" s="227">
        <f>100.784898161947/100</f>
        <v>1.00784898161947</v>
      </c>
      <c r="F9" s="228">
        <f>104.16000389427/100</f>
        <v>1.0416000389427</v>
      </c>
      <c r="G9" s="69"/>
    </row>
    <row r="11" spans="2:4" ht="15">
      <c r="B11" s="72"/>
      <c r="C11" s="73"/>
      <c r="D11" s="73"/>
    </row>
  </sheetData>
  <mergeCells count="4">
    <mergeCell ref="C6:D6"/>
    <mergeCell ref="E6:E7"/>
    <mergeCell ref="F6:F7"/>
    <mergeCell ref="B6:B8"/>
  </mergeCells>
  <printOptions/>
  <pageMargins left="0.7" right="0.7" top="0.787401575" bottom="0.787401575" header="0.3" footer="0.3"/>
  <pageSetup horizontalDpi="600" verticalDpi="600" orientation="portrait" paperSize="9" scale="61"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F13"/>
  <sheetViews>
    <sheetView zoomScale="90" zoomScaleNormal="90" workbookViewId="0" topLeftCell="A1">
      <selection activeCell="C1" sqref="C1"/>
    </sheetView>
  </sheetViews>
  <sheetFormatPr defaultColWidth="8.7109375" defaultRowHeight="15"/>
  <cols>
    <col min="1" max="1" width="5.00390625" style="5" bestFit="1" customWidth="1"/>
    <col min="2" max="2" width="48.7109375" style="5" customWidth="1"/>
    <col min="3" max="8" width="20.7109375" style="5" customWidth="1"/>
    <col min="9" max="11" width="14.28125" style="5" bestFit="1" customWidth="1"/>
    <col min="12" max="12" width="17.00390625" style="5" bestFit="1" customWidth="1"/>
    <col min="13" max="13" width="12.7109375" style="5" bestFit="1" customWidth="1"/>
    <col min="14" max="14" width="11.421875" style="5" customWidth="1"/>
    <col min="15" max="16384" width="8.7109375" style="5" customWidth="1"/>
  </cols>
  <sheetData>
    <row r="1" ht="18">
      <c r="B1" s="6" t="s">
        <v>122</v>
      </c>
    </row>
    <row r="2" ht="4.5" customHeight="1"/>
    <row r="3" spans="2:6" ht="15">
      <c r="B3" s="48" t="s">
        <v>159</v>
      </c>
      <c r="C3" s="111"/>
      <c r="D3" s="111"/>
      <c r="E3" s="111"/>
      <c r="F3" s="111"/>
    </row>
    <row r="4" spans="2:6" ht="15">
      <c r="B4" s="27" t="s">
        <v>120</v>
      </c>
      <c r="C4" s="111"/>
      <c r="D4" s="111"/>
      <c r="E4" s="111"/>
      <c r="F4" s="111"/>
    </row>
    <row r="5" spans="2:6" ht="15" thickBot="1">
      <c r="B5" s="27"/>
      <c r="C5" s="111"/>
      <c r="D5" s="111"/>
      <c r="E5" s="111"/>
      <c r="F5" s="111"/>
    </row>
    <row r="6" spans="2:4" ht="16.5" customHeight="1">
      <c r="B6" s="408" t="s">
        <v>121</v>
      </c>
      <c r="C6" s="98" t="s">
        <v>86</v>
      </c>
      <c r="D6" s="67"/>
    </row>
    <row r="7" spans="2:4" ht="15">
      <c r="B7" s="409"/>
      <c r="C7" s="99" t="s">
        <v>10</v>
      </c>
      <c r="D7" s="67"/>
    </row>
    <row r="8" spans="2:4" ht="15" thickBot="1">
      <c r="B8" s="410"/>
      <c r="C8" s="100" t="s">
        <v>150</v>
      </c>
      <c r="D8" s="68"/>
    </row>
    <row r="9" spans="2:3" ht="15">
      <c r="B9" s="195" t="s">
        <v>299</v>
      </c>
      <c r="C9" s="275">
        <f>156986.344580403/1000</f>
        <v>156.986344580403</v>
      </c>
    </row>
    <row r="10" spans="2:3" ht="15">
      <c r="B10" s="196" t="s">
        <v>123</v>
      </c>
      <c r="C10" s="276">
        <f>106318.9988/1000</f>
        <v>106.3189988</v>
      </c>
    </row>
    <row r="11" spans="2:3" ht="15" thickBot="1">
      <c r="B11" s="197" t="s">
        <v>126</v>
      </c>
      <c r="C11" s="277">
        <f>50667.34/1000</f>
        <v>50.667339999999996</v>
      </c>
    </row>
    <row r="13" spans="2:3" ht="15">
      <c r="B13" s="72"/>
      <c r="C13" s="73"/>
    </row>
  </sheetData>
  <mergeCells count="1">
    <mergeCell ref="B6:B8"/>
  </mergeCells>
  <printOptions/>
  <pageMargins left="0.7" right="0.7" top="0.787401575" bottom="0.787401575" header="0.3" footer="0.3"/>
  <pageSetup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F10"/>
  <sheetViews>
    <sheetView zoomScale="90" zoomScaleNormal="90" workbookViewId="0" topLeftCell="A1">
      <selection activeCell="C1" sqref="C1"/>
    </sheetView>
  </sheetViews>
  <sheetFormatPr defaultColWidth="8.7109375" defaultRowHeight="15"/>
  <cols>
    <col min="1" max="1" width="8.00390625" style="5" bestFit="1" customWidth="1"/>
    <col min="2" max="2" width="50.28125" style="5" customWidth="1"/>
    <col min="3" max="8" width="20.7109375" style="5" customWidth="1"/>
    <col min="9" max="11" width="14.28125" style="5" bestFit="1" customWidth="1"/>
    <col min="12" max="12" width="17.00390625" style="5" bestFit="1" customWidth="1"/>
    <col min="13" max="13" width="12.7109375" style="5" bestFit="1" customWidth="1"/>
    <col min="14" max="14" width="11.421875" style="5" customWidth="1"/>
    <col min="15" max="16384" width="8.7109375" style="5" customWidth="1"/>
  </cols>
  <sheetData>
    <row r="1" ht="18">
      <c r="B1" s="6" t="s">
        <v>124</v>
      </c>
    </row>
    <row r="2" ht="4.5" customHeight="1"/>
    <row r="3" spans="2:6" ht="15">
      <c r="B3" s="48" t="s">
        <v>158</v>
      </c>
      <c r="C3" s="68"/>
      <c r="D3" s="68"/>
      <c r="E3" s="68"/>
      <c r="F3" s="68"/>
    </row>
    <row r="4" spans="2:6" ht="15">
      <c r="B4" s="27" t="s">
        <v>125</v>
      </c>
      <c r="C4" s="68"/>
      <c r="D4" s="68"/>
      <c r="E4" s="68"/>
      <c r="F4" s="68"/>
    </row>
    <row r="5" spans="2:6" ht="15">
      <c r="B5" s="27"/>
      <c r="C5" s="68"/>
      <c r="D5" s="68"/>
      <c r="E5" s="68"/>
      <c r="F5" s="68"/>
    </row>
    <row r="6" ht="15" thickBot="1">
      <c r="B6" s="16" t="s">
        <v>240</v>
      </c>
    </row>
    <row r="7" spans="2:3" ht="15">
      <c r="B7" s="189"/>
      <c r="C7" s="190" t="s">
        <v>238</v>
      </c>
    </row>
    <row r="8" spans="2:3" ht="15">
      <c r="B8" s="192" t="s">
        <v>290</v>
      </c>
      <c r="C8" s="278">
        <f>C9+C10</f>
        <v>3.91288020754464</v>
      </c>
    </row>
    <row r="9" spans="2:3" ht="15">
      <c r="B9" s="360" t="s">
        <v>288</v>
      </c>
      <c r="C9" s="213">
        <f>1953.86613053/1000</f>
        <v>1.95386613053</v>
      </c>
    </row>
    <row r="10" spans="2:3" ht="15" thickBot="1">
      <c r="B10" s="361" t="s">
        <v>289</v>
      </c>
      <c r="C10" s="66">
        <f>1959.01407701464/1000</f>
        <v>1.95901407701464</v>
      </c>
    </row>
  </sheetData>
  <printOptions/>
  <pageMargins left="0.7" right="0.7" top="0.787401575" bottom="0.787401575" header="0.3" footer="0.3"/>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39"/>
  <sheetViews>
    <sheetView zoomScale="60" zoomScaleNormal="60" workbookViewId="0" topLeftCell="A1">
      <selection activeCell="F27" sqref="F27"/>
    </sheetView>
  </sheetViews>
  <sheetFormatPr defaultColWidth="8.7109375" defaultRowHeight="15"/>
  <cols>
    <col min="1" max="1" width="8.00390625" style="5" bestFit="1" customWidth="1"/>
    <col min="2" max="2" width="50.28125" style="5" customWidth="1"/>
    <col min="3" max="8" width="20.7109375" style="5" customWidth="1"/>
    <col min="9" max="11" width="14.28125" style="5" bestFit="1" customWidth="1"/>
    <col min="12" max="12" width="17.00390625" style="5" bestFit="1" customWidth="1"/>
    <col min="13" max="13" width="12.7109375" style="5" bestFit="1" customWidth="1"/>
    <col min="14" max="14" width="11.421875" style="5" customWidth="1"/>
    <col min="15" max="16384" width="8.7109375" style="5" customWidth="1"/>
  </cols>
  <sheetData>
    <row r="1" spans="2:4" ht="18">
      <c r="B1" s="6" t="s">
        <v>127</v>
      </c>
      <c r="D1" s="103"/>
    </row>
    <row r="2" ht="4.5" customHeight="1"/>
    <row r="3" spans="2:6" ht="15">
      <c r="B3" s="48" t="s">
        <v>157</v>
      </c>
      <c r="C3" s="68"/>
      <c r="D3" s="68"/>
      <c r="E3" s="68"/>
      <c r="F3" s="68"/>
    </row>
    <row r="4" spans="2:6" ht="15">
      <c r="B4" s="27" t="s">
        <v>128</v>
      </c>
      <c r="C4" s="68"/>
      <c r="D4" s="71"/>
      <c r="E4" s="68"/>
      <c r="F4" s="68"/>
    </row>
    <row r="5" spans="2:6" ht="15" thickBot="1">
      <c r="B5" s="16" t="s">
        <v>240</v>
      </c>
      <c r="C5" s="68"/>
      <c r="D5" s="68"/>
      <c r="E5" s="68"/>
      <c r="F5" s="68"/>
    </row>
    <row r="6" spans="2:3" ht="16.5" customHeight="1">
      <c r="B6" s="408" t="s">
        <v>121</v>
      </c>
      <c r="C6" s="98" t="s">
        <v>86</v>
      </c>
    </row>
    <row r="7" spans="2:4" ht="15">
      <c r="B7" s="409"/>
      <c r="C7" s="99" t="s">
        <v>10</v>
      </c>
      <c r="D7" s="67"/>
    </row>
    <row r="8" spans="2:4" ht="15" thickBot="1">
      <c r="B8" s="410"/>
      <c r="C8" s="100" t="s">
        <v>150</v>
      </c>
      <c r="D8" s="68"/>
    </row>
    <row r="9" spans="1:3" ht="15" thickBot="1">
      <c r="A9" s="101"/>
      <c r="B9" s="97" t="s">
        <v>291</v>
      </c>
      <c r="C9" s="289">
        <f>237807963.78/1000000</f>
        <v>237.80796378</v>
      </c>
    </row>
    <row r="10" spans="1:3" ht="15">
      <c r="A10" s="101"/>
      <c r="B10" s="143" t="s">
        <v>390</v>
      </c>
      <c r="C10" s="310">
        <f>2582776.74000001/1000000</f>
        <v>2.58277674000001</v>
      </c>
    </row>
    <row r="11" spans="1:5" ht="15">
      <c r="A11" s="101"/>
      <c r="B11" s="143" t="s">
        <v>391</v>
      </c>
      <c r="C11" s="311">
        <f>5716.03/1000000</f>
        <v>0.0057160299999999995</v>
      </c>
      <c r="E11" s="65"/>
    </row>
    <row r="12" spans="1:5" ht="15">
      <c r="A12" s="101"/>
      <c r="B12" s="143" t="s">
        <v>392</v>
      </c>
      <c r="C12" s="310">
        <f>5726/1000000</f>
        <v>0.005726</v>
      </c>
      <c r="E12" s="65"/>
    </row>
    <row r="13" spans="1:5" ht="15">
      <c r="A13" s="101"/>
      <c r="B13" s="143" t="s">
        <v>393</v>
      </c>
      <c r="C13" s="310">
        <f>1317963.02/1000000</f>
        <v>1.31796302</v>
      </c>
      <c r="E13" s="65"/>
    </row>
    <row r="14" spans="1:5" ht="15">
      <c r="A14" s="101"/>
      <c r="B14" s="143" t="s">
        <v>394</v>
      </c>
      <c r="C14" s="310">
        <f>3824403/1000000</f>
        <v>3.824403</v>
      </c>
      <c r="E14" s="65"/>
    </row>
    <row r="15" spans="1:5" ht="15" customHeight="1">
      <c r="A15" s="101"/>
      <c r="B15" s="144" t="s">
        <v>380</v>
      </c>
      <c r="C15" s="310">
        <f>108119845.15/1000000</f>
        <v>108.11984515</v>
      </c>
      <c r="E15" s="65"/>
    </row>
    <row r="16" spans="1:5" ht="15">
      <c r="A16" s="101"/>
      <c r="B16" s="145" t="s">
        <v>381</v>
      </c>
      <c r="C16" s="310">
        <f>49347752.39/1000000</f>
        <v>49.347752390000004</v>
      </c>
      <c r="E16" s="65"/>
    </row>
    <row r="17" spans="1:5" ht="15">
      <c r="A17" s="101"/>
      <c r="B17" s="145" t="s">
        <v>382</v>
      </c>
      <c r="C17" s="310">
        <f>845609.16/1000000</f>
        <v>0.8456091600000001</v>
      </c>
      <c r="E17" s="65"/>
    </row>
    <row r="18" spans="1:5" ht="15">
      <c r="A18" s="101"/>
      <c r="B18" s="145" t="s">
        <v>383</v>
      </c>
      <c r="C18" s="310">
        <f>947706.89/1000000</f>
        <v>0.94770689</v>
      </c>
      <c r="E18" s="65"/>
    </row>
    <row r="19" spans="1:5" ht="28.8">
      <c r="A19" s="101"/>
      <c r="B19" s="145" t="s">
        <v>404</v>
      </c>
      <c r="C19" s="310">
        <f>-512.000000000001/1000000</f>
        <v>-0.0005120000000000011</v>
      </c>
      <c r="E19" s="65"/>
    </row>
    <row r="20" spans="1:5" ht="28.8">
      <c r="A20" s="101"/>
      <c r="B20" s="145" t="s">
        <v>405</v>
      </c>
      <c r="C20" s="312">
        <f>29693330.43/1000000</f>
        <v>29.69333043</v>
      </c>
      <c r="E20" s="65"/>
    </row>
    <row r="21" spans="2:5" ht="15">
      <c r="B21" s="308" t="s">
        <v>406</v>
      </c>
      <c r="C21" s="313">
        <f>19660805.16/1000000</f>
        <v>19.66080516</v>
      </c>
      <c r="E21" s="65"/>
    </row>
    <row r="22" spans="2:5" ht="15">
      <c r="B22" s="309" t="s">
        <v>407</v>
      </c>
      <c r="C22" s="314">
        <f>3459653.63/1000000</f>
        <v>3.45965363</v>
      </c>
      <c r="E22" s="65"/>
    </row>
    <row r="23" spans="2:5" ht="15">
      <c r="B23" s="308" t="s">
        <v>408</v>
      </c>
      <c r="C23" s="313">
        <f>544475.43/1000000</f>
        <v>0.5444754300000001</v>
      </c>
      <c r="E23" s="65"/>
    </row>
    <row r="24" spans="2:5" ht="15">
      <c r="B24" s="308" t="s">
        <v>384</v>
      </c>
      <c r="C24" s="313">
        <f>724157/1000000</f>
        <v>0.724157</v>
      </c>
      <c r="E24" s="65"/>
    </row>
    <row r="25" spans="2:5" ht="15">
      <c r="B25" s="308" t="s">
        <v>385</v>
      </c>
      <c r="C25" s="313">
        <f>3750901.67/1000000</f>
        <v>3.7509016699999997</v>
      </c>
      <c r="E25" s="65"/>
    </row>
    <row r="26" spans="2:5" ht="15">
      <c r="B26" s="308" t="s">
        <v>386</v>
      </c>
      <c r="C26" s="313">
        <f>159970.45/1000000</f>
        <v>0.15997045000000001</v>
      </c>
      <c r="E26" s="65"/>
    </row>
    <row r="27" spans="2:5" ht="15">
      <c r="B27" s="308" t="s">
        <v>387</v>
      </c>
      <c r="C27" s="313">
        <f>1030400/1000000</f>
        <v>1.0304</v>
      </c>
      <c r="E27" s="65"/>
    </row>
    <row r="28" spans="2:5" ht="15">
      <c r="B28" s="308" t="s">
        <v>409</v>
      </c>
      <c r="C28" s="313">
        <f>28131.74/1000000</f>
        <v>0.028131740000000002</v>
      </c>
      <c r="E28" s="65"/>
    </row>
    <row r="29" spans="2:5" ht="15">
      <c r="B29" s="308" t="s">
        <v>388</v>
      </c>
      <c r="C29" s="313">
        <f>580881.22/1000000</f>
        <v>0.58088122</v>
      </c>
      <c r="E29" s="65"/>
    </row>
    <row r="30" spans="2:5" ht="15">
      <c r="B30" s="308" t="s">
        <v>389</v>
      </c>
      <c r="C30" s="313">
        <f>798572.06/1000000</f>
        <v>0.79857206</v>
      </c>
      <c r="E30" s="65"/>
    </row>
    <row r="31" spans="2:5" ht="15">
      <c r="B31" s="308" t="s">
        <v>403</v>
      </c>
      <c r="C31" s="313">
        <f>357369/1000000</f>
        <v>0.357369</v>
      </c>
      <c r="E31" s="65"/>
    </row>
    <row r="32" spans="2:5" ht="15">
      <c r="B32" s="308" t="s">
        <v>413</v>
      </c>
      <c r="C32" s="313">
        <f>835607.47/1000000</f>
        <v>0.83560747</v>
      </c>
      <c r="E32" s="65"/>
    </row>
    <row r="33" spans="2:5" ht="15">
      <c r="B33" s="308" t="s">
        <v>410</v>
      </c>
      <c r="C33" s="313">
        <f>547171/1000000</f>
        <v>0.547171</v>
      </c>
      <c r="E33" s="65"/>
    </row>
    <row r="34" spans="2:5" ht="15">
      <c r="B34" s="308" t="s">
        <v>422</v>
      </c>
      <c r="C34" s="313">
        <f>8605929.46/1000000</f>
        <v>8.60592946</v>
      </c>
      <c r="E34" s="65"/>
    </row>
    <row r="35" spans="2:5" ht="15">
      <c r="B35" s="308" t="s">
        <v>411</v>
      </c>
      <c r="C35" s="313">
        <f>8448/1000000</f>
        <v>0.008448</v>
      </c>
      <c r="E35" s="65"/>
    </row>
    <row r="36" spans="2:5" ht="15">
      <c r="B36" s="308" t="s">
        <v>402</v>
      </c>
      <c r="C36" s="313">
        <f>5859/1000000</f>
        <v>0.005859</v>
      </c>
      <c r="E36" s="65"/>
    </row>
    <row r="37" spans="2:5" ht="15">
      <c r="B37" s="308" t="s">
        <v>402</v>
      </c>
      <c r="C37" s="313">
        <f>16626/1000000</f>
        <v>0.016626</v>
      </c>
      <c r="E37" s="65"/>
    </row>
    <row r="38" spans="2:5" ht="15">
      <c r="B38" s="308" t="s">
        <v>412</v>
      </c>
      <c r="C38" s="313">
        <f>1688.68/1000000</f>
        <v>0.0016886800000000001</v>
      </c>
      <c r="E38" s="65"/>
    </row>
    <row r="39" spans="2:5" ht="15" thickBot="1">
      <c r="B39" s="113" t="s">
        <v>402</v>
      </c>
      <c r="C39" s="315">
        <f>1000/1000000</f>
        <v>0.001</v>
      </c>
      <c r="E39" s="65"/>
    </row>
  </sheetData>
  <mergeCells count="1">
    <mergeCell ref="B6:B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4"/>
  <sheetViews>
    <sheetView zoomScale="70" zoomScaleNormal="70" workbookViewId="0" topLeftCell="A1">
      <selection activeCell="E15" sqref="E15:L16"/>
    </sheetView>
  </sheetViews>
  <sheetFormatPr defaultColWidth="8.7109375" defaultRowHeight="15"/>
  <cols>
    <col min="1" max="1" width="5.00390625" style="5" bestFit="1" customWidth="1"/>
    <col min="2" max="2" width="42.7109375" style="5" bestFit="1" customWidth="1"/>
    <col min="3" max="3" width="20.7109375" style="5" bestFit="1" customWidth="1"/>
    <col min="4" max="4" width="8.7109375" style="5"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38</v>
      </c>
    </row>
    <row r="2" ht="4.5" customHeight="1"/>
    <row r="3" spans="2:3" ht="15">
      <c r="B3" s="7" t="s">
        <v>186</v>
      </c>
      <c r="C3" s="4" t="s">
        <v>23</v>
      </c>
    </row>
    <row r="4" spans="2:3" ht="15">
      <c r="B4" s="8" t="s">
        <v>187</v>
      </c>
      <c r="C4" s="4" t="s">
        <v>144</v>
      </c>
    </row>
    <row r="5" ht="14.25" customHeight="1">
      <c r="C5" s="4" t="s">
        <v>145</v>
      </c>
    </row>
    <row r="6" ht="14.25" customHeight="1" thickBot="1"/>
    <row r="7" spans="2:4" ht="16.5" customHeight="1" thickBot="1">
      <c r="B7" s="84"/>
      <c r="C7" s="85" t="s">
        <v>3</v>
      </c>
      <c r="D7" s="9"/>
    </row>
    <row r="8" spans="1:3" ht="15">
      <c r="A8" s="10">
        <v>1</v>
      </c>
      <c r="B8" s="82" t="s">
        <v>0</v>
      </c>
      <c r="C8" s="46">
        <f>202952/1000</f>
        <v>202.952</v>
      </c>
    </row>
    <row r="9" spans="1:3" ht="15">
      <c r="A9" s="10">
        <v>2</v>
      </c>
      <c r="B9" s="11" t="s">
        <v>8</v>
      </c>
      <c r="C9" s="46">
        <f>3160/1000</f>
        <v>3.16</v>
      </c>
    </row>
    <row r="10" spans="1:3" ht="15">
      <c r="A10" s="10">
        <v>3</v>
      </c>
      <c r="B10" s="12" t="s">
        <v>2</v>
      </c>
      <c r="C10" s="46">
        <f>C8-C9</f>
        <v>199.792</v>
      </c>
    </row>
    <row r="11" spans="1:3" ht="15">
      <c r="A11" s="10">
        <v>6</v>
      </c>
      <c r="B11" s="11" t="s">
        <v>25</v>
      </c>
      <c r="C11" s="46">
        <f>172.586792523364/1000</f>
        <v>0.172586792523364</v>
      </c>
    </row>
    <row r="12" spans="2:3" ht="15" thickBot="1">
      <c r="B12" s="13" t="s">
        <v>26</v>
      </c>
      <c r="C12" s="39">
        <f>IF(ISNUMBER(C11)=TRUE,C10-C11,C10)</f>
        <v>199.61941320747664</v>
      </c>
    </row>
    <row r="13" spans="2:3" ht="15">
      <c r="B13" s="14"/>
      <c r="C13" s="15"/>
    </row>
    <row r="14" spans="2:3" ht="15" thickBot="1">
      <c r="B14" s="16"/>
      <c r="C14" s="17"/>
    </row>
    <row r="15" spans="2:14" ht="16.5" customHeight="1">
      <c r="B15" s="389" t="s">
        <v>1</v>
      </c>
      <c r="C15" s="391" t="s">
        <v>3</v>
      </c>
      <c r="D15" s="393" t="s">
        <v>4</v>
      </c>
      <c r="E15" s="395" t="s">
        <v>5</v>
      </c>
      <c r="F15" s="396"/>
      <c r="G15" s="395" t="s">
        <v>6</v>
      </c>
      <c r="H15" s="396"/>
      <c r="I15" s="395" t="s">
        <v>12</v>
      </c>
      <c r="J15" s="396"/>
      <c r="K15" s="387" t="s">
        <v>7</v>
      </c>
      <c r="L15" s="388"/>
      <c r="N15" s="26"/>
    </row>
    <row r="16" spans="2:12" ht="15" thickBot="1">
      <c r="B16" s="390"/>
      <c r="C16" s="392"/>
      <c r="D16" s="394"/>
      <c r="E16" s="79" t="s">
        <v>10</v>
      </c>
      <c r="F16" s="80" t="s">
        <v>11</v>
      </c>
      <c r="G16" s="79" t="s">
        <v>10</v>
      </c>
      <c r="H16" s="80" t="s">
        <v>11</v>
      </c>
      <c r="I16" s="79" t="s">
        <v>10</v>
      </c>
      <c r="J16" s="80" t="s">
        <v>11</v>
      </c>
      <c r="K16" s="79" t="s">
        <v>10</v>
      </c>
      <c r="L16" s="81" t="s">
        <v>11</v>
      </c>
    </row>
    <row r="17" spans="1:14" ht="15">
      <c r="A17" s="10">
        <v>7</v>
      </c>
      <c r="B17" s="74" t="s">
        <v>27</v>
      </c>
      <c r="C17" s="75">
        <v>0</v>
      </c>
      <c r="D17" s="76">
        <v>0</v>
      </c>
      <c r="E17" s="303">
        <f aca="true" t="shared" si="0" ref="E17:E26">C17*D17</f>
        <v>0</v>
      </c>
      <c r="F17" s="78"/>
      <c r="G17" s="77">
        <v>0</v>
      </c>
      <c r="H17" s="78"/>
      <c r="I17" s="77">
        <v>0</v>
      </c>
      <c r="J17" s="78"/>
      <c r="K17" s="77"/>
      <c r="L17" s="78"/>
      <c r="N17" s="27"/>
    </row>
    <row r="18" spans="1:14" ht="15">
      <c r="A18" s="10">
        <v>8</v>
      </c>
      <c r="B18" s="18" t="s">
        <v>28</v>
      </c>
      <c r="C18" s="148">
        <v>0</v>
      </c>
      <c r="D18" s="149">
        <v>0</v>
      </c>
      <c r="E18" s="303">
        <f t="shared" si="0"/>
        <v>0</v>
      </c>
      <c r="F18" s="21"/>
      <c r="G18" s="20">
        <v>0</v>
      </c>
      <c r="H18" s="21"/>
      <c r="I18" s="20">
        <v>0</v>
      </c>
      <c r="J18" s="21"/>
      <c r="K18" s="20"/>
      <c r="L18" s="21"/>
      <c r="N18" s="27"/>
    </row>
    <row r="19" spans="1:14" ht="15">
      <c r="A19" s="10">
        <v>10</v>
      </c>
      <c r="B19" s="18" t="s">
        <v>29</v>
      </c>
      <c r="C19" s="148">
        <v>0</v>
      </c>
      <c r="D19" s="149">
        <v>0</v>
      </c>
      <c r="E19" s="303">
        <f t="shared" si="0"/>
        <v>0</v>
      </c>
      <c r="F19" s="21"/>
      <c r="G19" s="20">
        <v>0</v>
      </c>
      <c r="H19" s="21"/>
      <c r="I19" s="20">
        <v>0</v>
      </c>
      <c r="J19" s="21"/>
      <c r="K19" s="20"/>
      <c r="L19" s="21"/>
      <c r="N19" s="27"/>
    </row>
    <row r="20" spans="1:14" ht="15">
      <c r="A20" s="10">
        <v>11</v>
      </c>
      <c r="B20" s="18" t="s">
        <v>30</v>
      </c>
      <c r="C20" s="148">
        <v>0</v>
      </c>
      <c r="D20" s="149">
        <v>0</v>
      </c>
      <c r="E20" s="303">
        <f t="shared" si="0"/>
        <v>0</v>
      </c>
      <c r="F20" s="21"/>
      <c r="G20" s="20">
        <v>0</v>
      </c>
      <c r="H20" s="21"/>
      <c r="I20" s="20">
        <v>0</v>
      </c>
      <c r="J20" s="21"/>
      <c r="K20" s="20"/>
      <c r="L20" s="21"/>
      <c r="N20" s="27"/>
    </row>
    <row r="21" spans="1:14" ht="15">
      <c r="A21" s="10" t="s">
        <v>31</v>
      </c>
      <c r="B21" s="18" t="s">
        <v>32</v>
      </c>
      <c r="C21" s="148">
        <v>0</v>
      </c>
      <c r="D21" s="149">
        <v>0</v>
      </c>
      <c r="E21" s="303">
        <f t="shared" si="0"/>
        <v>0</v>
      </c>
      <c r="F21" s="21"/>
      <c r="G21" s="20">
        <v>0</v>
      </c>
      <c r="H21" s="21"/>
      <c r="I21" s="20">
        <v>0</v>
      </c>
      <c r="J21" s="21"/>
      <c r="K21" s="20"/>
      <c r="L21" s="21"/>
      <c r="N21" s="27"/>
    </row>
    <row r="22" spans="1:14" ht="15">
      <c r="A22" s="10" t="s">
        <v>33</v>
      </c>
      <c r="B22" s="18" t="s">
        <v>34</v>
      </c>
      <c r="C22" s="202">
        <f>199588.672030126/1000</f>
        <v>199.58867203012602</v>
      </c>
      <c r="D22" s="215">
        <f>379.76/1000</f>
        <v>0.37976</v>
      </c>
      <c r="E22" s="77">
        <f t="shared" si="0"/>
        <v>75.79579409016065</v>
      </c>
      <c r="F22" s="21"/>
      <c r="G22" s="20">
        <v>0</v>
      </c>
      <c r="H22" s="21"/>
      <c r="I22" s="20">
        <v>0</v>
      </c>
      <c r="J22" s="21"/>
      <c r="K22" s="20"/>
      <c r="L22" s="21"/>
      <c r="N22" s="27"/>
    </row>
    <row r="23" spans="1:14" ht="15">
      <c r="A23" s="10" t="s">
        <v>35</v>
      </c>
      <c r="B23" s="18" t="s">
        <v>36</v>
      </c>
      <c r="C23" s="148">
        <v>0</v>
      </c>
      <c r="D23" s="149">
        <v>0</v>
      </c>
      <c r="E23" s="303">
        <f t="shared" si="0"/>
        <v>0</v>
      </c>
      <c r="F23" s="21"/>
      <c r="G23" s="20">
        <v>0</v>
      </c>
      <c r="H23" s="21"/>
      <c r="I23" s="20">
        <v>0</v>
      </c>
      <c r="J23" s="21"/>
      <c r="K23" s="20"/>
      <c r="L23" s="21"/>
      <c r="N23" s="27"/>
    </row>
    <row r="24" spans="1:14" ht="15">
      <c r="A24" s="10">
        <v>13</v>
      </c>
      <c r="B24" s="18" t="s">
        <v>37</v>
      </c>
      <c r="C24" s="148">
        <v>0</v>
      </c>
      <c r="D24" s="149">
        <v>0</v>
      </c>
      <c r="E24" s="303">
        <f t="shared" si="0"/>
        <v>0</v>
      </c>
      <c r="F24" s="21"/>
      <c r="G24" s="20">
        <v>0</v>
      </c>
      <c r="H24" s="21"/>
      <c r="I24" s="20">
        <v>0</v>
      </c>
      <c r="J24" s="21"/>
      <c r="K24" s="20"/>
      <c r="L24" s="21"/>
      <c r="N24" s="27"/>
    </row>
    <row r="25" spans="1:14" s="111" customFormat="1" ht="15">
      <c r="A25" s="10">
        <v>4</v>
      </c>
      <c r="B25" s="201" t="s">
        <v>63</v>
      </c>
      <c r="C25" s="56">
        <f>507.921825041244/1000</f>
        <v>0.5079218250412441</v>
      </c>
      <c r="D25" s="217">
        <f>375.23/1000</f>
        <v>0.37523</v>
      </c>
      <c r="E25" s="77">
        <f t="shared" si="0"/>
        <v>0.190587506410226</v>
      </c>
      <c r="F25" s="150"/>
      <c r="G25" s="52">
        <v>0</v>
      </c>
      <c r="H25" s="150"/>
      <c r="I25" s="52">
        <v>0</v>
      </c>
      <c r="J25" s="150"/>
      <c r="K25" s="52"/>
      <c r="L25" s="150"/>
      <c r="N25" s="27"/>
    </row>
    <row r="26" spans="1:14" s="111" customFormat="1" ht="15">
      <c r="A26" s="10">
        <v>14</v>
      </c>
      <c r="B26" s="201" t="s">
        <v>64</v>
      </c>
      <c r="C26" s="56">
        <f>538.663002392336/1000</f>
        <v>0.538663002392336</v>
      </c>
      <c r="D26" s="217">
        <f>461.2/1000</f>
        <v>0.4612</v>
      </c>
      <c r="E26" s="77">
        <f t="shared" si="0"/>
        <v>0.24843137670334536</v>
      </c>
      <c r="F26" s="150"/>
      <c r="G26" s="52">
        <v>0</v>
      </c>
      <c r="H26" s="150"/>
      <c r="I26" s="52">
        <v>0</v>
      </c>
      <c r="J26" s="150"/>
      <c r="K26" s="52"/>
      <c r="L26" s="150"/>
      <c r="N26" s="27"/>
    </row>
    <row r="27" spans="1:14" ht="15" thickBot="1">
      <c r="A27" s="10">
        <v>16</v>
      </c>
      <c r="B27" s="18" t="s">
        <v>21</v>
      </c>
      <c r="C27" s="56">
        <f>C26-C25</f>
        <v>0.03074117735109194</v>
      </c>
      <c r="D27" s="149" t="s">
        <v>143</v>
      </c>
      <c r="E27" s="77">
        <f>E26-E25</f>
        <v>0.057843870293119354</v>
      </c>
      <c r="F27" s="21"/>
      <c r="G27" s="20">
        <v>0</v>
      </c>
      <c r="H27" s="21"/>
      <c r="I27" s="20">
        <v>0</v>
      </c>
      <c r="J27" s="21"/>
      <c r="K27" s="20"/>
      <c r="L27" s="21"/>
      <c r="N27" s="27"/>
    </row>
    <row r="28" spans="1:12" ht="15" thickBot="1">
      <c r="A28" s="10">
        <v>17</v>
      </c>
      <c r="B28" s="22" t="s">
        <v>9</v>
      </c>
      <c r="C28" s="43">
        <f>C17+C19+C21+C22+C26-C25</f>
        <v>199.6194132074771</v>
      </c>
      <c r="D28" s="23"/>
      <c r="E28" s="24">
        <f>E17+E19+E21+E22+E26-E25</f>
        <v>75.85363796045378</v>
      </c>
      <c r="F28" s="25">
        <f>E28/C33</f>
        <v>74.58324653804206</v>
      </c>
      <c r="G28" s="24">
        <v>0</v>
      </c>
      <c r="H28" s="25">
        <v>0</v>
      </c>
      <c r="I28" s="24">
        <v>0</v>
      </c>
      <c r="J28" s="25">
        <v>0</v>
      </c>
      <c r="K28" s="24">
        <f>E28+G28-I28</f>
        <v>75.85363796045378</v>
      </c>
      <c r="L28" s="25">
        <f>F28+H28-J28</f>
        <v>74.58324653804206</v>
      </c>
    </row>
    <row r="29" spans="3:12" ht="15">
      <c r="C29" s="14"/>
      <c r="E29" s="14"/>
      <c r="F29" s="14"/>
      <c r="G29" s="14"/>
      <c r="H29" s="14"/>
      <c r="I29" s="14"/>
      <c r="J29" s="14"/>
      <c r="K29" s="14"/>
      <c r="L29" s="14"/>
    </row>
    <row r="30" ht="15">
      <c r="B30" s="26"/>
    </row>
    <row r="31" ht="15" thickBot="1"/>
    <row r="32" spans="2:3" ht="15" thickBot="1">
      <c r="B32" s="84"/>
      <c r="C32" s="87">
        <v>2020</v>
      </c>
    </row>
    <row r="33" spans="2:3" ht="15">
      <c r="B33" s="112" t="s">
        <v>146</v>
      </c>
      <c r="C33" s="86">
        <f>101.703320090476/100</f>
        <v>1.01703320090476</v>
      </c>
    </row>
    <row r="34" spans="2:3" ht="15" thickBot="1">
      <c r="B34" s="113" t="s">
        <v>147</v>
      </c>
      <c r="C34" s="66">
        <f>106.268067888391/100</f>
        <v>1.06268067888391</v>
      </c>
    </row>
  </sheetData>
  <mergeCells count="7">
    <mergeCell ref="K15:L15"/>
    <mergeCell ref="B15:B16"/>
    <mergeCell ref="C15:C16"/>
    <mergeCell ref="D15:D16"/>
    <mergeCell ref="E15:F15"/>
    <mergeCell ref="G15:H15"/>
    <mergeCell ref="I15:J15"/>
  </mergeCells>
  <conditionalFormatting sqref="C30">
    <cfRule type="cellIs" priority="13" dxfId="1" operator="equal">
      <formula>FALSE</formula>
    </cfRule>
    <cfRule type="cellIs" priority="14" dxfId="0" operator="equal">
      <formula>TRUE</formula>
    </cfRule>
  </conditionalFormatting>
  <conditionalFormatting sqref="E30">
    <cfRule type="cellIs" priority="11" dxfId="1" operator="equal">
      <formula>FALSE</formula>
    </cfRule>
    <cfRule type="cellIs" priority="12" dxfId="0" operator="equal">
      <formula>TRUE</formula>
    </cfRule>
  </conditionalFormatting>
  <conditionalFormatting sqref="F30">
    <cfRule type="cellIs" priority="9" dxfId="1" operator="equal">
      <formula>FALSE</formula>
    </cfRule>
    <cfRule type="cellIs" priority="10" dxfId="0" operator="equal">
      <formula>TRUE</formula>
    </cfRule>
  </conditionalFormatting>
  <conditionalFormatting sqref="K30">
    <cfRule type="cellIs" priority="7" dxfId="1" operator="equal">
      <formula>FALSE</formula>
    </cfRule>
    <cfRule type="cellIs" priority="8" dxfId="0" operator="equal">
      <formula>TRUE</formula>
    </cfRule>
  </conditionalFormatting>
  <conditionalFormatting sqref="L30">
    <cfRule type="cellIs" priority="5" dxfId="1" operator="equal">
      <formula>FALSE</formula>
    </cfRule>
    <cfRule type="cellIs" priority="6" dxfId="0" operator="equal">
      <formula>TRUE</formula>
    </cfRule>
  </conditionalFormatting>
  <conditionalFormatting sqref="N17:N27">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K10"/>
  <sheetViews>
    <sheetView zoomScale="90" zoomScaleNormal="90" workbookViewId="0" topLeftCell="A1">
      <selection activeCell="D1" sqref="D1"/>
    </sheetView>
  </sheetViews>
  <sheetFormatPr defaultColWidth="8.7109375" defaultRowHeight="15"/>
  <cols>
    <col min="1" max="1" width="5.00390625" style="5" bestFit="1" customWidth="1"/>
    <col min="2" max="2" width="64.57421875" style="5" customWidth="1"/>
    <col min="3" max="7" width="20.7109375" style="5" customWidth="1"/>
    <col min="8"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129</v>
      </c>
    </row>
    <row r="2" ht="4.5" customHeight="1"/>
    <row r="3" spans="2:11" ht="15">
      <c r="B3" s="48" t="s">
        <v>156</v>
      </c>
      <c r="C3" s="49"/>
      <c r="F3" s="111"/>
      <c r="G3" s="111"/>
      <c r="H3" s="111"/>
      <c r="I3" s="111"/>
      <c r="J3" s="111"/>
      <c r="K3" s="111"/>
    </row>
    <row r="4" spans="2:11" ht="15">
      <c r="B4" s="27" t="s">
        <v>130</v>
      </c>
      <c r="C4" s="4"/>
      <c r="F4" s="111"/>
      <c r="G4" s="111"/>
      <c r="H4" s="111"/>
      <c r="I4" s="111"/>
      <c r="J4" s="111"/>
      <c r="K4" s="111"/>
    </row>
    <row r="5" spans="2:3" ht="15">
      <c r="B5" s="27"/>
      <c r="C5" s="4"/>
    </row>
    <row r="6" spans="2:3" ht="15" thickBot="1">
      <c r="B6" s="16" t="s">
        <v>240</v>
      </c>
      <c r="C6" s="4"/>
    </row>
    <row r="7" spans="2:3" ht="14.25" customHeight="1">
      <c r="B7" s="189"/>
      <c r="C7" s="190" t="s">
        <v>238</v>
      </c>
    </row>
    <row r="8" spans="2:3" ht="15">
      <c r="B8" s="192" t="s">
        <v>292</v>
      </c>
      <c r="C8" s="278">
        <f>C9+C10</f>
        <v>36.863772763989154</v>
      </c>
    </row>
    <row r="9" spans="2:3" ht="15">
      <c r="B9" s="362" t="s">
        <v>293</v>
      </c>
      <c r="C9" s="213">
        <f>34629.3867105328/1000</f>
        <v>34.629386710532806</v>
      </c>
    </row>
    <row r="10" spans="2:3" ht="15" thickBot="1">
      <c r="B10" s="363" t="s">
        <v>294</v>
      </c>
      <c r="C10" s="66">
        <f>2234.38605345635/1000</f>
        <v>2.23438605345635</v>
      </c>
    </row>
  </sheetData>
  <printOptions/>
  <pageMargins left="0.7" right="0.7" top="0.787401575" bottom="0.7874015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K10"/>
  <sheetViews>
    <sheetView zoomScale="90" zoomScaleNormal="90" workbookViewId="0" topLeftCell="A1">
      <selection activeCell="C1" sqref="C1"/>
    </sheetView>
  </sheetViews>
  <sheetFormatPr defaultColWidth="8.7109375" defaultRowHeight="15"/>
  <cols>
    <col min="1" max="1" width="5.00390625" style="5" bestFit="1" customWidth="1"/>
    <col min="2" max="2" width="48.7109375" style="5" customWidth="1"/>
    <col min="3" max="11" width="20.7109375" style="5" customWidth="1"/>
    <col min="12" max="12" width="12.7109375" style="5" bestFit="1" customWidth="1"/>
    <col min="13" max="13" width="11.421875" style="5" customWidth="1"/>
    <col min="14" max="16384" width="8.7109375" style="5" customWidth="1"/>
  </cols>
  <sheetData>
    <row r="1" ht="18">
      <c r="B1" s="6" t="s">
        <v>180</v>
      </c>
    </row>
    <row r="2" ht="4.5" customHeight="1"/>
    <row r="3" spans="2:11" ht="15">
      <c r="B3" s="48" t="s">
        <v>155</v>
      </c>
      <c r="C3" s="49"/>
      <c r="F3" s="111"/>
      <c r="G3" s="111"/>
      <c r="H3" s="111"/>
      <c r="I3" s="111"/>
      <c r="J3" s="111"/>
      <c r="K3" s="111"/>
    </row>
    <row r="4" spans="2:11" ht="15">
      <c r="B4" s="27" t="s">
        <v>131</v>
      </c>
      <c r="C4" s="4"/>
      <c r="F4" s="111"/>
      <c r="G4" s="111"/>
      <c r="H4" s="111"/>
      <c r="I4" s="111"/>
      <c r="J4" s="111"/>
      <c r="K4" s="111"/>
    </row>
    <row r="5" spans="2:3" ht="15">
      <c r="B5" s="27"/>
      <c r="C5" s="4"/>
    </row>
    <row r="6" spans="2:8" ht="14.25" customHeight="1" thickBot="1">
      <c r="B6" s="16" t="s">
        <v>240</v>
      </c>
      <c r="C6" s="4"/>
      <c r="G6" s="105"/>
      <c r="H6" s="107"/>
    </row>
    <row r="7" spans="2:8" ht="15">
      <c r="B7" s="193"/>
      <c r="C7" s="190" t="s">
        <v>238</v>
      </c>
      <c r="G7" s="105"/>
      <c r="H7" s="106"/>
    </row>
    <row r="8" spans="2:3" ht="15">
      <c r="B8" s="192" t="s">
        <v>295</v>
      </c>
      <c r="C8" s="278">
        <f>C9+C10</f>
        <v>21.11901228</v>
      </c>
    </row>
    <row r="9" spans="2:3" ht="15">
      <c r="B9" s="360" t="s">
        <v>296</v>
      </c>
      <c r="C9" s="279">
        <f>19839/1000</f>
        <v>19.839</v>
      </c>
    </row>
    <row r="10" spans="2:3" ht="15" thickBot="1">
      <c r="B10" s="361" t="s">
        <v>297</v>
      </c>
      <c r="C10" s="66">
        <f>C9*0.06452</f>
        <v>1.2800122799999998</v>
      </c>
    </row>
  </sheetData>
  <printOptions/>
  <pageMargins left="0.7" right="0.7" top="0.787401575" bottom="0.787401575" header="0.3" footer="0.3"/>
  <pageSetup horizontalDpi="600" verticalDpi="600" orientation="landscape" paperSize="9" scale="54" r:id="rId1"/>
  <colBreaks count="1" manualBreakCount="1">
    <brk id="11" max="16383"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J8"/>
  <sheetViews>
    <sheetView tabSelected="1" zoomScale="90" zoomScaleNormal="90" workbookViewId="0" topLeftCell="A1">
      <selection activeCell="A9" sqref="A9:XFD11"/>
    </sheetView>
  </sheetViews>
  <sheetFormatPr defaultColWidth="8.7109375" defaultRowHeight="15"/>
  <cols>
    <col min="1" max="1" width="5.00390625" style="5" bestFit="1" customWidth="1"/>
    <col min="2" max="2" width="48.7109375" style="5" customWidth="1"/>
    <col min="3" max="10" width="20.7109375" style="5" customWidth="1"/>
    <col min="11" max="11" width="12.7109375" style="5" bestFit="1" customWidth="1"/>
    <col min="12" max="12" width="11.421875" style="5" customWidth="1"/>
    <col min="13" max="16384" width="8.7109375" style="5" customWidth="1"/>
  </cols>
  <sheetData>
    <row r="1" ht="18">
      <c r="B1" s="6" t="s">
        <v>179</v>
      </c>
    </row>
    <row r="2" ht="4.5" customHeight="1"/>
    <row r="3" spans="2:10" ht="15">
      <c r="B3" s="48" t="s">
        <v>154</v>
      </c>
      <c r="C3" s="49"/>
      <c r="F3" s="111"/>
      <c r="G3" s="111"/>
      <c r="H3" s="111"/>
      <c r="I3" s="111"/>
      <c r="J3" s="111"/>
    </row>
    <row r="4" spans="2:10" ht="15">
      <c r="B4" s="27" t="s">
        <v>132</v>
      </c>
      <c r="C4" s="4"/>
      <c r="F4" s="111"/>
      <c r="G4" s="111"/>
      <c r="H4" s="111"/>
      <c r="I4" s="111"/>
      <c r="J4" s="111"/>
    </row>
    <row r="5" spans="2:3" ht="15">
      <c r="B5" s="27"/>
      <c r="C5" s="4"/>
    </row>
    <row r="6" spans="2:10" s="111" customFormat="1" ht="15" thickBot="1">
      <c r="B6" s="16" t="s">
        <v>240</v>
      </c>
      <c r="C6" s="159"/>
      <c r="D6" s="160"/>
      <c r="E6" s="161"/>
      <c r="F6" s="161"/>
      <c r="G6" s="161"/>
      <c r="H6" s="159"/>
      <c r="I6" s="159"/>
      <c r="J6" s="159"/>
    </row>
    <row r="7" spans="2:3" ht="15">
      <c r="B7" s="193"/>
      <c r="C7" s="190" t="s">
        <v>238</v>
      </c>
    </row>
    <row r="8" spans="2:3" ht="15">
      <c r="B8" s="192" t="s">
        <v>298</v>
      </c>
      <c r="C8" s="278">
        <v>1.310743476</v>
      </c>
    </row>
  </sheetData>
  <printOptions/>
  <pageMargins left="0.7" right="0.7" top="0.787401575" bottom="0.7874015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K18"/>
  <sheetViews>
    <sheetView zoomScale="90" zoomScaleNormal="90" workbookViewId="0" topLeftCell="A2">
      <selection activeCell="D32" sqref="D32"/>
    </sheetView>
  </sheetViews>
  <sheetFormatPr defaultColWidth="8.7109375" defaultRowHeight="15"/>
  <cols>
    <col min="1" max="1" width="5.00390625" style="5" bestFit="1" customWidth="1"/>
    <col min="2" max="2" width="42.7109375" style="5" bestFit="1" customWidth="1"/>
    <col min="3" max="11" width="20.7109375" style="5" customWidth="1"/>
    <col min="12" max="16384" width="8.7109375" style="5" customWidth="1"/>
  </cols>
  <sheetData>
    <row r="1" ht="18">
      <c r="B1" s="6" t="s">
        <v>133</v>
      </c>
    </row>
    <row r="2" ht="4.5" customHeight="1"/>
    <row r="4" spans="2:3" ht="15">
      <c r="B4" s="7" t="s">
        <v>237</v>
      </c>
      <c r="C4" s="28" t="s">
        <v>134</v>
      </c>
    </row>
    <row r="5" spans="2:3" ht="15">
      <c r="B5" s="27" t="s">
        <v>234</v>
      </c>
      <c r="C5" s="4" t="s">
        <v>144</v>
      </c>
    </row>
    <row r="6" ht="15">
      <c r="C6" s="4" t="s">
        <v>145</v>
      </c>
    </row>
    <row r="7" spans="2:6" ht="15">
      <c r="B7" s="104"/>
      <c r="F7" s="158"/>
    </row>
    <row r="8" spans="7:10" ht="15" thickBot="1">
      <c r="G8" s="73"/>
      <c r="J8" s="73"/>
    </row>
    <row r="9" spans="2:11" ht="15">
      <c r="B9" s="405"/>
      <c r="C9" s="395" t="s">
        <v>86</v>
      </c>
      <c r="D9" s="396"/>
      <c r="K9" s="73"/>
    </row>
    <row r="10" spans="2:4" ht="15">
      <c r="B10" s="406"/>
      <c r="C10" s="50" t="s">
        <v>10</v>
      </c>
      <c r="D10" s="91" t="s">
        <v>11</v>
      </c>
    </row>
    <row r="11" spans="2:4" ht="15" thickBot="1">
      <c r="B11" s="406"/>
      <c r="C11" s="134" t="s">
        <v>150</v>
      </c>
      <c r="D11" s="133" t="s">
        <v>150</v>
      </c>
    </row>
    <row r="12" spans="2:4" ht="15">
      <c r="B12" s="173" t="s">
        <v>300</v>
      </c>
      <c r="C12" s="282">
        <f>C13+C16</f>
        <v>19.05383752102795</v>
      </c>
      <c r="D12" s="283">
        <f>D13+D16</f>
        <v>18.14095132738325</v>
      </c>
    </row>
    <row r="13" spans="2:4" s="111" customFormat="1" ht="15">
      <c r="B13" s="198" t="s">
        <v>303</v>
      </c>
      <c r="C13" s="199">
        <f>C14+C15</f>
        <v>1.12289670108991</v>
      </c>
      <c r="D13" s="200">
        <f>D14+D15</f>
        <v>1.174082716186</v>
      </c>
    </row>
    <row r="14" spans="2:4" s="111" customFormat="1" ht="15">
      <c r="B14" s="364" t="s">
        <v>305</v>
      </c>
      <c r="C14" s="294">
        <v>1.12289670108991</v>
      </c>
      <c r="D14" s="295">
        <v>1.174082716186</v>
      </c>
    </row>
    <row r="15" spans="2:4" s="111" customFormat="1" ht="15">
      <c r="B15" s="364" t="s">
        <v>306</v>
      </c>
      <c r="C15" s="294">
        <v>0</v>
      </c>
      <c r="D15" s="295">
        <v>0</v>
      </c>
    </row>
    <row r="16" spans="2:4" s="111" customFormat="1" ht="15">
      <c r="B16" s="359" t="s">
        <v>304</v>
      </c>
      <c r="C16" s="280">
        <f>C17+C18</f>
        <v>17.93094081993804</v>
      </c>
      <c r="D16" s="281">
        <f>D17+D18</f>
        <v>16.96686861119725</v>
      </c>
    </row>
    <row r="17" spans="2:4" s="111" customFormat="1" ht="15">
      <c r="B17" s="364" t="s">
        <v>301</v>
      </c>
      <c r="C17" s="294">
        <v>16.2610169869277</v>
      </c>
      <c r="D17" s="295">
        <v>15.3906612132308</v>
      </c>
    </row>
    <row r="18" spans="2:4" s="111" customFormat="1" ht="15" thickBot="1">
      <c r="B18" s="365" t="s">
        <v>302</v>
      </c>
      <c r="C18" s="296">
        <v>1.66992383301034</v>
      </c>
      <c r="D18" s="297">
        <v>1.57620739796645</v>
      </c>
    </row>
  </sheetData>
  <mergeCells count="2">
    <mergeCell ref="B9:B11"/>
    <mergeCell ref="C9:D9"/>
  </mergeCells>
  <printOptions/>
  <pageMargins left="0.7" right="0.7" top="0.787401575" bottom="0.7874015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F68"/>
  <sheetViews>
    <sheetView zoomScale="70" zoomScaleNormal="70" workbookViewId="0" topLeftCell="A1">
      <selection activeCell="H16" sqref="H16"/>
    </sheetView>
  </sheetViews>
  <sheetFormatPr defaultColWidth="8.7109375" defaultRowHeight="15"/>
  <cols>
    <col min="1" max="1" width="5.00390625" style="5" bestFit="1" customWidth="1"/>
    <col min="2" max="2" width="67.421875" style="5" customWidth="1"/>
    <col min="3" max="12" width="20.7109375" style="5" customWidth="1"/>
    <col min="13" max="16384" width="8.7109375" style="5" customWidth="1"/>
  </cols>
  <sheetData>
    <row r="1" spans="2:6" ht="18">
      <c r="B1" s="6" t="s">
        <v>135</v>
      </c>
      <c r="C1" s="111"/>
      <c r="D1" s="111"/>
      <c r="E1" s="111"/>
      <c r="F1" s="111"/>
    </row>
    <row r="2" spans="3:6" ht="4.5" customHeight="1">
      <c r="C2" s="111"/>
      <c r="D2" s="111"/>
      <c r="E2" s="111"/>
      <c r="F2" s="111"/>
    </row>
    <row r="4" spans="2:3" ht="15">
      <c r="B4" s="7" t="s">
        <v>235</v>
      </c>
      <c r="C4" s="4"/>
    </row>
    <row r="5" spans="2:3" ht="15">
      <c r="B5" s="27" t="s">
        <v>236</v>
      </c>
      <c r="C5" s="4"/>
    </row>
    <row r="6" ht="15" thickBot="1">
      <c r="C6" s="4"/>
    </row>
    <row r="7" spans="2:5" ht="15">
      <c r="B7" s="405"/>
      <c r="C7" s="395" t="s">
        <v>86</v>
      </c>
      <c r="D7" s="396"/>
      <c r="E7"/>
    </row>
    <row r="8" spans="2:5" ht="15">
      <c r="B8" s="406"/>
      <c r="C8" s="50" t="s">
        <v>10</v>
      </c>
      <c r="D8" s="91" t="s">
        <v>11</v>
      </c>
      <c r="E8"/>
    </row>
    <row r="9" spans="2:5" ht="15" thickBot="1">
      <c r="B9" s="406"/>
      <c r="C9" s="284" t="s">
        <v>150</v>
      </c>
      <c r="D9" s="285" t="s">
        <v>150</v>
      </c>
      <c r="E9"/>
    </row>
    <row r="10" spans="2:5" ht="15">
      <c r="B10" s="366" t="s">
        <v>307</v>
      </c>
      <c r="C10" s="367">
        <f>C11+C14+C17</f>
        <v>194.28432859448685</v>
      </c>
      <c r="D10" s="368">
        <f>D11+D14+D17</f>
        <v>194.45509492461434</v>
      </c>
      <c r="E10"/>
    </row>
    <row r="11" spans="2:5" ht="15">
      <c r="B11" s="359" t="s">
        <v>308</v>
      </c>
      <c r="C11" s="199">
        <f>C12+C13</f>
        <v>145.67329419214568</v>
      </c>
      <c r="D11" s="200">
        <f>D12+D13</f>
        <v>143.53304739706957</v>
      </c>
      <c r="E11" t="s">
        <v>323</v>
      </c>
    </row>
    <row r="12" spans="2:5" ht="15">
      <c r="B12" s="359" t="s">
        <v>309</v>
      </c>
      <c r="C12" s="199">
        <f>C29+C30+C31</f>
        <v>128.3781653757663</v>
      </c>
      <c r="D12" s="200">
        <f>D29+D30+D31</f>
        <v>126.35356097431138</v>
      </c>
      <c r="E12" t="s">
        <v>324</v>
      </c>
    </row>
    <row r="13" spans="2:5" ht="15">
      <c r="B13" s="359" t="s">
        <v>310</v>
      </c>
      <c r="C13" s="199">
        <f>C28</f>
        <v>17.29512881637938</v>
      </c>
      <c r="D13" s="200">
        <f>D28</f>
        <v>17.1794864227582</v>
      </c>
      <c r="E13" t="s">
        <v>325</v>
      </c>
    </row>
    <row r="14" spans="2:5" ht="15">
      <c r="B14" s="359" t="s">
        <v>311</v>
      </c>
      <c r="C14" s="199">
        <f>C15+C16</f>
        <v>44.51274449206938</v>
      </c>
      <c r="D14" s="200">
        <f>D15+D16</f>
        <v>46.97088846601187</v>
      </c>
      <c r="E14" t="s">
        <v>326</v>
      </c>
    </row>
    <row r="15" spans="2:5" ht="15">
      <c r="B15" s="359" t="s">
        <v>312</v>
      </c>
      <c r="C15" s="199">
        <f>C23</f>
        <v>23.97395071714208</v>
      </c>
      <c r="D15" s="200">
        <f>D21+D23</f>
        <v>25.362086240502176</v>
      </c>
      <c r="E15" t="s">
        <v>327</v>
      </c>
    </row>
    <row r="16" spans="2:5" ht="15">
      <c r="B16" s="359" t="s">
        <v>414</v>
      </c>
      <c r="C16" s="199">
        <f>C24+C25</f>
        <v>20.5387937749273</v>
      </c>
      <c r="D16" s="200">
        <f>D24+D25</f>
        <v>21.6088022255097</v>
      </c>
      <c r="E16" t="s">
        <v>328</v>
      </c>
    </row>
    <row r="17" spans="2:5" ht="15">
      <c r="B17" s="359" t="s">
        <v>313</v>
      </c>
      <c r="C17" s="199">
        <f>C18+C19</f>
        <v>4.098289910271811</v>
      </c>
      <c r="D17" s="200">
        <f>D18+D19</f>
        <v>3.9511590615329037</v>
      </c>
      <c r="E17"/>
    </row>
    <row r="18" spans="2:5" ht="15">
      <c r="B18" s="359" t="s">
        <v>314</v>
      </c>
      <c r="C18" s="199">
        <f>C36</f>
        <v>0.463118569576372</v>
      </c>
      <c r="D18" s="200">
        <f>D36</f>
        <v>0.464015503452104</v>
      </c>
      <c r="E18" t="s">
        <v>329</v>
      </c>
    </row>
    <row r="19" spans="2:5" ht="15">
      <c r="B19" s="359" t="s">
        <v>415</v>
      </c>
      <c r="C19" s="199">
        <f>C20</f>
        <v>3.6351713406954396</v>
      </c>
      <c r="D19" s="200">
        <f>D20</f>
        <v>3.4871435580808</v>
      </c>
      <c r="E19"/>
    </row>
    <row r="20" spans="2:5" ht="15">
      <c r="B20" s="359" t="s">
        <v>315</v>
      </c>
      <c r="C20" s="199">
        <f>C26+C27</f>
        <v>3.6351713406954396</v>
      </c>
      <c r="D20" s="200">
        <f>D26+D27</f>
        <v>3.4871435580808</v>
      </c>
      <c r="E20" t="s">
        <v>330</v>
      </c>
    </row>
    <row r="21" spans="2:5" ht="15">
      <c r="B21" s="369" t="s">
        <v>331</v>
      </c>
      <c r="C21" s="370">
        <v>0.121256916659355</v>
      </c>
      <c r="D21" s="371">
        <v>0.127944885751805</v>
      </c>
      <c r="E21"/>
    </row>
    <row r="22" spans="2:5" ht="15">
      <c r="B22" s="369" t="s">
        <v>332</v>
      </c>
      <c r="C22" s="370">
        <v>48.14791583276483</v>
      </c>
      <c r="D22" s="371">
        <v>50.33008713834086</v>
      </c>
      <c r="E22"/>
    </row>
    <row r="23" spans="2:5" ht="15">
      <c r="B23" s="369" t="s">
        <v>333</v>
      </c>
      <c r="C23" s="370">
        <v>23.97395071714208</v>
      </c>
      <c r="D23" s="371">
        <v>25.23414135475037</v>
      </c>
      <c r="E23"/>
    </row>
    <row r="24" spans="2:5" ht="15">
      <c r="B24" s="369" t="s">
        <v>334</v>
      </c>
      <c r="C24" s="370">
        <v>0</v>
      </c>
      <c r="D24" s="371">
        <v>0</v>
      </c>
      <c r="E24"/>
    </row>
    <row r="25" spans="2:5" ht="15">
      <c r="B25" s="369" t="s">
        <v>335</v>
      </c>
      <c r="C25" s="370">
        <v>20.5387937749273</v>
      </c>
      <c r="D25" s="371">
        <v>21.6088022255097</v>
      </c>
      <c r="E25"/>
    </row>
    <row r="26" spans="2:5" ht="15">
      <c r="B26" s="369" t="s">
        <v>336</v>
      </c>
      <c r="C26" s="370">
        <v>0</v>
      </c>
      <c r="D26" s="371">
        <v>0</v>
      </c>
      <c r="E26"/>
    </row>
    <row r="27" spans="2:5" ht="15">
      <c r="B27" s="369" t="s">
        <v>337</v>
      </c>
      <c r="C27" s="370">
        <v>3.6351713406954396</v>
      </c>
      <c r="D27" s="371">
        <v>3.4871435580808</v>
      </c>
      <c r="E27"/>
    </row>
    <row r="28" spans="2:5" ht="15">
      <c r="B28" s="369" t="s">
        <v>338</v>
      </c>
      <c r="C28" s="370">
        <v>17.29512881637938</v>
      </c>
      <c r="D28" s="371">
        <v>17.1794864227582</v>
      </c>
      <c r="E28"/>
    </row>
    <row r="29" spans="2:5" ht="15">
      <c r="B29" s="369" t="s">
        <v>339</v>
      </c>
      <c r="C29" s="370">
        <v>0.6966173327869424</v>
      </c>
      <c r="D29" s="371">
        <v>0.7547749151062487</v>
      </c>
      <c r="E29"/>
    </row>
    <row r="30" spans="2:5" ht="15">
      <c r="B30" s="369" t="s">
        <v>340</v>
      </c>
      <c r="C30" s="370">
        <v>2.4743412980393376</v>
      </c>
      <c r="D30" s="371">
        <v>2.4341119724646445</v>
      </c>
      <c r="E30"/>
    </row>
    <row r="31" spans="2:5" ht="15">
      <c r="B31" s="369" t="s">
        <v>341</v>
      </c>
      <c r="C31" s="370">
        <v>125.20720674494</v>
      </c>
      <c r="D31" s="371">
        <v>123.16467408674049</v>
      </c>
      <c r="E31"/>
    </row>
    <row r="32" spans="2:5" ht="15">
      <c r="B32" s="369" t="s">
        <v>342</v>
      </c>
      <c r="C32" s="370">
        <v>19.05383752102794</v>
      </c>
      <c r="D32" s="371">
        <v>18.14095132738325</v>
      </c>
      <c r="E32"/>
    </row>
    <row r="33" spans="2:5" ht="15">
      <c r="B33" s="369" t="s">
        <v>343</v>
      </c>
      <c r="C33" s="370">
        <v>17.93094081993804</v>
      </c>
      <c r="D33" s="371">
        <v>16.96686861119725</v>
      </c>
      <c r="E33"/>
    </row>
    <row r="34" spans="2:5" ht="15">
      <c r="B34" s="369" t="s">
        <v>344</v>
      </c>
      <c r="C34" s="370">
        <v>1.12289670108991</v>
      </c>
      <c r="D34" s="371">
        <v>1.174082716186</v>
      </c>
      <c r="E34"/>
    </row>
    <row r="35" spans="2:5" ht="15">
      <c r="B35" s="369" t="s">
        <v>345</v>
      </c>
      <c r="C35" s="370">
        <v>0.0934298440933665</v>
      </c>
      <c r="D35" s="371">
        <v>0.0940824133685414</v>
      </c>
      <c r="E35"/>
    </row>
    <row r="36" spans="2:5" ht="15">
      <c r="B36" s="369" t="s">
        <v>346</v>
      </c>
      <c r="C36" s="370">
        <v>0.463118569576372</v>
      </c>
      <c r="D36" s="371">
        <v>0.464015503452104</v>
      </c>
      <c r="E36"/>
    </row>
    <row r="37" spans="2:5" ht="15">
      <c r="B37" s="372" t="s">
        <v>347</v>
      </c>
      <c r="C37" s="370">
        <v>0.121256916659355</v>
      </c>
      <c r="D37" s="371">
        <v>0.127944885751805</v>
      </c>
      <c r="E37"/>
    </row>
    <row r="38" spans="2:5" ht="15">
      <c r="B38" s="372" t="s">
        <v>348</v>
      </c>
      <c r="C38" s="370">
        <v>44.5794383258702</v>
      </c>
      <c r="D38" s="371">
        <v>46.7615282248633</v>
      </c>
      <c r="E38"/>
    </row>
    <row r="39" spans="2:5" ht="15">
      <c r="B39" s="372" t="s">
        <v>349</v>
      </c>
      <c r="C39" s="370">
        <v>22.5443903891669</v>
      </c>
      <c r="D39" s="371">
        <v>23.7185134463169</v>
      </c>
      <c r="E39"/>
    </row>
    <row r="40" spans="2:5" ht="15">
      <c r="B40" s="372" t="s">
        <v>350</v>
      </c>
      <c r="C40" s="370">
        <v>0</v>
      </c>
      <c r="D40" s="371">
        <v>0</v>
      </c>
      <c r="E40"/>
    </row>
    <row r="41" spans="2:5" ht="15">
      <c r="B41" s="372" t="s">
        <v>351</v>
      </c>
      <c r="C41" s="370">
        <v>20.5387937749273</v>
      </c>
      <c r="D41" s="371">
        <v>21.6088022255097</v>
      </c>
      <c r="E41"/>
    </row>
    <row r="42" spans="2:5" ht="15">
      <c r="B42" s="372" t="s">
        <v>352</v>
      </c>
      <c r="C42" s="370">
        <v>0</v>
      </c>
      <c r="D42" s="371">
        <v>0</v>
      </c>
      <c r="E42"/>
    </row>
    <row r="43" spans="2:5" ht="15">
      <c r="B43" s="372" t="s">
        <v>353</v>
      </c>
      <c r="C43" s="370">
        <v>1.496254161776</v>
      </c>
      <c r="D43" s="371">
        <v>1.43421255303672</v>
      </c>
      <c r="E43"/>
    </row>
    <row r="44" spans="2:5" ht="15">
      <c r="B44" s="372" t="s">
        <v>354</v>
      </c>
      <c r="C44" s="370">
        <v>15.6074765278589</v>
      </c>
      <c r="D44" s="371">
        <v>15.5046202082001</v>
      </c>
      <c r="E44"/>
    </row>
    <row r="45" spans="2:5" ht="15">
      <c r="B45" s="372" t="s">
        <v>355</v>
      </c>
      <c r="C45" s="370">
        <v>0.697153917835937</v>
      </c>
      <c r="D45" s="371">
        <v>0.755736454654423</v>
      </c>
      <c r="E45"/>
    </row>
    <row r="46" spans="2:5" ht="15">
      <c r="B46" s="372" t="s">
        <v>356</v>
      </c>
      <c r="C46" s="370">
        <v>2.40427077477044</v>
      </c>
      <c r="D46" s="371">
        <v>2.36499404325455</v>
      </c>
      <c r="E46"/>
    </row>
    <row r="47" spans="2:5" ht="15">
      <c r="B47" s="372" t="s">
        <v>357</v>
      </c>
      <c r="C47" s="370">
        <v>112.143932990108</v>
      </c>
      <c r="D47" s="371">
        <v>110.311923387276</v>
      </c>
      <c r="E47"/>
    </row>
    <row r="48" spans="2:5" ht="15">
      <c r="B48" s="372" t="s">
        <v>358</v>
      </c>
      <c r="C48" s="370">
        <v>17.3839136880176</v>
      </c>
      <c r="D48" s="371">
        <v>16.5647439294168</v>
      </c>
      <c r="E48"/>
    </row>
    <row r="49" spans="2:5" ht="15">
      <c r="B49" s="372" t="s">
        <v>301</v>
      </c>
      <c r="C49" s="370">
        <v>16.2610169869277</v>
      </c>
      <c r="D49" s="371">
        <v>15.3906612132308</v>
      </c>
      <c r="E49"/>
    </row>
    <row r="50" spans="2:5" ht="15">
      <c r="B50" s="372" t="s">
        <v>305</v>
      </c>
      <c r="C50" s="370">
        <v>1.12289670108991</v>
      </c>
      <c r="D50" s="371">
        <v>1.174082716186</v>
      </c>
      <c r="E50"/>
    </row>
    <row r="51" spans="2:5" ht="15">
      <c r="B51" s="372" t="s">
        <v>359</v>
      </c>
      <c r="C51" s="370">
        <v>0.0934298440933665</v>
      </c>
      <c r="D51" s="371">
        <v>0.0940824133685414</v>
      </c>
      <c r="E51"/>
    </row>
    <row r="52" spans="2:5" ht="15">
      <c r="B52" s="372" t="s">
        <v>360</v>
      </c>
      <c r="C52" s="370">
        <v>0.463118569576372</v>
      </c>
      <c r="D52" s="371">
        <v>0.464015503452104</v>
      </c>
      <c r="E52"/>
    </row>
    <row r="53" spans="2:5" ht="15">
      <c r="B53" s="372" t="s">
        <v>361</v>
      </c>
      <c r="C53" s="370">
        <v>0</v>
      </c>
      <c r="D53" s="371">
        <v>0</v>
      </c>
      <c r="E53"/>
    </row>
    <row r="54" spans="2:5" ht="15">
      <c r="B54" s="372" t="s">
        <v>362</v>
      </c>
      <c r="C54" s="370">
        <v>3.56847750689463</v>
      </c>
      <c r="D54" s="371">
        <v>3.56855891347756</v>
      </c>
      <c r="E54"/>
    </row>
    <row r="55" spans="2:5" ht="15">
      <c r="B55" s="372" t="s">
        <v>363</v>
      </c>
      <c r="C55" s="370">
        <v>1.42956032797518</v>
      </c>
      <c r="D55" s="371">
        <v>1.51562790843347</v>
      </c>
      <c r="E55"/>
    </row>
    <row r="56" spans="2:5" ht="15">
      <c r="B56" s="372" t="s">
        <v>364</v>
      </c>
      <c r="C56" s="370">
        <v>0</v>
      </c>
      <c r="D56" s="371">
        <v>0</v>
      </c>
      <c r="E56"/>
    </row>
    <row r="57" spans="2:5" ht="15">
      <c r="B57" s="372" t="s">
        <v>365</v>
      </c>
      <c r="C57" s="370">
        <v>0</v>
      </c>
      <c r="D57" s="371">
        <v>0</v>
      </c>
      <c r="E57"/>
    </row>
    <row r="58" spans="2:5" ht="15">
      <c r="B58" s="372" t="s">
        <v>366</v>
      </c>
      <c r="C58" s="370">
        <v>0</v>
      </c>
      <c r="D58" s="371">
        <v>0</v>
      </c>
      <c r="E58"/>
    </row>
    <row r="59" spans="2:5" ht="15">
      <c r="B59" s="372" t="s">
        <v>367</v>
      </c>
      <c r="C59" s="370">
        <v>2.13891717891944</v>
      </c>
      <c r="D59" s="371">
        <v>2.05293100504408</v>
      </c>
      <c r="E59"/>
    </row>
    <row r="60" spans="2:5" ht="15">
      <c r="B60" s="372" t="s">
        <v>368</v>
      </c>
      <c r="C60" s="370">
        <v>1.68765228852048</v>
      </c>
      <c r="D60" s="371">
        <v>1.6748662145581</v>
      </c>
      <c r="E60"/>
    </row>
    <row r="61" spans="2:5" ht="15">
      <c r="B61" s="372" t="s">
        <v>369</v>
      </c>
      <c r="C61" s="370">
        <v>-0.000536585048994631</v>
      </c>
      <c r="D61" s="371">
        <v>-0.000961539548174246</v>
      </c>
      <c r="E61"/>
    </row>
    <row r="62" spans="2:5" ht="15">
      <c r="B62" s="372" t="s">
        <v>370</v>
      </c>
      <c r="C62" s="370">
        <v>0.0700705232688974</v>
      </c>
      <c r="D62" s="371">
        <v>0.0691179292100943</v>
      </c>
      <c r="E62"/>
    </row>
    <row r="63" spans="2:5" ht="15">
      <c r="B63" s="372" t="s">
        <v>371</v>
      </c>
      <c r="C63" s="370">
        <v>13.063273754832</v>
      </c>
      <c r="D63" s="371">
        <v>12.8527506994645</v>
      </c>
      <c r="E63" s="376"/>
    </row>
    <row r="64" spans="2:5" ht="15">
      <c r="B64" s="372" t="s">
        <v>372</v>
      </c>
      <c r="C64" s="370">
        <v>1.66992383301034</v>
      </c>
      <c r="D64" s="371">
        <v>1.57620739796645</v>
      </c>
      <c r="E64" s="376"/>
    </row>
    <row r="65" spans="2:5" ht="15">
      <c r="B65" s="372" t="s">
        <v>302</v>
      </c>
      <c r="C65" s="370">
        <v>1.66992383301034</v>
      </c>
      <c r="D65" s="371">
        <v>1.57620739796645</v>
      </c>
      <c r="E65" s="376"/>
    </row>
    <row r="66" spans="2:5" ht="15">
      <c r="B66" s="372" t="s">
        <v>306</v>
      </c>
      <c r="C66" s="370">
        <v>0</v>
      </c>
      <c r="D66" s="371">
        <v>0</v>
      </c>
      <c r="E66" s="376"/>
    </row>
    <row r="67" spans="2:5" ht="15">
      <c r="B67" s="372" t="s">
        <v>373</v>
      </c>
      <c r="C67" s="370">
        <v>0</v>
      </c>
      <c r="D67" s="371">
        <v>0</v>
      </c>
      <c r="E67"/>
    </row>
    <row r="68" spans="2:5" ht="15" thickBot="1">
      <c r="B68" s="373" t="s">
        <v>374</v>
      </c>
      <c r="C68" s="374">
        <v>0</v>
      </c>
      <c r="D68" s="375">
        <v>0</v>
      </c>
      <c r="E68"/>
    </row>
  </sheetData>
  <mergeCells count="2">
    <mergeCell ref="B7:B9"/>
    <mergeCell ref="C7:D7"/>
  </mergeCells>
  <printOptions/>
  <pageMargins left="0.7" right="0.7" top="0.787401575" bottom="0.787401575" header="0.3" footer="0.3"/>
  <pageSetup horizontalDpi="600" verticalDpi="600" orientation="portrait" paperSize="9" scale="5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0000"/>
  </sheetPr>
  <dimension ref="B1:D61"/>
  <sheetViews>
    <sheetView zoomScale="80" zoomScaleNormal="80" workbookViewId="0" topLeftCell="A35">
      <selection activeCell="E31" sqref="E31"/>
    </sheetView>
  </sheetViews>
  <sheetFormatPr defaultColWidth="8.7109375" defaultRowHeight="15"/>
  <cols>
    <col min="1" max="1" width="5.00390625" style="5" bestFit="1" customWidth="1"/>
    <col min="2" max="2" width="67.421875" style="5" customWidth="1"/>
    <col min="3" max="9" width="20.7109375" style="5" customWidth="1"/>
    <col min="10" max="16384" width="8.7109375" style="5" customWidth="1"/>
  </cols>
  <sheetData>
    <row r="1" ht="18">
      <c r="B1" s="6" t="s">
        <v>136</v>
      </c>
    </row>
    <row r="2" ht="4.5" customHeight="1"/>
    <row r="4" spans="2:3" ht="15">
      <c r="B4" s="7" t="s">
        <v>233</v>
      </c>
      <c r="C4" s="4"/>
    </row>
    <row r="5" spans="2:3" ht="15">
      <c r="B5" s="27" t="s">
        <v>232</v>
      </c>
      <c r="C5" s="4"/>
    </row>
    <row r="6" ht="15" thickBot="1">
      <c r="C6" s="4"/>
    </row>
    <row r="7" spans="2:4" ht="15">
      <c r="B7" s="405"/>
      <c r="C7" s="395" t="s">
        <v>86</v>
      </c>
      <c r="D7" s="396"/>
    </row>
    <row r="8" spans="2:4" ht="15">
      <c r="B8" s="406"/>
      <c r="C8" s="50" t="s">
        <v>10</v>
      </c>
      <c r="D8" s="91" t="s">
        <v>11</v>
      </c>
    </row>
    <row r="9" spans="2:4" ht="15" thickBot="1">
      <c r="B9" s="406"/>
      <c r="C9" s="284" t="s">
        <v>150</v>
      </c>
      <c r="D9" s="285" t="s">
        <v>150</v>
      </c>
    </row>
    <row r="10" spans="2:4" ht="15">
      <c r="B10" s="366" t="s">
        <v>375</v>
      </c>
      <c r="C10" s="377">
        <f>C11+C12+C13+C14</f>
        <v>149.77127724593942</v>
      </c>
      <c r="D10" s="367">
        <f>D11+D12+D13+D14</f>
        <v>150.18315498753205</v>
      </c>
    </row>
    <row r="11" spans="2:4" ht="15">
      <c r="B11" s="359" t="s">
        <v>376</v>
      </c>
      <c r="C11" s="199">
        <f>C22+C23+C24+C25</f>
        <v>109.04629080575953</v>
      </c>
      <c r="D11" s="199">
        <f>D22+D23+D24+D25</f>
        <v>107.38902977164423</v>
      </c>
    </row>
    <row r="12" spans="2:4" ht="15">
      <c r="B12" s="359" t="s">
        <v>377</v>
      </c>
      <c r="C12" s="199">
        <f>C16</f>
        <v>37.7919055292223</v>
      </c>
      <c r="D12" s="199">
        <f>D16</f>
        <v>39.7330188998866</v>
      </c>
    </row>
    <row r="13" spans="2:4" ht="15">
      <c r="B13" s="359" t="s">
        <v>378</v>
      </c>
      <c r="C13" s="199">
        <f>C27</f>
        <v>0.4807039593250102</v>
      </c>
      <c r="D13" s="199">
        <f>D27</f>
        <v>0.497118712541691</v>
      </c>
    </row>
    <row r="14" spans="2:4" ht="15">
      <c r="B14" s="359" t="s">
        <v>379</v>
      </c>
      <c r="C14" s="199">
        <f>C28+C29+C15</f>
        <v>2.452376951632584</v>
      </c>
      <c r="D14" s="199">
        <f>D28+D29+D15</f>
        <v>2.563987603459533</v>
      </c>
    </row>
    <row r="15" spans="2:4" ht="15">
      <c r="B15" s="369" t="s">
        <v>331</v>
      </c>
      <c r="C15" s="370">
        <v>2.04097391740313</v>
      </c>
      <c r="D15" s="371">
        <v>2.1514094885535</v>
      </c>
    </row>
    <row r="16" spans="2:4" ht="15">
      <c r="B16" s="369" t="s">
        <v>332</v>
      </c>
      <c r="C16" s="370">
        <v>37.7919055292223</v>
      </c>
      <c r="D16" s="371">
        <v>39.7330188998866</v>
      </c>
    </row>
    <row r="17" spans="2:4" ht="15">
      <c r="B17" s="369" t="s">
        <v>333</v>
      </c>
      <c r="C17" s="370">
        <v>26.7919621586767</v>
      </c>
      <c r="D17" s="371">
        <v>28.2416551792506</v>
      </c>
    </row>
    <row r="18" spans="2:4" ht="15">
      <c r="B18" s="369" t="s">
        <v>334</v>
      </c>
      <c r="C18" s="370">
        <v>0.013521495652007</v>
      </c>
      <c r="D18" s="371">
        <v>0.0142531336618826</v>
      </c>
    </row>
    <row r="19" spans="2:4" ht="15">
      <c r="B19" s="369" t="s">
        <v>335</v>
      </c>
      <c r="C19" s="370">
        <v>9.850796149851751</v>
      </c>
      <c r="D19" s="371">
        <v>10.38381535691685</v>
      </c>
    </row>
    <row r="20" spans="2:4" ht="15">
      <c r="B20" s="369" t="s">
        <v>336</v>
      </c>
      <c r="C20" s="370">
        <v>0.0368998732629231</v>
      </c>
      <c r="D20" s="371">
        <v>0.0388964977883124</v>
      </c>
    </row>
    <row r="21" spans="2:4" ht="15">
      <c r="B21" s="369" t="s">
        <v>337</v>
      </c>
      <c r="C21" s="370">
        <v>1.098725851778957</v>
      </c>
      <c r="D21" s="371">
        <v>1.05439873226898</v>
      </c>
    </row>
    <row r="22" spans="2:4" ht="15">
      <c r="B22" s="369" t="s">
        <v>338</v>
      </c>
      <c r="C22" s="370">
        <v>13.50856637404623</v>
      </c>
      <c r="D22" s="371">
        <v>13.39701106249564</v>
      </c>
    </row>
    <row r="23" spans="2:4" ht="15">
      <c r="B23" s="369" t="s">
        <v>339</v>
      </c>
      <c r="C23" s="370">
        <v>0.2725040240223908</v>
      </c>
      <c r="D23" s="371">
        <v>0.2844619148293178</v>
      </c>
    </row>
    <row r="24" spans="2:4" ht="15">
      <c r="B24" s="369" t="s">
        <v>340</v>
      </c>
      <c r="C24" s="370">
        <v>6.820573895569</v>
      </c>
      <c r="D24" s="371">
        <v>6.70905198091878</v>
      </c>
    </row>
    <row r="25" spans="2:4" ht="15">
      <c r="B25" s="369" t="s">
        <v>341</v>
      </c>
      <c r="C25" s="370">
        <v>88.4446465121219</v>
      </c>
      <c r="D25" s="371">
        <v>86.9985048134005</v>
      </c>
    </row>
    <row r="26" spans="2:4" ht="15">
      <c r="B26" s="369" t="s">
        <v>342</v>
      </c>
      <c r="C26" s="370">
        <v>0.4807039593250102</v>
      </c>
      <c r="D26" s="371">
        <v>0.497118712541691</v>
      </c>
    </row>
    <row r="27" spans="2:4" ht="15">
      <c r="B27" s="369" t="s">
        <v>344</v>
      </c>
      <c r="C27" s="370">
        <v>0.4807039593250102</v>
      </c>
      <c r="D27" s="371">
        <v>0.497118712541691</v>
      </c>
    </row>
    <row r="28" spans="2:4" ht="15">
      <c r="B28" s="369" t="s">
        <v>345</v>
      </c>
      <c r="C28" s="370">
        <v>0.112175691157436</v>
      </c>
      <c r="D28" s="371">
        <v>0.113046068527171</v>
      </c>
    </row>
    <row r="29" spans="2:4" ht="15">
      <c r="B29" s="369" t="s">
        <v>346</v>
      </c>
      <c r="C29" s="370">
        <v>0.299227343072018</v>
      </c>
      <c r="D29" s="371">
        <v>0.299532046378862</v>
      </c>
    </row>
    <row r="30" spans="2:4" ht="15">
      <c r="B30" s="369" t="s">
        <v>347</v>
      </c>
      <c r="C30" s="370">
        <v>2.04097391740313</v>
      </c>
      <c r="D30" s="371">
        <v>2.1514094885535</v>
      </c>
    </row>
    <row r="31" spans="2:4" ht="15">
      <c r="B31" s="369" t="s">
        <v>348</v>
      </c>
      <c r="C31" s="370">
        <v>24.3892296651143</v>
      </c>
      <c r="D31" s="371">
        <v>25.634331191968</v>
      </c>
    </row>
    <row r="32" spans="2:4" ht="15">
      <c r="B32" s="369" t="s">
        <v>349</v>
      </c>
      <c r="C32" s="370">
        <v>15.5314309779661</v>
      </c>
      <c r="D32" s="371">
        <v>16.3718250840391</v>
      </c>
    </row>
    <row r="33" spans="2:4" ht="15">
      <c r="B33" s="369" t="s">
        <v>350</v>
      </c>
      <c r="C33" s="370">
        <v>0.013521495652007</v>
      </c>
      <c r="D33" s="371">
        <v>0.0142531336618826</v>
      </c>
    </row>
    <row r="34" spans="2:4" ht="15">
      <c r="B34" s="369" t="s">
        <v>351</v>
      </c>
      <c r="C34" s="370">
        <v>8.01776609161485</v>
      </c>
      <c r="D34" s="371">
        <v>8.45160141411823</v>
      </c>
    </row>
    <row r="35" spans="2:4" ht="15">
      <c r="B35" s="369" t="s">
        <v>352</v>
      </c>
      <c r="C35" s="370">
        <v>0.0368998732629231</v>
      </c>
      <c r="D35" s="371">
        <v>0.0388964977883124</v>
      </c>
    </row>
    <row r="36" spans="2:4" ht="15">
      <c r="B36" s="369" t="s">
        <v>353</v>
      </c>
      <c r="C36" s="370">
        <v>0.789611226618433</v>
      </c>
      <c r="D36" s="371">
        <v>0.757755062360475</v>
      </c>
    </row>
    <row r="37" spans="2:4" ht="15">
      <c r="B37" s="369" t="s">
        <v>354</v>
      </c>
      <c r="C37" s="370">
        <v>11.9655448516611</v>
      </c>
      <c r="D37" s="371">
        <v>11.8667319912258</v>
      </c>
    </row>
    <row r="38" spans="2:4" ht="15">
      <c r="B38" s="369" t="s">
        <v>355</v>
      </c>
      <c r="C38" s="370">
        <v>0.256264944790348</v>
      </c>
      <c r="D38" s="371">
        <v>0.267510240115581</v>
      </c>
    </row>
    <row r="39" spans="2:4" ht="15">
      <c r="B39" s="369" t="s">
        <v>356</v>
      </c>
      <c r="C39" s="370">
        <v>5.05463763880098</v>
      </c>
      <c r="D39" s="371">
        <v>4.97199021411603</v>
      </c>
    </row>
    <row r="40" spans="2:4" ht="15">
      <c r="B40" s="369" t="s">
        <v>357</v>
      </c>
      <c r="C40" s="370">
        <v>68.0766608289106</v>
      </c>
      <c r="D40" s="371">
        <v>66.9635522144631</v>
      </c>
    </row>
    <row r="41" spans="2:4" ht="15">
      <c r="B41" s="369" t="s">
        <v>358</v>
      </c>
      <c r="C41" s="370">
        <v>0.459915201653969</v>
      </c>
      <c r="D41" s="371">
        <v>0.475620074454165</v>
      </c>
    </row>
    <row r="42" spans="2:4" ht="15">
      <c r="B42" s="369" t="s">
        <v>301</v>
      </c>
      <c r="C42" s="370">
        <v>0</v>
      </c>
      <c r="D42" s="371">
        <v>0</v>
      </c>
    </row>
    <row r="43" spans="2:4" ht="15">
      <c r="B43" s="369" t="s">
        <v>305</v>
      </c>
      <c r="C43" s="370">
        <v>0.459915201653969</v>
      </c>
      <c r="D43" s="371">
        <v>0.475620074454165</v>
      </c>
    </row>
    <row r="44" spans="2:4" ht="15">
      <c r="B44" s="369" t="s">
        <v>359</v>
      </c>
      <c r="C44" s="370">
        <v>0.112175691157436</v>
      </c>
      <c r="D44" s="371">
        <v>0.113046068527171</v>
      </c>
    </row>
    <row r="45" spans="2:4" ht="15">
      <c r="B45" s="369" t="s">
        <v>360</v>
      </c>
      <c r="C45" s="370">
        <v>0.299227343072018</v>
      </c>
      <c r="D45" s="371">
        <v>0.299532046378862</v>
      </c>
    </row>
    <row r="46" spans="2:4" ht="15">
      <c r="B46" s="369" t="s">
        <v>361</v>
      </c>
      <c r="C46" s="370">
        <v>0</v>
      </c>
      <c r="D46" s="371">
        <v>0</v>
      </c>
    </row>
    <row r="47" spans="2:4" ht="15">
      <c r="B47" s="369" t="s">
        <v>362</v>
      </c>
      <c r="C47" s="370">
        <v>13.402675864108</v>
      </c>
      <c r="D47" s="371">
        <v>14.0986877079186</v>
      </c>
    </row>
    <row r="48" spans="2:4" ht="15">
      <c r="B48" s="369" t="s">
        <v>363</v>
      </c>
      <c r="C48" s="370">
        <v>11.2605311807106</v>
      </c>
      <c r="D48" s="371">
        <v>11.8698300952115</v>
      </c>
    </row>
    <row r="49" spans="2:4" ht="15">
      <c r="B49" s="369" t="s">
        <v>364</v>
      </c>
      <c r="C49" s="370">
        <v>0</v>
      </c>
      <c r="D49" s="371">
        <v>0</v>
      </c>
    </row>
    <row r="50" spans="2:4" ht="15">
      <c r="B50" s="369" t="s">
        <v>365</v>
      </c>
      <c r="C50" s="370">
        <v>1.8330300582369</v>
      </c>
      <c r="D50" s="371">
        <v>1.93221394279862</v>
      </c>
    </row>
    <row r="51" spans="2:4" ht="15">
      <c r="B51" s="369" t="s">
        <v>366</v>
      </c>
      <c r="C51" s="370">
        <v>0</v>
      </c>
      <c r="D51" s="371">
        <v>0</v>
      </c>
    </row>
    <row r="52" spans="2:4" ht="15">
      <c r="B52" s="369" t="s">
        <v>367</v>
      </c>
      <c r="C52" s="370">
        <v>0.309114625160524</v>
      </c>
      <c r="D52" s="371">
        <v>0.296643669908505</v>
      </c>
    </row>
    <row r="53" spans="2:4" ht="15">
      <c r="B53" s="369" t="s">
        <v>368</v>
      </c>
      <c r="C53" s="370">
        <v>1.54302152238513</v>
      </c>
      <c r="D53" s="371">
        <v>1.53027907126984</v>
      </c>
    </row>
    <row r="54" spans="2:4" ht="15">
      <c r="B54" s="369" t="s">
        <v>369</v>
      </c>
      <c r="C54" s="370">
        <v>0.0162390792320428</v>
      </c>
      <c r="D54" s="371">
        <v>0.0169516747137368</v>
      </c>
    </row>
    <row r="55" spans="2:4" ht="15">
      <c r="B55" s="369" t="s">
        <v>370</v>
      </c>
      <c r="C55" s="370">
        <v>1.76593625676802</v>
      </c>
      <c r="D55" s="371">
        <v>1.73706176680275</v>
      </c>
    </row>
    <row r="56" spans="2:4" ht="15">
      <c r="B56" s="369" t="s">
        <v>371</v>
      </c>
      <c r="C56" s="370">
        <v>20.3679856832113</v>
      </c>
      <c r="D56" s="371">
        <v>20.0349525989374</v>
      </c>
    </row>
    <row r="57" spans="2:4" ht="15">
      <c r="B57" s="369" t="s">
        <v>372</v>
      </c>
      <c r="C57" s="370">
        <v>0.0207887576710412</v>
      </c>
      <c r="D57" s="371">
        <v>0.021498638087526</v>
      </c>
    </row>
    <row r="58" spans="2:4" ht="15">
      <c r="B58" s="369" t="s">
        <v>302</v>
      </c>
      <c r="C58" s="370">
        <v>0</v>
      </c>
      <c r="D58" s="371">
        <v>0</v>
      </c>
    </row>
    <row r="59" spans="2:4" ht="15">
      <c r="B59" s="369" t="s">
        <v>306</v>
      </c>
      <c r="C59" s="370">
        <v>0.0207887576710412</v>
      </c>
      <c r="D59" s="371">
        <v>0.021498638087526</v>
      </c>
    </row>
    <row r="60" spans="2:4" ht="15">
      <c r="B60" s="369" t="s">
        <v>373</v>
      </c>
      <c r="C60" s="370">
        <v>0</v>
      </c>
      <c r="D60" s="371">
        <v>0</v>
      </c>
    </row>
    <row r="61" spans="2:4" ht="15" thickBot="1">
      <c r="B61" s="369" t="s">
        <v>374</v>
      </c>
      <c r="C61" s="374">
        <v>0</v>
      </c>
      <c r="D61" s="375">
        <v>0</v>
      </c>
    </row>
  </sheetData>
  <mergeCells count="2">
    <mergeCell ref="B7:B9"/>
    <mergeCell ref="C7:D7"/>
  </mergeCells>
  <printOptions/>
  <pageMargins left="0.7" right="0.7" top="0.787401575" bottom="0.7874015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E12"/>
  <sheetViews>
    <sheetView zoomScale="90" zoomScaleNormal="90" workbookViewId="0" topLeftCell="A1">
      <selection activeCell="C1" sqref="C1"/>
    </sheetView>
  </sheetViews>
  <sheetFormatPr defaultColWidth="8.7109375" defaultRowHeight="15"/>
  <cols>
    <col min="1" max="1" width="5.00390625" style="5" bestFit="1" customWidth="1"/>
    <col min="2" max="2" width="67.421875" style="5" customWidth="1"/>
    <col min="3" max="12" width="20.7109375" style="5" customWidth="1"/>
    <col min="13" max="16384" width="8.7109375" style="5" customWidth="1"/>
  </cols>
  <sheetData>
    <row r="1" ht="18">
      <c r="B1" s="6" t="s">
        <v>178</v>
      </c>
    </row>
    <row r="2" ht="4.5" customHeight="1"/>
    <row r="4" spans="2:3" ht="15">
      <c r="B4" s="7" t="s">
        <v>153</v>
      </c>
      <c r="C4" s="4" t="s">
        <v>145</v>
      </c>
    </row>
    <row r="5" spans="2:5" ht="15">
      <c r="B5" s="27" t="s">
        <v>137</v>
      </c>
      <c r="C5" s="4"/>
      <c r="D5" s="72"/>
      <c r="E5" s="72"/>
    </row>
    <row r="6" ht="15">
      <c r="C6" s="4"/>
    </row>
    <row r="7" spans="2:3" ht="15">
      <c r="B7" s="27" t="s">
        <v>138</v>
      </c>
      <c r="C7" s="4"/>
    </row>
    <row r="8" spans="3:5" ht="15" thickBot="1">
      <c r="C8" s="4"/>
      <c r="E8" s="102"/>
    </row>
    <row r="9" spans="2:5" ht="15">
      <c r="B9" s="194" t="s">
        <v>21</v>
      </c>
      <c r="C9" s="288">
        <f>C11-C10</f>
        <v>-6.100617199999988</v>
      </c>
      <c r="E9" s="73"/>
    </row>
    <row r="10" spans="2:3" s="111" customFormat="1" ht="15">
      <c r="B10" s="378" t="s">
        <v>63</v>
      </c>
      <c r="C10" s="286">
        <f>210959.3382/1000</f>
        <v>210.9593382</v>
      </c>
    </row>
    <row r="11" spans="2:3" s="111" customFormat="1" ht="15" thickBot="1">
      <c r="B11" s="379" t="s">
        <v>64</v>
      </c>
      <c r="C11" s="287">
        <f>204858.721/1000</f>
        <v>204.858721</v>
      </c>
    </row>
    <row r="12" ht="15">
      <c r="C12" s="4"/>
    </row>
  </sheetData>
  <printOptions/>
  <pageMargins left="0.7" right="0.7" top="0.787401575" bottom="0.7874015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14"/>
  <sheetViews>
    <sheetView zoomScale="90" zoomScaleNormal="90" workbookViewId="0" topLeftCell="A1">
      <selection activeCell="B13" sqref="B13"/>
    </sheetView>
  </sheetViews>
  <sheetFormatPr defaultColWidth="8.7109375" defaultRowHeight="15"/>
  <cols>
    <col min="1" max="1" width="8.00390625" style="5" bestFit="1" customWidth="1"/>
    <col min="2" max="2" width="102.00390625" style="5" customWidth="1"/>
    <col min="3" max="8" width="20.7109375" style="5" customWidth="1"/>
    <col min="9" max="11" width="14.28125" style="5" bestFit="1" customWidth="1"/>
    <col min="12" max="12" width="17.00390625" style="5" bestFit="1" customWidth="1"/>
    <col min="13" max="13" width="12.7109375" style="5" bestFit="1" customWidth="1"/>
    <col min="14" max="14" width="11.421875" style="5" customWidth="1"/>
    <col min="15" max="16384" width="8.7109375" style="5" customWidth="1"/>
  </cols>
  <sheetData>
    <row r="1" spans="2:4" ht="18">
      <c r="B1" s="6" t="s">
        <v>139</v>
      </c>
      <c r="D1" s="103"/>
    </row>
    <row r="2" ht="4.5" customHeight="1"/>
    <row r="3" spans="2:6" ht="15">
      <c r="B3" s="48" t="s">
        <v>152</v>
      </c>
      <c r="C3" s="68"/>
      <c r="D3" s="68"/>
      <c r="E3" s="68"/>
      <c r="F3" s="68"/>
    </row>
    <row r="4" spans="2:6" ht="15">
      <c r="B4" s="27" t="s">
        <v>140</v>
      </c>
      <c r="C4" s="68"/>
      <c r="D4" s="68"/>
      <c r="E4" s="68"/>
      <c r="F4" s="68"/>
    </row>
    <row r="5" spans="2:6" ht="15" thickBot="1">
      <c r="B5" s="27"/>
      <c r="C5" s="68"/>
      <c r="D5" s="71"/>
      <c r="E5" s="68"/>
      <c r="F5" s="68"/>
    </row>
    <row r="6" spans="2:3" ht="16.5" customHeight="1">
      <c r="B6" s="408" t="s">
        <v>121</v>
      </c>
      <c r="C6" s="98" t="s">
        <v>86</v>
      </c>
    </row>
    <row r="7" spans="2:4" ht="15">
      <c r="B7" s="409"/>
      <c r="C7" s="99" t="s">
        <v>10</v>
      </c>
      <c r="D7" s="67"/>
    </row>
    <row r="8" spans="2:4" ht="15" thickBot="1">
      <c r="B8" s="410"/>
      <c r="C8" s="100" t="s">
        <v>150</v>
      </c>
      <c r="D8" s="68"/>
    </row>
    <row r="9" spans="1:3" ht="15" thickBot="1">
      <c r="A9" s="109"/>
      <c r="B9" s="97" t="s">
        <v>141</v>
      </c>
      <c r="C9" s="289">
        <f>43561883.48/1000000</f>
        <v>43.56188348</v>
      </c>
    </row>
    <row r="10" spans="1:3" ht="15">
      <c r="A10" s="101"/>
      <c r="B10" s="146" t="s">
        <v>417</v>
      </c>
      <c r="C10" s="310">
        <f>22529120.87/1000000</f>
        <v>22.52912087</v>
      </c>
    </row>
    <row r="11" spans="1:4" ht="28.8">
      <c r="A11" s="101"/>
      <c r="B11" s="146" t="s">
        <v>416</v>
      </c>
      <c r="C11" s="310">
        <v>0</v>
      </c>
      <c r="D11" s="108"/>
    </row>
    <row r="12" spans="1:3" ht="15">
      <c r="A12" s="101"/>
      <c r="B12" s="146" t="s">
        <v>418</v>
      </c>
      <c r="C12" s="310">
        <f>12026414.61/1000000</f>
        <v>12.02641461</v>
      </c>
    </row>
    <row r="13" spans="1:3" ht="15" thickBot="1">
      <c r="A13" s="101"/>
      <c r="B13" s="380" t="s">
        <v>423</v>
      </c>
      <c r="C13" s="381">
        <f>9006348/1000000</f>
        <v>9.006348</v>
      </c>
    </row>
    <row r="14" spans="2:3" ht="15">
      <c r="B14" s="72"/>
      <c r="C14" s="73"/>
    </row>
  </sheetData>
  <mergeCells count="1">
    <mergeCell ref="B6:B8"/>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4"/>
  <sheetViews>
    <sheetView zoomScale="70" zoomScaleNormal="70" workbookViewId="0" topLeftCell="A1">
      <selection activeCell="E3" sqref="E3"/>
    </sheetView>
  </sheetViews>
  <sheetFormatPr defaultColWidth="8.7109375" defaultRowHeight="15"/>
  <cols>
    <col min="1" max="1" width="5.00390625" style="5" bestFit="1" customWidth="1"/>
    <col min="2" max="2" width="42.7109375" style="5" bestFit="1" customWidth="1"/>
    <col min="3" max="3" width="20.7109375" style="5" bestFit="1" customWidth="1"/>
    <col min="4" max="4" width="8.7109375" style="5"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39</v>
      </c>
    </row>
    <row r="2" ht="4.5" customHeight="1"/>
    <row r="3" spans="2:3" ht="15">
      <c r="B3" s="7" t="s">
        <v>188</v>
      </c>
      <c r="C3" s="4" t="s">
        <v>23</v>
      </c>
    </row>
    <row r="4" spans="2:3" ht="15">
      <c r="B4" s="8" t="s">
        <v>189</v>
      </c>
      <c r="C4" s="4" t="s">
        <v>144</v>
      </c>
    </row>
    <row r="5" ht="14.25" customHeight="1">
      <c r="C5" s="4" t="s">
        <v>145</v>
      </c>
    </row>
    <row r="6" ht="14.25" customHeight="1" thickBot="1"/>
    <row r="7" spans="2:4" ht="16.5" customHeight="1" thickBot="1">
      <c r="B7" s="84"/>
      <c r="C7" s="85" t="s">
        <v>3</v>
      </c>
      <c r="D7" s="9"/>
    </row>
    <row r="8" spans="1:3" ht="15">
      <c r="A8" s="10">
        <v>1</v>
      </c>
      <c r="B8" s="82" t="s">
        <v>0</v>
      </c>
      <c r="C8" s="46">
        <f>120471/1000</f>
        <v>120.471</v>
      </c>
    </row>
    <row r="9" spans="1:3" ht="15">
      <c r="A9" s="10">
        <v>2</v>
      </c>
      <c r="B9" s="11" t="s">
        <v>8</v>
      </c>
      <c r="C9" s="46">
        <f>949.284077985378/1000</f>
        <v>0.949284077985378</v>
      </c>
    </row>
    <row r="10" spans="1:3" ht="15">
      <c r="A10" s="10">
        <v>3</v>
      </c>
      <c r="B10" s="12" t="s">
        <v>2</v>
      </c>
      <c r="C10" s="46">
        <f>C8-C9</f>
        <v>119.52171592201462</v>
      </c>
    </row>
    <row r="11" spans="1:3" ht="15">
      <c r="A11" s="10">
        <v>6</v>
      </c>
      <c r="B11" s="11" t="s">
        <v>25</v>
      </c>
      <c r="C11" s="46">
        <f>7646.04819632598/1000</f>
        <v>7.64604819632598</v>
      </c>
    </row>
    <row r="12" spans="2:3" ht="15" thickBot="1">
      <c r="B12" s="13" t="s">
        <v>26</v>
      </c>
      <c r="C12" s="39">
        <f>IF(ISNUMBER(C11)=TRUE,C10-C11,C10)</f>
        <v>111.87566772568864</v>
      </c>
    </row>
    <row r="13" spans="2:3" ht="15">
      <c r="B13" s="14"/>
      <c r="C13" s="15"/>
    </row>
    <row r="14" spans="2:3" ht="15" thickBot="1">
      <c r="B14" s="16"/>
      <c r="C14" s="17"/>
    </row>
    <row r="15" spans="2:14" ht="16.5" customHeight="1">
      <c r="B15" s="389" t="s">
        <v>1</v>
      </c>
      <c r="C15" s="391" t="s">
        <v>3</v>
      </c>
      <c r="D15" s="393" t="s">
        <v>4</v>
      </c>
      <c r="E15" s="395" t="s">
        <v>5</v>
      </c>
      <c r="F15" s="396"/>
      <c r="G15" s="395" t="s">
        <v>6</v>
      </c>
      <c r="H15" s="396"/>
      <c r="I15" s="395" t="s">
        <v>12</v>
      </c>
      <c r="J15" s="396"/>
      <c r="K15" s="387" t="s">
        <v>7</v>
      </c>
      <c r="L15" s="388"/>
      <c r="N15" s="26"/>
    </row>
    <row r="16" spans="2:12" ht="15" thickBot="1">
      <c r="B16" s="390"/>
      <c r="C16" s="392"/>
      <c r="D16" s="394"/>
      <c r="E16" s="79" t="s">
        <v>10</v>
      </c>
      <c r="F16" s="80" t="s">
        <v>11</v>
      </c>
      <c r="G16" s="79" t="s">
        <v>10</v>
      </c>
      <c r="H16" s="80" t="s">
        <v>11</v>
      </c>
      <c r="I16" s="79" t="s">
        <v>10</v>
      </c>
      <c r="J16" s="80" t="s">
        <v>11</v>
      </c>
      <c r="K16" s="79" t="s">
        <v>10</v>
      </c>
      <c r="L16" s="81" t="s">
        <v>11</v>
      </c>
    </row>
    <row r="17" spans="1:14" ht="15">
      <c r="A17" s="10">
        <v>7</v>
      </c>
      <c r="B17" s="74" t="s">
        <v>27</v>
      </c>
      <c r="C17" s="202">
        <f>2917.7553324823/1000</f>
        <v>2.9177553324823</v>
      </c>
      <c r="D17" s="215">
        <f>212.055007181983/1000</f>
        <v>0.212055007181983</v>
      </c>
      <c r="E17" s="77">
        <f aca="true" t="shared" si="0" ref="E17:E26">C17*D17</f>
        <v>0.6187246279848033</v>
      </c>
      <c r="F17" s="78"/>
      <c r="G17" s="77">
        <v>0</v>
      </c>
      <c r="H17" s="78"/>
      <c r="I17" s="77">
        <v>0</v>
      </c>
      <c r="J17" s="78"/>
      <c r="K17" s="77"/>
      <c r="L17" s="78"/>
      <c r="N17" s="27"/>
    </row>
    <row r="18" spans="1:14" ht="15">
      <c r="A18" s="10">
        <v>8</v>
      </c>
      <c r="B18" s="18" t="s">
        <v>28</v>
      </c>
      <c r="C18" s="148">
        <v>0</v>
      </c>
      <c r="D18" s="149">
        <v>0</v>
      </c>
      <c r="E18" s="303">
        <f t="shared" si="0"/>
        <v>0</v>
      </c>
      <c r="F18" s="21"/>
      <c r="G18" s="20">
        <v>0</v>
      </c>
      <c r="H18" s="21"/>
      <c r="I18" s="20">
        <v>0</v>
      </c>
      <c r="J18" s="21"/>
      <c r="K18" s="20"/>
      <c r="L18" s="21"/>
      <c r="N18" s="27"/>
    </row>
    <row r="19" spans="1:14" ht="15">
      <c r="A19" s="10">
        <v>10</v>
      </c>
      <c r="B19" s="18" t="s">
        <v>29</v>
      </c>
      <c r="C19" s="148">
        <v>0</v>
      </c>
      <c r="D19" s="149">
        <v>0</v>
      </c>
      <c r="E19" s="303">
        <f t="shared" si="0"/>
        <v>0</v>
      </c>
      <c r="F19" s="21"/>
      <c r="G19" s="20">
        <v>0</v>
      </c>
      <c r="H19" s="21"/>
      <c r="I19" s="20">
        <v>0</v>
      </c>
      <c r="J19" s="21"/>
      <c r="K19" s="20"/>
      <c r="L19" s="21"/>
      <c r="N19" s="27"/>
    </row>
    <row r="20" spans="1:14" ht="15">
      <c r="A20" s="10">
        <v>11</v>
      </c>
      <c r="B20" s="18" t="s">
        <v>30</v>
      </c>
      <c r="C20" s="148">
        <v>0</v>
      </c>
      <c r="D20" s="149">
        <v>0</v>
      </c>
      <c r="E20" s="303">
        <f t="shared" si="0"/>
        <v>0</v>
      </c>
      <c r="F20" s="21"/>
      <c r="G20" s="20">
        <v>0</v>
      </c>
      <c r="H20" s="21"/>
      <c r="I20" s="20">
        <v>0</v>
      </c>
      <c r="J20" s="21"/>
      <c r="K20" s="20"/>
      <c r="L20" s="21"/>
      <c r="N20" s="27"/>
    </row>
    <row r="21" spans="1:14" ht="15">
      <c r="A21" s="10" t="s">
        <v>31</v>
      </c>
      <c r="B21" s="18" t="s">
        <v>32</v>
      </c>
      <c r="C21" s="56">
        <f>28437.9068111081/1000</f>
        <v>28.4379068111081</v>
      </c>
      <c r="D21" s="217">
        <f>212.055007181983/1000</f>
        <v>0.212055007181983</v>
      </c>
      <c r="E21" s="77">
        <f t="shared" si="0"/>
        <v>6.030400533070091</v>
      </c>
      <c r="F21" s="21"/>
      <c r="G21" s="20">
        <v>0</v>
      </c>
      <c r="H21" s="21"/>
      <c r="I21" s="20">
        <v>0</v>
      </c>
      <c r="J21" s="21"/>
      <c r="K21" s="20"/>
      <c r="L21" s="21"/>
      <c r="N21" s="27"/>
    </row>
    <row r="22" spans="1:14" ht="15">
      <c r="A22" s="10" t="s">
        <v>33</v>
      </c>
      <c r="B22" s="18" t="s">
        <v>34</v>
      </c>
      <c r="C22" s="202">
        <f>80443.6463857807/1000</f>
        <v>80.4436463857807</v>
      </c>
      <c r="D22" s="215">
        <f>212.055007181983/1000</f>
        <v>0.212055007181983</v>
      </c>
      <c r="E22" s="77">
        <f t="shared" si="0"/>
        <v>17.058478012081626</v>
      </c>
      <c r="F22" s="21"/>
      <c r="G22" s="20">
        <v>0</v>
      </c>
      <c r="H22" s="21"/>
      <c r="I22" s="20">
        <v>0</v>
      </c>
      <c r="J22" s="21"/>
      <c r="K22" s="20"/>
      <c r="L22" s="21"/>
      <c r="N22" s="27"/>
    </row>
    <row r="23" spans="1:14" ht="15">
      <c r="A23" s="10" t="s">
        <v>35</v>
      </c>
      <c r="B23" s="18" t="s">
        <v>36</v>
      </c>
      <c r="C23" s="148">
        <v>0</v>
      </c>
      <c r="D23" s="149">
        <v>0</v>
      </c>
      <c r="E23" s="303">
        <f t="shared" si="0"/>
        <v>0</v>
      </c>
      <c r="F23" s="21"/>
      <c r="G23" s="20">
        <v>0</v>
      </c>
      <c r="H23" s="21"/>
      <c r="I23" s="20">
        <v>0</v>
      </c>
      <c r="J23" s="21"/>
      <c r="K23" s="20"/>
      <c r="L23" s="21"/>
      <c r="N23" s="27"/>
    </row>
    <row r="24" spans="1:14" ht="15">
      <c r="A24" s="10">
        <v>13</v>
      </c>
      <c r="B24" s="18" t="s">
        <v>37</v>
      </c>
      <c r="C24" s="148">
        <v>0</v>
      </c>
      <c r="D24" s="149">
        <v>0</v>
      </c>
      <c r="E24" s="303">
        <f t="shared" si="0"/>
        <v>0</v>
      </c>
      <c r="F24" s="21"/>
      <c r="G24" s="20">
        <v>0</v>
      </c>
      <c r="H24" s="21"/>
      <c r="I24" s="20">
        <v>0</v>
      </c>
      <c r="J24" s="21"/>
      <c r="K24" s="20"/>
      <c r="L24" s="21"/>
      <c r="N24" s="27"/>
    </row>
    <row r="25" spans="1:14" s="111" customFormat="1" ht="15">
      <c r="A25" s="10">
        <v>4</v>
      </c>
      <c r="B25" s="201" t="s">
        <v>63</v>
      </c>
      <c r="C25" s="56">
        <f>919.283208443288/1000</f>
        <v>0.919283208443288</v>
      </c>
      <c r="D25" s="217">
        <f>213.743141005247/1000</f>
        <v>0.213743141005247</v>
      </c>
      <c r="E25" s="77">
        <f t="shared" si="0"/>
        <v>0.19649048044604958</v>
      </c>
      <c r="F25" s="150"/>
      <c r="G25" s="52">
        <v>0</v>
      </c>
      <c r="H25" s="150"/>
      <c r="I25" s="52">
        <v>0</v>
      </c>
      <c r="J25" s="150"/>
      <c r="K25" s="52"/>
      <c r="L25" s="150"/>
      <c r="N25" s="27"/>
    </row>
    <row r="26" spans="1:14" s="111" customFormat="1" ht="15">
      <c r="A26" s="10">
        <v>14</v>
      </c>
      <c r="B26" s="201" t="s">
        <v>64</v>
      </c>
      <c r="C26" s="56">
        <f>995.642404760905/1000</f>
        <v>0.995642404760905</v>
      </c>
      <c r="D26" s="217">
        <f>216.154768366546/1000</f>
        <v>0.21615476836654599</v>
      </c>
      <c r="E26" s="77">
        <f t="shared" si="0"/>
        <v>0.21521285337700424</v>
      </c>
      <c r="F26" s="150"/>
      <c r="G26" s="52">
        <v>0</v>
      </c>
      <c r="H26" s="150"/>
      <c r="I26" s="52">
        <v>0</v>
      </c>
      <c r="J26" s="150"/>
      <c r="K26" s="52"/>
      <c r="L26" s="150"/>
      <c r="N26" s="27"/>
    </row>
    <row r="27" spans="1:14" ht="15" thickBot="1">
      <c r="A27" s="10">
        <v>16</v>
      </c>
      <c r="B27" s="18" t="s">
        <v>21</v>
      </c>
      <c r="C27" s="56">
        <v>76.35919631761647</v>
      </c>
      <c r="D27" s="217" t="s">
        <v>143</v>
      </c>
      <c r="E27" s="20">
        <f>E26-E25</f>
        <v>0.01872237293095466</v>
      </c>
      <c r="F27" s="21"/>
      <c r="G27" s="20">
        <v>0</v>
      </c>
      <c r="H27" s="21"/>
      <c r="I27" s="20">
        <v>0</v>
      </c>
      <c r="J27" s="21"/>
      <c r="K27" s="20"/>
      <c r="L27" s="21"/>
      <c r="N27" s="27"/>
    </row>
    <row r="28" spans="1:12" ht="15" thickBot="1">
      <c r="A28" s="10">
        <v>17</v>
      </c>
      <c r="B28" s="22" t="s">
        <v>9</v>
      </c>
      <c r="C28" s="24">
        <f>C17+C19+C21+C22+C26-C25</f>
        <v>111.87566772568871</v>
      </c>
      <c r="D28" s="24"/>
      <c r="E28" s="24">
        <f>E17+E19+E21+E22+E26-E25</f>
        <v>23.726325546067475</v>
      </c>
      <c r="F28" s="25">
        <f>E28/C33</f>
        <v>23.4534510274592</v>
      </c>
      <c r="G28" s="24">
        <v>0</v>
      </c>
      <c r="H28" s="25">
        <v>0</v>
      </c>
      <c r="I28" s="24">
        <v>0</v>
      </c>
      <c r="J28" s="25">
        <v>0</v>
      </c>
      <c r="K28" s="24">
        <f>E28+G28-I28</f>
        <v>23.726325546067475</v>
      </c>
      <c r="L28" s="25">
        <f>F28+H28-J28</f>
        <v>23.4534510274592</v>
      </c>
    </row>
    <row r="29" spans="3:12" ht="15">
      <c r="C29" s="14"/>
      <c r="E29" s="14"/>
      <c r="F29" s="14"/>
      <c r="G29" s="14"/>
      <c r="H29" s="14"/>
      <c r="I29" s="14"/>
      <c r="J29" s="14"/>
      <c r="K29" s="14"/>
      <c r="L29" s="14"/>
    </row>
    <row r="30" ht="15">
      <c r="B30" s="26"/>
    </row>
    <row r="31" ht="15" thickBot="1"/>
    <row r="32" spans="2:3" ht="15" thickBot="1">
      <c r="B32" s="84"/>
      <c r="C32" s="87">
        <v>2020</v>
      </c>
    </row>
    <row r="33" spans="2:3" ht="15">
      <c r="B33" s="137" t="s">
        <v>146</v>
      </c>
      <c r="C33" s="219">
        <f>101.163472779715/100</f>
        <v>1.01163472779715</v>
      </c>
    </row>
    <row r="34" spans="2:3" ht="15" thickBot="1">
      <c r="B34" s="135" t="s">
        <v>147</v>
      </c>
      <c r="C34" s="220">
        <f>107.857998760478/100</f>
        <v>1.07857998760478</v>
      </c>
    </row>
  </sheetData>
  <mergeCells count="7">
    <mergeCell ref="K15:L15"/>
    <mergeCell ref="B15:B16"/>
    <mergeCell ref="C15:C16"/>
    <mergeCell ref="D15:D16"/>
    <mergeCell ref="E15:F15"/>
    <mergeCell ref="G15:H15"/>
    <mergeCell ref="I15:J15"/>
  </mergeCells>
  <conditionalFormatting sqref="C30">
    <cfRule type="cellIs" priority="13" dxfId="1" operator="equal">
      <formula>FALSE</formula>
    </cfRule>
    <cfRule type="cellIs" priority="14" dxfId="0" operator="equal">
      <formula>TRUE</formula>
    </cfRule>
  </conditionalFormatting>
  <conditionalFormatting sqref="E30">
    <cfRule type="cellIs" priority="11" dxfId="1" operator="equal">
      <formula>FALSE</formula>
    </cfRule>
    <cfRule type="cellIs" priority="12" dxfId="0" operator="equal">
      <formula>TRUE</formula>
    </cfRule>
  </conditionalFormatting>
  <conditionalFormatting sqref="F30">
    <cfRule type="cellIs" priority="9" dxfId="1" operator="equal">
      <formula>FALSE</formula>
    </cfRule>
    <cfRule type="cellIs" priority="10" dxfId="0" operator="equal">
      <formula>TRUE</formula>
    </cfRule>
  </conditionalFormatting>
  <conditionalFormatting sqref="K30">
    <cfRule type="cellIs" priority="7" dxfId="1" operator="equal">
      <formula>FALSE</formula>
    </cfRule>
    <cfRule type="cellIs" priority="8" dxfId="0" operator="equal">
      <formula>TRUE</formula>
    </cfRule>
  </conditionalFormatting>
  <conditionalFormatting sqref="L30">
    <cfRule type="cellIs" priority="5" dxfId="1" operator="equal">
      <formula>FALSE</formula>
    </cfRule>
    <cfRule type="cellIs" priority="6" dxfId="0" operator="equal">
      <formula>TRUE</formula>
    </cfRule>
  </conditionalFormatting>
  <conditionalFormatting sqref="N17:N27">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8"/>
  <sheetViews>
    <sheetView zoomScale="90" zoomScaleNormal="90" workbookViewId="0" topLeftCell="A1">
      <selection activeCell="D1" sqref="D1"/>
    </sheetView>
  </sheetViews>
  <sheetFormatPr defaultColWidth="8.7109375" defaultRowHeight="15"/>
  <cols>
    <col min="1" max="1" width="5.00390625" style="5" bestFit="1" customWidth="1"/>
    <col min="2" max="2" width="42.7109375" style="5" bestFit="1" customWidth="1"/>
    <col min="3" max="3" width="20.7109375" style="5" bestFit="1" customWidth="1"/>
    <col min="4" max="4" width="8.7109375" style="5"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40</v>
      </c>
    </row>
    <row r="2" ht="4.5" customHeight="1"/>
    <row r="3" spans="2:3" ht="15">
      <c r="B3" s="7" t="s">
        <v>151</v>
      </c>
      <c r="C3" s="4" t="s">
        <v>23</v>
      </c>
    </row>
    <row r="4" spans="2:3" ht="15">
      <c r="B4" s="8" t="s">
        <v>41</v>
      </c>
      <c r="C4" s="4" t="s">
        <v>144</v>
      </c>
    </row>
    <row r="5" ht="14.25" customHeight="1">
      <c r="C5" s="4" t="s">
        <v>145</v>
      </c>
    </row>
    <row r="6" ht="14.25" customHeight="1"/>
    <row r="8" ht="15">
      <c r="B8" s="5" t="s">
        <v>317</v>
      </c>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7"/>
  <sheetViews>
    <sheetView zoomScale="80" zoomScaleNormal="80" workbookViewId="0" topLeftCell="A1">
      <selection activeCell="D1" sqref="D1"/>
    </sheetView>
  </sheetViews>
  <sheetFormatPr defaultColWidth="8.7109375" defaultRowHeight="15"/>
  <cols>
    <col min="1" max="1" width="5.00390625" style="5" bestFit="1" customWidth="1"/>
    <col min="2" max="2" width="42.7109375" style="5" bestFit="1" customWidth="1"/>
    <col min="3" max="3" width="20.7109375" style="5" bestFit="1" customWidth="1"/>
    <col min="4" max="4" width="8.7109375" style="5"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42</v>
      </c>
    </row>
    <row r="2" ht="4.5" customHeight="1"/>
    <row r="3" spans="2:3" ht="15">
      <c r="B3" s="7" t="s">
        <v>395</v>
      </c>
      <c r="C3" s="4" t="s">
        <v>23</v>
      </c>
    </row>
    <row r="4" spans="2:3" ht="15">
      <c r="B4" s="8" t="s">
        <v>190</v>
      </c>
      <c r="C4" s="4" t="s">
        <v>144</v>
      </c>
    </row>
    <row r="5" ht="14.25" customHeight="1">
      <c r="C5" s="4" t="s">
        <v>145</v>
      </c>
    </row>
    <row r="6" ht="14.25" customHeight="1"/>
    <row r="7" spans="2:3" ht="15">
      <c r="B7" s="14"/>
      <c r="C7" s="15"/>
    </row>
    <row r="8" spans="2:3" ht="15" thickBot="1">
      <c r="B8" s="16"/>
      <c r="C8" s="17"/>
    </row>
    <row r="9" spans="2:14" ht="16.5" customHeight="1">
      <c r="B9" s="389" t="s">
        <v>1</v>
      </c>
      <c r="C9" s="391" t="s">
        <v>3</v>
      </c>
      <c r="D9" s="393" t="s">
        <v>4</v>
      </c>
      <c r="E9" s="395" t="s">
        <v>5</v>
      </c>
      <c r="F9" s="396"/>
      <c r="G9" s="395" t="s">
        <v>6</v>
      </c>
      <c r="H9" s="396"/>
      <c r="I9" s="395" t="s">
        <v>12</v>
      </c>
      <c r="J9" s="396"/>
      <c r="K9" s="387" t="s">
        <v>7</v>
      </c>
      <c r="L9" s="388"/>
      <c r="N9" s="26"/>
    </row>
    <row r="10" spans="2:12" ht="15" thickBot="1">
      <c r="B10" s="390"/>
      <c r="C10" s="392"/>
      <c r="D10" s="394"/>
      <c r="E10" s="79" t="s">
        <v>10</v>
      </c>
      <c r="F10" s="80" t="s">
        <v>11</v>
      </c>
      <c r="G10" s="79" t="s">
        <v>10</v>
      </c>
      <c r="H10" s="80" t="s">
        <v>11</v>
      </c>
      <c r="I10" s="79" t="s">
        <v>10</v>
      </c>
      <c r="J10" s="80" t="s">
        <v>11</v>
      </c>
      <c r="K10" s="79" t="s">
        <v>10</v>
      </c>
      <c r="L10" s="81" t="s">
        <v>11</v>
      </c>
    </row>
    <row r="11" spans="1:12" ht="15" thickBot="1">
      <c r="A11" s="10">
        <v>17</v>
      </c>
      <c r="B11" s="22" t="s">
        <v>9</v>
      </c>
      <c r="C11" s="211"/>
      <c r="D11" s="209"/>
      <c r="E11" s="24">
        <v>3.21296670094051</v>
      </c>
      <c r="F11" s="25">
        <f>E11/C16</f>
        <v>3.21296670094051</v>
      </c>
      <c r="G11" s="24">
        <v>0</v>
      </c>
      <c r="H11" s="25">
        <v>0</v>
      </c>
      <c r="I11" s="24">
        <v>0</v>
      </c>
      <c r="J11" s="25">
        <v>0</v>
      </c>
      <c r="K11" s="24">
        <f>E11+G11-I11</f>
        <v>3.21296670094051</v>
      </c>
      <c r="L11" s="24">
        <f>F11+H11-J11</f>
        <v>3.21296670094051</v>
      </c>
    </row>
    <row r="12" spans="3:12" ht="15">
      <c r="C12" s="14"/>
      <c r="E12" s="14"/>
      <c r="F12" s="14"/>
      <c r="G12" s="14"/>
      <c r="H12" s="14"/>
      <c r="I12" s="14"/>
      <c r="J12" s="14"/>
      <c r="K12" s="14"/>
      <c r="L12" s="14"/>
    </row>
    <row r="13" ht="15">
      <c r="B13" s="26"/>
    </row>
    <row r="14" ht="15" thickBot="1"/>
    <row r="15" spans="2:3" ht="15" thickBot="1">
      <c r="B15" s="84"/>
      <c r="C15" s="208">
        <v>2020</v>
      </c>
    </row>
    <row r="16" spans="2:3" ht="15" thickBot="1">
      <c r="B16" s="206" t="s">
        <v>146</v>
      </c>
      <c r="C16" s="221">
        <f>100/100</f>
        <v>1</v>
      </c>
    </row>
    <row r="17" spans="2:3" ht="15" thickBot="1">
      <c r="B17" s="207" t="s">
        <v>147</v>
      </c>
      <c r="C17" s="221">
        <f>792.678465716523/100</f>
        <v>7.926784657165229</v>
      </c>
    </row>
  </sheetData>
  <mergeCells count="7">
    <mergeCell ref="K9:L9"/>
    <mergeCell ref="B9:B10"/>
    <mergeCell ref="C9:C10"/>
    <mergeCell ref="D9:D10"/>
    <mergeCell ref="E9:F9"/>
    <mergeCell ref="G9:H9"/>
    <mergeCell ref="I9:J9"/>
  </mergeCells>
  <conditionalFormatting sqref="C13">
    <cfRule type="cellIs" priority="13" dxfId="1" operator="equal">
      <formula>FALSE</formula>
    </cfRule>
    <cfRule type="cellIs" priority="14" dxfId="0" operator="equal">
      <formula>TRUE</formula>
    </cfRule>
  </conditionalFormatting>
  <conditionalFormatting sqref="E13">
    <cfRule type="cellIs" priority="11" dxfId="1" operator="equal">
      <formula>FALSE</formula>
    </cfRule>
    <cfRule type="cellIs" priority="12" dxfId="0" operator="equal">
      <formula>TRUE</formula>
    </cfRule>
  </conditionalFormatting>
  <conditionalFormatting sqref="F13">
    <cfRule type="cellIs" priority="9" dxfId="1" operator="equal">
      <formula>FALSE</formula>
    </cfRule>
    <cfRule type="cellIs" priority="10" dxfId="0" operator="equal">
      <formula>TRUE</formula>
    </cfRule>
  </conditionalFormatting>
  <conditionalFormatting sqref="K13">
    <cfRule type="cellIs" priority="7" dxfId="1" operator="equal">
      <formula>FALSE</formula>
    </cfRule>
    <cfRule type="cellIs" priority="8" dxfId="0" operator="equal">
      <formula>TRUE</formula>
    </cfRule>
  </conditionalFormatting>
  <conditionalFormatting sqref="L13">
    <cfRule type="cellIs" priority="5" dxfId="1" operator="equal">
      <formula>FALSE</formula>
    </cfRule>
    <cfRule type="cellIs" priority="6"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34"/>
  <sheetViews>
    <sheetView zoomScale="70" zoomScaleNormal="70" workbookViewId="0" topLeftCell="A1">
      <selection activeCell="E1" sqref="E1"/>
    </sheetView>
  </sheetViews>
  <sheetFormatPr defaultColWidth="8.7109375" defaultRowHeight="15"/>
  <cols>
    <col min="1" max="1" width="5.00390625" style="5" bestFit="1" customWidth="1"/>
    <col min="2" max="2" width="42.7109375" style="5" bestFit="1" customWidth="1"/>
    <col min="3" max="3" width="20.7109375" style="5" bestFit="1" customWidth="1"/>
    <col min="4" max="4" width="8.7109375" style="5"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43</v>
      </c>
    </row>
    <row r="2" ht="4.5" customHeight="1"/>
    <row r="3" spans="2:3" ht="15">
      <c r="B3" s="7" t="s">
        <v>191</v>
      </c>
      <c r="C3" s="4" t="s">
        <v>23</v>
      </c>
    </row>
    <row r="4" spans="2:3" ht="15">
      <c r="B4" s="8" t="s">
        <v>192</v>
      </c>
      <c r="C4" s="4" t="s">
        <v>144</v>
      </c>
    </row>
    <row r="5" ht="14.25" customHeight="1">
      <c r="C5" s="4" t="s">
        <v>145</v>
      </c>
    </row>
    <row r="6" ht="14.25" customHeight="1" thickBot="1"/>
    <row r="7" spans="2:4" ht="16.5" customHeight="1" thickBot="1">
      <c r="B7" s="84"/>
      <c r="C7" s="85" t="s">
        <v>3</v>
      </c>
      <c r="D7" s="9"/>
    </row>
    <row r="8" spans="1:3" ht="15">
      <c r="A8" s="10">
        <v>1</v>
      </c>
      <c r="B8" s="82" t="s">
        <v>0</v>
      </c>
      <c r="C8" s="83">
        <f>2894326.7/1000</f>
        <v>2894.3267</v>
      </c>
    </row>
    <row r="9" spans="1:3" ht="15">
      <c r="A9" s="10">
        <v>2</v>
      </c>
      <c r="B9" s="11" t="s">
        <v>8</v>
      </c>
      <c r="C9" s="29">
        <f>66805.6/1000</f>
        <v>66.80560000000001</v>
      </c>
    </row>
    <row r="10" spans="1:3" ht="15">
      <c r="A10" s="10">
        <v>3</v>
      </c>
      <c r="B10" s="12" t="s">
        <v>2</v>
      </c>
      <c r="C10" s="30">
        <f>C8-C9</f>
        <v>2827.5211</v>
      </c>
    </row>
    <row r="11" spans="1:3" ht="15">
      <c r="A11" s="10">
        <v>6</v>
      </c>
      <c r="B11" s="11" t="s">
        <v>25</v>
      </c>
      <c r="C11" s="29">
        <v>0</v>
      </c>
    </row>
    <row r="12" spans="2:3" ht="15" thickBot="1">
      <c r="B12" s="13" t="s">
        <v>26</v>
      </c>
      <c r="C12" s="35">
        <f>IF(ISNUMBER(C11)=TRUE,C10-C11,C10)</f>
        <v>2827.5211</v>
      </c>
    </row>
    <row r="13" spans="2:3" ht="15">
      <c r="B13" s="14"/>
      <c r="C13" s="15"/>
    </row>
    <row r="14" spans="2:3" ht="15" thickBot="1">
      <c r="B14" s="16"/>
      <c r="C14" s="17"/>
    </row>
    <row r="15" spans="2:14" ht="16.5" customHeight="1">
      <c r="B15" s="389" t="s">
        <v>1</v>
      </c>
      <c r="C15" s="391" t="s">
        <v>3</v>
      </c>
      <c r="D15" s="393" t="s">
        <v>4</v>
      </c>
      <c r="E15" s="395" t="s">
        <v>5</v>
      </c>
      <c r="F15" s="396"/>
      <c r="G15" s="395" t="s">
        <v>6</v>
      </c>
      <c r="H15" s="396"/>
      <c r="I15" s="395" t="s">
        <v>12</v>
      </c>
      <c r="J15" s="396"/>
      <c r="K15" s="387" t="s">
        <v>7</v>
      </c>
      <c r="L15" s="388"/>
      <c r="N15" s="26"/>
    </row>
    <row r="16" spans="2:12" ht="15" thickBot="1">
      <c r="B16" s="390"/>
      <c r="C16" s="392"/>
      <c r="D16" s="394"/>
      <c r="E16" s="79" t="s">
        <v>10</v>
      </c>
      <c r="F16" s="80" t="s">
        <v>11</v>
      </c>
      <c r="G16" s="79" t="s">
        <v>10</v>
      </c>
      <c r="H16" s="80" t="s">
        <v>11</v>
      </c>
      <c r="I16" s="79" t="s">
        <v>10</v>
      </c>
      <c r="J16" s="80" t="s">
        <v>11</v>
      </c>
      <c r="K16" s="79" t="s">
        <v>10</v>
      </c>
      <c r="L16" s="81" t="s">
        <v>11</v>
      </c>
    </row>
    <row r="17" spans="1:14" ht="15">
      <c r="A17" s="10">
        <v>7</v>
      </c>
      <c r="B17" s="74" t="s">
        <v>27</v>
      </c>
      <c r="C17" s="75">
        <f>2647383.68646685/1000</f>
        <v>2647.3836864668497</v>
      </c>
      <c r="D17" s="215">
        <f>25.5757126169916/1000</f>
        <v>0.025575712616991597</v>
      </c>
      <c r="E17" s="77">
        <f aca="true" t="shared" si="0" ref="E17:E26">C17*D17</f>
        <v>67.70872435198794</v>
      </c>
      <c r="F17" s="78"/>
      <c r="G17" s="77">
        <v>0</v>
      </c>
      <c r="H17" s="78"/>
      <c r="I17" s="77">
        <v>0</v>
      </c>
      <c r="J17" s="78"/>
      <c r="K17" s="77"/>
      <c r="L17" s="78"/>
      <c r="N17" s="27"/>
    </row>
    <row r="18" spans="1:14" ht="15">
      <c r="A18" s="10">
        <v>8</v>
      </c>
      <c r="B18" s="18" t="s">
        <v>28</v>
      </c>
      <c r="C18" s="148">
        <v>0</v>
      </c>
      <c r="D18" s="149">
        <v>0</v>
      </c>
      <c r="E18" s="303">
        <f t="shared" si="0"/>
        <v>0</v>
      </c>
      <c r="F18" s="21"/>
      <c r="G18" s="52">
        <v>0</v>
      </c>
      <c r="H18" s="150"/>
      <c r="I18" s="52">
        <v>0</v>
      </c>
      <c r="J18" s="21"/>
      <c r="K18" s="20"/>
      <c r="L18" s="21"/>
      <c r="N18" s="27"/>
    </row>
    <row r="19" spans="1:14" ht="15">
      <c r="A19" s="10">
        <v>10</v>
      </c>
      <c r="B19" s="18" t="s">
        <v>29</v>
      </c>
      <c r="C19" s="148">
        <v>0</v>
      </c>
      <c r="D19" s="149">
        <v>0</v>
      </c>
      <c r="E19" s="303">
        <f t="shared" si="0"/>
        <v>0</v>
      </c>
      <c r="F19" s="21"/>
      <c r="G19" s="52">
        <v>0</v>
      </c>
      <c r="H19" s="150"/>
      <c r="I19" s="52">
        <v>0</v>
      </c>
      <c r="J19" s="21"/>
      <c r="K19" s="20"/>
      <c r="L19" s="21"/>
      <c r="N19" s="27"/>
    </row>
    <row r="20" spans="1:14" ht="15">
      <c r="A20" s="10">
        <v>11</v>
      </c>
      <c r="B20" s="18" t="s">
        <v>30</v>
      </c>
      <c r="C20" s="148">
        <v>0</v>
      </c>
      <c r="D20" s="149">
        <v>0</v>
      </c>
      <c r="E20" s="303">
        <f t="shared" si="0"/>
        <v>0</v>
      </c>
      <c r="F20" s="21"/>
      <c r="G20" s="52">
        <v>0</v>
      </c>
      <c r="H20" s="150"/>
      <c r="I20" s="52">
        <v>0</v>
      </c>
      <c r="J20" s="21"/>
      <c r="K20" s="20"/>
      <c r="L20" s="21"/>
      <c r="N20" s="27"/>
    </row>
    <row r="21" spans="1:14" ht="15">
      <c r="A21" s="10" t="s">
        <v>31</v>
      </c>
      <c r="B21" s="18" t="s">
        <v>32</v>
      </c>
      <c r="C21" s="148">
        <f>389711.457855942/1000</f>
        <v>389.711457855942</v>
      </c>
      <c r="D21" s="217">
        <f>25.5757126169915/1000</f>
        <v>0.0255757126169915</v>
      </c>
      <c r="E21" s="77">
        <f t="shared" si="0"/>
        <v>9.967148249672366</v>
      </c>
      <c r="F21" s="21"/>
      <c r="G21" s="52">
        <v>0</v>
      </c>
      <c r="H21" s="150"/>
      <c r="I21" s="52">
        <v>0</v>
      </c>
      <c r="J21" s="21"/>
      <c r="K21" s="20"/>
      <c r="L21" s="21"/>
      <c r="N21" s="27"/>
    </row>
    <row r="22" spans="1:14" ht="15">
      <c r="A22" s="10" t="s">
        <v>33</v>
      </c>
      <c r="B22" s="18" t="s">
        <v>34</v>
      </c>
      <c r="C22" s="148">
        <v>0</v>
      </c>
      <c r="D22" s="149">
        <v>0</v>
      </c>
      <c r="E22" s="303">
        <f t="shared" si="0"/>
        <v>0</v>
      </c>
      <c r="F22" s="21"/>
      <c r="G22" s="52">
        <v>0</v>
      </c>
      <c r="H22" s="150"/>
      <c r="I22" s="52">
        <v>0</v>
      </c>
      <c r="J22" s="21"/>
      <c r="K22" s="20"/>
      <c r="L22" s="21"/>
      <c r="N22" s="27"/>
    </row>
    <row r="23" spans="1:14" ht="15">
      <c r="A23" s="10" t="s">
        <v>35</v>
      </c>
      <c r="B23" s="18" t="s">
        <v>36</v>
      </c>
      <c r="C23" s="148">
        <v>0</v>
      </c>
      <c r="D23" s="149">
        <v>0</v>
      </c>
      <c r="E23" s="303">
        <f t="shared" si="0"/>
        <v>0</v>
      </c>
      <c r="F23" s="21"/>
      <c r="G23" s="52">
        <v>0</v>
      </c>
      <c r="H23" s="150"/>
      <c r="I23" s="52">
        <v>0</v>
      </c>
      <c r="J23" s="21"/>
      <c r="K23" s="20"/>
      <c r="L23" s="21"/>
      <c r="N23" s="27"/>
    </row>
    <row r="24" spans="1:14" ht="15">
      <c r="A24" s="10">
        <v>13</v>
      </c>
      <c r="B24" s="18" t="s">
        <v>37</v>
      </c>
      <c r="C24" s="148">
        <v>0</v>
      </c>
      <c r="D24" s="149">
        <v>0</v>
      </c>
      <c r="E24" s="303">
        <f t="shared" si="0"/>
        <v>0</v>
      </c>
      <c r="F24" s="21"/>
      <c r="G24" s="52">
        <v>0</v>
      </c>
      <c r="H24" s="150"/>
      <c r="I24" s="52">
        <v>0</v>
      </c>
      <c r="J24" s="21"/>
      <c r="K24" s="20"/>
      <c r="L24" s="21"/>
      <c r="N24" s="27"/>
    </row>
    <row r="25" spans="1:14" s="111" customFormat="1" ht="15">
      <c r="A25" s="10">
        <v>4</v>
      </c>
      <c r="B25" s="147" t="s">
        <v>63</v>
      </c>
      <c r="C25" s="148">
        <f>1234774.71693102/1000</f>
        <v>1234.7747169310198</v>
      </c>
      <c r="D25" s="217">
        <f>27.0782352282781/1000</f>
        <v>0.0270782352282781</v>
      </c>
      <c r="E25" s="77">
        <f t="shared" si="0"/>
        <v>33.43552023898866</v>
      </c>
      <c r="F25" s="150"/>
      <c r="G25" s="52">
        <v>0</v>
      </c>
      <c r="H25" s="150"/>
      <c r="I25" s="52">
        <v>0</v>
      </c>
      <c r="J25" s="150"/>
      <c r="K25" s="52"/>
      <c r="L25" s="150"/>
      <c r="N25" s="27"/>
    </row>
    <row r="26" spans="1:14" s="111" customFormat="1" ht="15">
      <c r="A26" s="10">
        <v>14</v>
      </c>
      <c r="B26" s="147" t="s">
        <v>64</v>
      </c>
      <c r="C26" s="148">
        <f>1025200.68823661/1000</f>
        <v>1025.20068823661</v>
      </c>
      <c r="D26" s="217">
        <f>25.5757126169915/1000</f>
        <v>0.0255757126169915</v>
      </c>
      <c r="E26" s="77">
        <f t="shared" si="0"/>
        <v>26.220238177081434</v>
      </c>
      <c r="F26" s="150"/>
      <c r="G26" s="52">
        <v>0</v>
      </c>
      <c r="H26" s="150"/>
      <c r="I26" s="52">
        <v>0</v>
      </c>
      <c r="J26" s="150"/>
      <c r="K26" s="52"/>
      <c r="L26" s="150"/>
      <c r="N26" s="27"/>
    </row>
    <row r="27" spans="1:14" ht="15" thickBot="1">
      <c r="A27" s="10">
        <v>16</v>
      </c>
      <c r="B27" s="18" t="s">
        <v>21</v>
      </c>
      <c r="C27" s="148">
        <f>C26-C25</f>
        <v>-209.5740286944099</v>
      </c>
      <c r="D27" s="216" t="s">
        <v>143</v>
      </c>
      <c r="E27" s="20">
        <f>E26-E25</f>
        <v>-7.215282061907224</v>
      </c>
      <c r="F27" s="21"/>
      <c r="G27" s="52">
        <v>0</v>
      </c>
      <c r="H27" s="150"/>
      <c r="I27" s="52">
        <v>0</v>
      </c>
      <c r="J27" s="21"/>
      <c r="K27" s="20"/>
      <c r="L27" s="21"/>
      <c r="N27" s="27"/>
    </row>
    <row r="28" spans="1:12" ht="15" thickBot="1">
      <c r="A28" s="10">
        <v>17</v>
      </c>
      <c r="B28" s="22" t="s">
        <v>9</v>
      </c>
      <c r="C28" s="157">
        <f>C17+C19+C21+C22+C26-C25</f>
        <v>2827.521115628382</v>
      </c>
      <c r="D28" s="24"/>
      <c r="E28" s="24">
        <f>E17+E19+E21+E22+E26-E25</f>
        <v>70.46059053975307</v>
      </c>
      <c r="F28" s="25">
        <f>E28/C33</f>
        <v>72.19523531554348</v>
      </c>
      <c r="G28" s="24">
        <v>0</v>
      </c>
      <c r="H28" s="25">
        <v>0</v>
      </c>
      <c r="I28" s="24">
        <v>0</v>
      </c>
      <c r="J28" s="25">
        <v>0</v>
      </c>
      <c r="K28" s="24">
        <f>E28+G28-I28</f>
        <v>70.46059053975307</v>
      </c>
      <c r="L28" s="25">
        <f>F28+H28-J28</f>
        <v>72.19523531554348</v>
      </c>
    </row>
    <row r="29" spans="3:12" ht="15">
      <c r="C29" s="14"/>
      <c r="E29" s="14"/>
      <c r="F29" s="14"/>
      <c r="G29" s="14"/>
      <c r="H29" s="14"/>
      <c r="I29" s="14"/>
      <c r="J29" s="14"/>
      <c r="K29" s="14"/>
      <c r="L29" s="14"/>
    </row>
    <row r="30" ht="15">
      <c r="B30" s="26"/>
    </row>
    <row r="31" ht="15" thickBot="1"/>
    <row r="32" spans="2:3" ht="15" thickBot="1">
      <c r="B32" s="84"/>
      <c r="C32" s="87">
        <v>2020</v>
      </c>
    </row>
    <row r="33" spans="2:3" ht="15">
      <c r="B33" s="112" t="s">
        <v>146</v>
      </c>
      <c r="C33" s="219">
        <f>97.597286346933/100</f>
        <v>0.97597286346933</v>
      </c>
    </row>
    <row r="34" spans="2:3" ht="15" thickBot="1">
      <c r="B34" s="113" t="s">
        <v>147</v>
      </c>
      <c r="C34" s="220">
        <f>95.9719346104344/100</f>
        <v>0.9597193461043441</v>
      </c>
    </row>
  </sheetData>
  <mergeCells count="7">
    <mergeCell ref="K15:L15"/>
    <mergeCell ref="B15:B16"/>
    <mergeCell ref="C15:C16"/>
    <mergeCell ref="D15:D16"/>
    <mergeCell ref="E15:F15"/>
    <mergeCell ref="G15:H15"/>
    <mergeCell ref="I15:J15"/>
  </mergeCells>
  <conditionalFormatting sqref="C30">
    <cfRule type="cellIs" priority="13" dxfId="1" operator="equal">
      <formula>FALSE</formula>
    </cfRule>
    <cfRule type="cellIs" priority="14" dxfId="0" operator="equal">
      <formula>TRUE</formula>
    </cfRule>
  </conditionalFormatting>
  <conditionalFormatting sqref="E30">
    <cfRule type="cellIs" priority="11" dxfId="1" operator="equal">
      <formula>FALSE</formula>
    </cfRule>
    <cfRule type="cellIs" priority="12" dxfId="0" operator="equal">
      <formula>TRUE</formula>
    </cfRule>
  </conditionalFormatting>
  <conditionalFormatting sqref="F30">
    <cfRule type="cellIs" priority="9" dxfId="1" operator="equal">
      <formula>FALSE</formula>
    </cfRule>
    <cfRule type="cellIs" priority="10" dxfId="0" operator="equal">
      <formula>TRUE</formula>
    </cfRule>
  </conditionalFormatting>
  <conditionalFormatting sqref="K30">
    <cfRule type="cellIs" priority="7" dxfId="1" operator="equal">
      <formula>FALSE</formula>
    </cfRule>
    <cfRule type="cellIs" priority="8" dxfId="0" operator="equal">
      <formula>TRUE</formula>
    </cfRule>
  </conditionalFormatting>
  <conditionalFormatting sqref="L30">
    <cfRule type="cellIs" priority="5" dxfId="1" operator="equal">
      <formula>FALSE</formula>
    </cfRule>
    <cfRule type="cellIs" priority="6" dxfId="0" operator="equal">
      <formula>TRUE</formula>
    </cfRule>
  </conditionalFormatting>
  <conditionalFormatting sqref="N17:N27">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32"/>
  <sheetViews>
    <sheetView zoomScale="70" zoomScaleNormal="70" workbookViewId="0" topLeftCell="A1">
      <selection activeCell="E1" sqref="E1"/>
    </sheetView>
  </sheetViews>
  <sheetFormatPr defaultColWidth="8.7109375" defaultRowHeight="15"/>
  <cols>
    <col min="1" max="1" width="5.00390625" style="5" bestFit="1" customWidth="1"/>
    <col min="2" max="2" width="42.7109375" style="5" bestFit="1" customWidth="1"/>
    <col min="3" max="3" width="20.7109375" style="5" bestFit="1" customWidth="1"/>
    <col min="4" max="4" width="8.7109375" style="5" customWidth="1"/>
    <col min="5" max="10" width="14.28125" style="5" bestFit="1" customWidth="1"/>
    <col min="11" max="11" width="17.00390625" style="5" bestFit="1" customWidth="1"/>
    <col min="12" max="12" width="12.7109375" style="5" bestFit="1" customWidth="1"/>
    <col min="13" max="13" width="11.421875" style="5" customWidth="1"/>
    <col min="14" max="16384" width="8.7109375" style="5" customWidth="1"/>
  </cols>
  <sheetData>
    <row r="1" ht="18">
      <c r="B1" s="6" t="s">
        <v>44</v>
      </c>
    </row>
    <row r="2" ht="4.5" customHeight="1"/>
    <row r="3" spans="2:3" ht="15">
      <c r="B3" s="7" t="s">
        <v>193</v>
      </c>
      <c r="C3" s="4" t="s">
        <v>23</v>
      </c>
    </row>
    <row r="4" spans="2:3" ht="15">
      <c r="B4" s="8" t="s">
        <v>194</v>
      </c>
      <c r="C4" s="4" t="s">
        <v>144</v>
      </c>
    </row>
    <row r="5" ht="14.25" customHeight="1">
      <c r="C5" s="4" t="s">
        <v>145</v>
      </c>
    </row>
    <row r="6" ht="14.25" customHeight="1" thickBot="1"/>
    <row r="7" spans="2:4" ht="16.5" customHeight="1" thickBot="1">
      <c r="B7" s="84"/>
      <c r="C7" s="85" t="s">
        <v>3</v>
      </c>
      <c r="D7" s="9"/>
    </row>
    <row r="8" spans="1:3" ht="15">
      <c r="A8" s="10">
        <v>1</v>
      </c>
      <c r="B8" s="82" t="s">
        <v>0</v>
      </c>
      <c r="C8" s="46">
        <f>1559/1000</f>
        <v>1.559</v>
      </c>
    </row>
    <row r="9" spans="1:3" ht="15">
      <c r="A9" s="10">
        <v>2</v>
      </c>
      <c r="B9" s="11" t="s">
        <v>8</v>
      </c>
      <c r="C9" s="38">
        <f>217.4805/1000</f>
        <v>0.2174805</v>
      </c>
    </row>
    <row r="10" spans="1:3" ht="15">
      <c r="A10" s="10">
        <v>3</v>
      </c>
      <c r="B10" s="12" t="s">
        <v>2</v>
      </c>
      <c r="C10" s="205">
        <f>C8-C9</f>
        <v>1.3415195</v>
      </c>
    </row>
    <row r="11" spans="1:3" ht="15">
      <c r="A11" s="10">
        <v>6</v>
      </c>
      <c r="B11" s="11" t="s">
        <v>25</v>
      </c>
      <c r="C11" s="38">
        <v>0</v>
      </c>
    </row>
    <row r="12" spans="2:3" ht="15" thickBot="1">
      <c r="B12" s="13" t="s">
        <v>26</v>
      </c>
      <c r="C12" s="39">
        <f>IF(ISNUMBER(C11)=TRUE,C10-C11,C10)</f>
        <v>1.3415195</v>
      </c>
    </row>
    <row r="13" spans="2:3" ht="15">
      <c r="B13" s="14"/>
      <c r="C13" s="15"/>
    </row>
    <row r="14" spans="2:3" ht="15" thickBot="1">
      <c r="B14" s="16"/>
      <c r="C14" s="17"/>
    </row>
    <row r="15" spans="2:14" ht="16.5" customHeight="1">
      <c r="B15" s="389" t="s">
        <v>1</v>
      </c>
      <c r="C15" s="391" t="s">
        <v>3</v>
      </c>
      <c r="D15" s="393" t="s">
        <v>4</v>
      </c>
      <c r="E15" s="395" t="s">
        <v>5</v>
      </c>
      <c r="F15" s="396"/>
      <c r="G15" s="395" t="s">
        <v>6</v>
      </c>
      <c r="H15" s="396"/>
      <c r="I15" s="395" t="s">
        <v>12</v>
      </c>
      <c r="J15" s="396"/>
      <c r="K15" s="387" t="s">
        <v>7</v>
      </c>
      <c r="L15" s="388"/>
      <c r="N15" s="26"/>
    </row>
    <row r="16" spans="2:12" ht="15" thickBot="1">
      <c r="B16" s="390"/>
      <c r="C16" s="392"/>
      <c r="D16" s="394"/>
      <c r="E16" s="79" t="s">
        <v>10</v>
      </c>
      <c r="F16" s="80" t="s">
        <v>11</v>
      </c>
      <c r="G16" s="79" t="s">
        <v>10</v>
      </c>
      <c r="H16" s="80" t="s">
        <v>11</v>
      </c>
      <c r="I16" s="79" t="s">
        <v>10</v>
      </c>
      <c r="J16" s="80" t="s">
        <v>11</v>
      </c>
      <c r="K16" s="79" t="s">
        <v>10</v>
      </c>
      <c r="L16" s="81" t="s">
        <v>11</v>
      </c>
    </row>
    <row r="17" spans="1:14" ht="15">
      <c r="A17" s="10">
        <v>7</v>
      </c>
      <c r="B17" s="74" t="s">
        <v>27</v>
      </c>
      <c r="C17" s="203">
        <v>0</v>
      </c>
      <c r="D17" s="304">
        <v>0</v>
      </c>
      <c r="E17" s="305">
        <v>0</v>
      </c>
      <c r="F17" s="78"/>
      <c r="G17" s="52">
        <v>0</v>
      </c>
      <c r="H17" s="78"/>
      <c r="I17" s="52">
        <v>0</v>
      </c>
      <c r="J17" s="78"/>
      <c r="K17" s="77"/>
      <c r="L17" s="78"/>
      <c r="N17" s="27"/>
    </row>
    <row r="18" spans="1:14" ht="15">
      <c r="A18" s="10">
        <v>8</v>
      </c>
      <c r="B18" s="18" t="s">
        <v>28</v>
      </c>
      <c r="C18" s="75">
        <v>0</v>
      </c>
      <c r="D18" s="304">
        <v>0</v>
      </c>
      <c r="E18" s="305">
        <v>0</v>
      </c>
      <c r="F18" s="150"/>
      <c r="G18" s="52">
        <v>0</v>
      </c>
      <c r="H18" s="150"/>
      <c r="I18" s="52">
        <v>0</v>
      </c>
      <c r="J18" s="21"/>
      <c r="K18" s="20"/>
      <c r="L18" s="21"/>
      <c r="N18" s="27"/>
    </row>
    <row r="19" spans="1:14" ht="15">
      <c r="A19" s="10">
        <v>10</v>
      </c>
      <c r="B19" s="18" t="s">
        <v>29</v>
      </c>
      <c r="C19" s="75">
        <v>0</v>
      </c>
      <c r="D19" s="304">
        <v>0</v>
      </c>
      <c r="E19" s="305">
        <v>0</v>
      </c>
      <c r="F19" s="150"/>
      <c r="G19" s="52">
        <v>0</v>
      </c>
      <c r="H19" s="150"/>
      <c r="I19" s="52">
        <v>0</v>
      </c>
      <c r="J19" s="21"/>
      <c r="K19" s="20"/>
      <c r="L19" s="21"/>
      <c r="N19" s="27"/>
    </row>
    <row r="20" spans="1:14" ht="15">
      <c r="A20" s="10">
        <v>11</v>
      </c>
      <c r="B20" s="18" t="s">
        <v>30</v>
      </c>
      <c r="C20" s="202">
        <f>1032.222790892/1000</f>
        <v>1.0322227908919999</v>
      </c>
      <c r="D20" s="223">
        <f>2432.68104905861/1000</f>
        <v>2.4326810490586097</v>
      </c>
      <c r="E20" s="52">
        <f>C20*D20</f>
        <v>2.511068821809356</v>
      </c>
      <c r="F20" s="150"/>
      <c r="G20" s="52">
        <v>0</v>
      </c>
      <c r="H20" s="150"/>
      <c r="I20" s="52">
        <v>0</v>
      </c>
      <c r="J20" s="21"/>
      <c r="K20" s="20"/>
      <c r="L20" s="21"/>
      <c r="N20" s="27"/>
    </row>
    <row r="21" spans="1:14" ht="15">
      <c r="A21" s="10" t="s">
        <v>31</v>
      </c>
      <c r="B21" s="18" t="s">
        <v>32</v>
      </c>
      <c r="C21" s="75">
        <v>0</v>
      </c>
      <c r="D21" s="304">
        <v>0</v>
      </c>
      <c r="E21" s="305">
        <f aca="true" t="shared" si="0" ref="E21">C21*D21/100</f>
        <v>0</v>
      </c>
      <c r="F21" s="150"/>
      <c r="G21" s="52">
        <v>0</v>
      </c>
      <c r="H21" s="150"/>
      <c r="I21" s="52">
        <v>0</v>
      </c>
      <c r="J21" s="21"/>
      <c r="K21" s="20"/>
      <c r="L21" s="21"/>
      <c r="N21" s="27"/>
    </row>
    <row r="22" spans="1:14" ht="15">
      <c r="A22" s="10" t="s">
        <v>33</v>
      </c>
      <c r="B22" s="18" t="s">
        <v>34</v>
      </c>
      <c r="C22" s="56">
        <f>309.296709108001/1000</f>
        <v>0.309296709108001</v>
      </c>
      <c r="D22" s="224">
        <f>2432.68104905861/1000</f>
        <v>2.4326810490586097</v>
      </c>
      <c r="E22" s="52">
        <f>C22*D22</f>
        <v>0.7524202427832275</v>
      </c>
      <c r="F22" s="150"/>
      <c r="G22" s="52">
        <v>0</v>
      </c>
      <c r="H22" s="150"/>
      <c r="I22" s="52">
        <v>0</v>
      </c>
      <c r="J22" s="21"/>
      <c r="K22" s="20"/>
      <c r="L22" s="21"/>
      <c r="N22" s="27"/>
    </row>
    <row r="23" spans="1:14" ht="15">
      <c r="A23" s="10" t="s">
        <v>35</v>
      </c>
      <c r="B23" s="18" t="s">
        <v>36</v>
      </c>
      <c r="C23" s="75">
        <v>0</v>
      </c>
      <c r="D23" s="304">
        <v>0</v>
      </c>
      <c r="E23" s="305">
        <v>0</v>
      </c>
      <c r="F23" s="150"/>
      <c r="G23" s="52">
        <v>0</v>
      </c>
      <c r="H23" s="150"/>
      <c r="I23" s="52">
        <v>0</v>
      </c>
      <c r="J23" s="21"/>
      <c r="K23" s="20"/>
      <c r="L23" s="21"/>
      <c r="N23" s="27"/>
    </row>
    <row r="24" spans="1:14" ht="15">
      <c r="A24" s="10">
        <v>13</v>
      </c>
      <c r="B24" s="18" t="s">
        <v>37</v>
      </c>
      <c r="C24" s="148">
        <v>0</v>
      </c>
      <c r="D24" s="29">
        <v>0</v>
      </c>
      <c r="E24" s="305">
        <f>C24*D24</f>
        <v>0</v>
      </c>
      <c r="F24" s="150"/>
      <c r="G24" s="52">
        <v>0</v>
      </c>
      <c r="H24" s="150"/>
      <c r="I24" s="52">
        <v>0</v>
      </c>
      <c r="J24" s="21"/>
      <c r="K24" s="20"/>
      <c r="L24" s="21"/>
      <c r="N24" s="27"/>
    </row>
    <row r="25" spans="1:14" ht="15" thickBot="1">
      <c r="A25" s="10">
        <v>16</v>
      </c>
      <c r="B25" s="18" t="s">
        <v>21</v>
      </c>
      <c r="C25" s="204">
        <v>0</v>
      </c>
      <c r="D25" s="304">
        <v>0</v>
      </c>
      <c r="E25" s="305">
        <v>0</v>
      </c>
      <c r="F25" s="150"/>
      <c r="G25" s="52">
        <v>0</v>
      </c>
      <c r="H25" s="150"/>
      <c r="I25" s="52">
        <v>0</v>
      </c>
      <c r="J25" s="21"/>
      <c r="K25" s="20"/>
      <c r="L25" s="21"/>
      <c r="N25" s="27"/>
    </row>
    <row r="26" spans="1:12" ht="15" thickBot="1">
      <c r="A26" s="10">
        <v>17</v>
      </c>
      <c r="B26" s="22" t="s">
        <v>9</v>
      </c>
      <c r="C26" s="43">
        <f>SUM(C17:C25)</f>
        <v>1.3415195000000009</v>
      </c>
      <c r="D26" s="23"/>
      <c r="E26" s="24">
        <f>SUM(E17:E25)</f>
        <v>3.2634890645925836</v>
      </c>
      <c r="F26" s="24">
        <f>E26/C31</f>
        <v>3.204820092047063</v>
      </c>
      <c r="G26" s="24">
        <v>0</v>
      </c>
      <c r="H26" s="24">
        <v>0</v>
      </c>
      <c r="I26" s="24">
        <v>0</v>
      </c>
      <c r="J26" s="24">
        <v>0</v>
      </c>
      <c r="K26" s="24">
        <f>E26+G26-I26</f>
        <v>3.2634890645925836</v>
      </c>
      <c r="L26" s="25">
        <f>F26+H26-J26</f>
        <v>3.204820092047063</v>
      </c>
    </row>
    <row r="27" spans="3:12" ht="15">
      <c r="C27" s="14"/>
      <c r="E27" s="14"/>
      <c r="F27" s="14"/>
      <c r="G27" s="14"/>
      <c r="H27" s="14"/>
      <c r="I27" s="14"/>
      <c r="J27" s="14"/>
      <c r="K27" s="14"/>
      <c r="L27" s="14"/>
    </row>
    <row r="28" ht="15">
      <c r="B28" s="26"/>
    </row>
    <row r="29" ht="15" thickBot="1"/>
    <row r="30" spans="2:3" ht="15" thickBot="1">
      <c r="B30" s="84"/>
      <c r="C30" s="87">
        <v>2020</v>
      </c>
    </row>
    <row r="31" spans="2:3" ht="15">
      <c r="B31" s="112" t="s">
        <v>146</v>
      </c>
      <c r="C31" s="219">
        <f>101.830647925951/100</f>
        <v>1.01830647925951</v>
      </c>
    </row>
    <row r="32" spans="2:3" ht="15" thickBot="1">
      <c r="B32" s="113" t="s">
        <v>147</v>
      </c>
      <c r="C32" s="220">
        <f>32.3533257102063/100</f>
        <v>0.323533257102063</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Jordbruksverket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ESTAT EAP</dc:creator>
  <cp:keywords/>
  <dc:description/>
  <cp:lastModifiedBy>Pille Veidenberg</cp:lastModifiedBy>
  <cp:lastPrinted>2016-09-08T14:26:34Z</cp:lastPrinted>
  <dcterms:created xsi:type="dcterms:W3CDTF">2016-01-21T15:35:08Z</dcterms:created>
  <dcterms:modified xsi:type="dcterms:W3CDTF">2024-03-01T14:29:27Z</dcterms:modified>
  <cp:category/>
  <cp:version/>
  <cp:contentType/>
  <cp:contentStatus/>
</cp:coreProperties>
</file>