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bookViews>
    <workbookView xWindow="0" yWindow="240" windowWidth="19185" windowHeight="6495" tabRatio="599" activeTab="0"/>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54" r:id="rId16"/>
    <sheet name="Pigs" sheetId="55" r:id="rId17"/>
    <sheet name="Poultry" sheetId="58" r:id="rId18"/>
    <sheet name="Sheep and goats" sheetId="60" r:id="rId19"/>
    <sheet name="Other animals " sheetId="59" r:id="rId20"/>
    <sheet name="Milk" sheetId="56" r:id="rId21"/>
    <sheet name="Eggs" sheetId="57" r:id="rId22"/>
    <sheet name="Other animal products" sheetId="28" r:id="rId23"/>
    <sheet name="Agricultural Services" sheetId="29" r:id="rId24"/>
    <sheet name="Non-agricultural activities" sheetId="30" r:id="rId25"/>
    <sheet name="IM_Seeds and planting stocks" sheetId="31" r:id="rId26"/>
    <sheet name="IM_Energy and lubcricants" sheetId="32" r:id="rId27"/>
    <sheet name="IM_Fertilisers" sheetId="33" r:id="rId28"/>
    <sheet name="IM_Plant protection products" sheetId="34" r:id="rId29"/>
    <sheet name="IM_Veterinary expenses" sheetId="35"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transfers'!$A$1:$C$12</definedName>
    <definedName name="_xlnm.Print_Area" localSheetId="40">'Interest payable'!$A$1:$K$12</definedName>
    <definedName name="_xlnm.Print_Area" localSheetId="37">'Other taxes on production'!$A$1:$E$37</definedName>
  </definedNames>
  <calcPr calcId="162913"/>
</workbook>
</file>

<file path=xl/comments26.xml><?xml version="1.0" encoding="utf-8"?>
<comments xmlns="http://schemas.openxmlformats.org/spreadsheetml/2006/main">
  <authors>
    <author>MAYER Christina</author>
  </authors>
  <commentList>
    <comment ref="B9" authorId="0">
      <text>
        <r>
          <rPr>
            <b/>
            <sz val="9"/>
            <rFont val="Tahoma"/>
            <family val="2"/>
          </rPr>
          <t>MAYER Christina:</t>
        </r>
        <r>
          <rPr>
            <sz val="9"/>
            <rFont val="Tahoma"/>
            <family val="2"/>
          </rPr>
          <t xml:space="preserve">
exclusive internal production</t>
        </r>
      </text>
    </comment>
  </commentList>
</comments>
</file>

<file path=xl/comments3.xml><?xml version="1.0" encoding="utf-8"?>
<comments xmlns="http://schemas.openxmlformats.org/spreadsheetml/2006/main">
  <authors>
    <author>MAYER Christina</author>
  </authors>
  <commentList>
    <comment ref="B38" authorId="0">
      <text>
        <r>
          <rPr>
            <sz val="9"/>
            <rFont val="Tahoma"/>
            <family val="2"/>
          </rPr>
          <t>refering to output at producer prices</t>
        </r>
      </text>
    </comment>
    <comment ref="B40" authorId="0">
      <text>
        <r>
          <rPr>
            <sz val="9"/>
            <rFont val="Tahoma"/>
            <family val="2"/>
          </rPr>
          <t>refering to output at producer prices</t>
        </r>
      </text>
    </comment>
  </commentList>
</comments>
</file>

<file path=xl/comments38.xml><?xml version="1.0" encoding="utf-8"?>
<comments xmlns="http://schemas.openxmlformats.org/spreadsheetml/2006/main">
  <authors>
    <author>MAYER Christina</author>
  </authors>
  <commentList>
    <comment ref="C37" authorId="0">
      <text>
        <r>
          <rPr>
            <sz val="9"/>
            <rFont val="Tahoma"/>
            <family val="2"/>
          </rPr>
          <t>according to EAA output calculations</t>
        </r>
      </text>
    </comment>
    <comment ref="D37" authorId="0">
      <text>
        <r>
          <rPr>
            <sz val="9"/>
            <rFont val="Tahoma"/>
            <family val="2"/>
          </rPr>
          <t>according to calculations based on the latest available Turnover Tax Statistics</t>
        </r>
      </text>
    </comment>
    <comment ref="C38" authorId="0">
      <text>
        <r>
          <rPr>
            <sz val="9"/>
            <rFont val="Tahoma"/>
            <family val="2"/>
          </rPr>
          <t>according to calculations based on EAA data</t>
        </r>
      </text>
    </comment>
    <comment ref="D38" authorId="0">
      <text>
        <r>
          <rPr>
            <sz val="9"/>
            <rFont val="Tahoma"/>
            <family val="2"/>
          </rPr>
          <t>according to calculations based on the latest available Turnover Tax Statistics</t>
        </r>
      </text>
    </comment>
    <comment ref="E38" authorId="0">
      <text>
        <r>
          <rPr>
            <sz val="9"/>
            <rFont val="Tahoma"/>
            <family val="2"/>
          </rPr>
          <t>notional amount of input tax which flat-rate farmers would have deducted if they had been covered by normal arrangements</t>
        </r>
      </text>
    </comment>
    <comment ref="C39" authorId="0">
      <text>
        <r>
          <rPr>
            <sz val="9"/>
            <rFont val="Tahoma"/>
            <family val="2"/>
          </rPr>
          <t>according to EAA output calculations</t>
        </r>
      </text>
    </comment>
    <comment ref="D39" authorId="0">
      <text>
        <r>
          <rPr>
            <sz val="9"/>
            <rFont val="Tahoma"/>
            <family val="2"/>
          </rPr>
          <t>according to calculations based on the latest available Turnover Tax Statistics</t>
        </r>
      </text>
    </comment>
    <comment ref="C40" authorId="0">
      <text>
        <r>
          <rPr>
            <sz val="9"/>
            <rFont val="Tahoma"/>
            <family val="2"/>
          </rPr>
          <t>assumption: 12% of turnover</t>
        </r>
      </text>
    </comment>
    <comment ref="D40" authorId="0">
      <text>
        <r>
          <rPr>
            <sz val="9"/>
            <rFont val="Tahoma"/>
            <family val="2"/>
          </rPr>
          <t>assumption: 12% of turnover</t>
        </r>
      </text>
    </comment>
  </commentList>
</comments>
</file>

<file path=xl/comments44.xml><?xml version="1.0" encoding="utf-8"?>
<comments xmlns="http://schemas.openxmlformats.org/spreadsheetml/2006/main">
  <authors>
    <author>MAYER Christina</author>
  </authors>
  <commentList>
    <comment ref="B14" authorId="0">
      <text>
        <r>
          <rPr>
            <sz val="9"/>
            <rFont val="Tahoma"/>
            <family val="2"/>
          </rPr>
          <t>Marketed production according to Short term statistics in industry and construction (results of the primary survey) + supplement for small and micro enterprises</t>
        </r>
      </text>
    </comment>
    <comment ref="B15" authorId="0">
      <text>
        <r>
          <rPr>
            <sz val="9"/>
            <rFont val="Tahoma"/>
            <family val="2"/>
          </rPr>
          <t>exports according to Foreign Trade Statistics adjusted for transport costs</t>
        </r>
      </text>
    </comment>
    <comment ref="B16" authorId="0">
      <text>
        <r>
          <rPr>
            <sz val="9"/>
            <rFont val="Tahoma"/>
            <family val="2"/>
          </rPr>
          <t xml:space="preserve">imports according to Foreign Trade Statistics </t>
        </r>
      </text>
    </comment>
    <comment ref="B31" authorId="0">
      <text>
        <r>
          <rPr>
            <sz val="9"/>
            <rFont val="Tahoma"/>
            <family val="2"/>
          </rPr>
          <t>Marketed production according to Short term statistics in industry and construction (results of the primary survey) + supplement for small and micro enterprises</t>
        </r>
      </text>
    </comment>
    <comment ref="B32" authorId="0">
      <text>
        <r>
          <rPr>
            <sz val="9"/>
            <rFont val="Tahoma"/>
            <family val="2"/>
          </rPr>
          <t>exports according to Foreign Trade Statistics adjusted for transport costs</t>
        </r>
      </text>
    </comment>
    <comment ref="B33" authorId="0">
      <text>
        <r>
          <rPr>
            <sz val="9"/>
            <rFont val="Tahoma"/>
            <family val="2"/>
          </rPr>
          <t xml:space="preserve">imports according to Foreign Trade Statistics </t>
        </r>
      </text>
    </comment>
  </commentList>
</comments>
</file>

<file path=xl/comments46.xml><?xml version="1.0" encoding="utf-8"?>
<comments xmlns="http://schemas.openxmlformats.org/spreadsheetml/2006/main">
  <authors>
    <author>MAYER Christina</author>
  </authors>
  <commentList>
    <comment ref="C19" authorId="0">
      <text>
        <r>
          <rPr>
            <sz val="9"/>
            <rFont val="Tahoma"/>
            <family val="2"/>
          </rPr>
          <t>extrapolation of FADN values</t>
        </r>
      </text>
    </comment>
    <comment ref="C20" authorId="0">
      <text>
        <r>
          <rPr>
            <sz val="9"/>
            <rFont val="Tahoma"/>
            <family val="2"/>
          </rPr>
          <t>extrapolation of FADN values</t>
        </r>
      </text>
    </comment>
  </commentList>
</comments>
</file>

<file path=xl/sharedStrings.xml><?xml version="1.0" encoding="utf-8"?>
<sst xmlns="http://schemas.openxmlformats.org/spreadsheetml/2006/main" count="1767" uniqueCount="688">
  <si>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</si>
  <si>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</si>
  <si>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</si>
  <si>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</si>
  <si>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</si>
  <si>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</si>
  <si>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</si>
  <si>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</si>
  <si>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</si>
  <si>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</si>
  <si>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</si>
  <si>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</si>
  <si>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</si>
  <si>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</si>
  <si>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</si>
  <si>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</si>
  <si>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</si>
  <si>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</si>
  <si>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</si>
  <si>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</si>
  <si>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Cereals</t>
  </si>
  <si>
    <t>Potatoes</t>
  </si>
  <si>
    <t>Wine</t>
  </si>
  <si>
    <t>Other taxes on production</t>
  </si>
  <si>
    <t>Other subsidies on production</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</si>
  <si>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</si>
  <si>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</si>
  <si>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</si>
  <si>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</si>
  <si>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</si>
  <si>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</si>
  <si>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</si>
  <si>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</si>
  <si>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</si>
  <si>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</si>
  <si>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</si>
  <si>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</si>
  <si>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</si>
  <si>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</si>
  <si>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</si>
  <si>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</si>
  <si>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</si>
  <si>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</si>
  <si>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(NC 02130)</t>
  </si>
  <si>
    <t>Numerical example - Protein crops (including seeds)</t>
  </si>
  <si>
    <t>(NC 02210)</t>
  </si>
  <si>
    <t>Numerical example - Sugar beet (including seeds)</t>
  </si>
  <si>
    <t>(NC 02400)</t>
  </si>
  <si>
    <t>Numerical example - Other industrial crops</t>
  </si>
  <si>
    <t>(NC 02920)</t>
  </si>
  <si>
    <t>Numerical example - Forage plants</t>
  </si>
  <si>
    <t>Numerical example - Fresh vegetables</t>
  </si>
  <si>
    <t>(NC 04122)</t>
  </si>
  <si>
    <t>Numerical example - Nursery plants, ornamental plants and flowers (including Christmas trees)</t>
  </si>
  <si>
    <t>Production in 1 000 pieces</t>
  </si>
  <si>
    <t>Numerical example - Plantations</t>
  </si>
  <si>
    <t>Area in hectares</t>
  </si>
  <si>
    <t>(NC 0423100)</t>
  </si>
  <si>
    <t>Numerical example - Potatoes (including seeds)</t>
  </si>
  <si>
    <t>(NC 05000)</t>
  </si>
  <si>
    <t>Numerical example - Fruits</t>
  </si>
  <si>
    <t>(NC 0619210)</t>
  </si>
  <si>
    <t>Numerical example - Wine</t>
  </si>
  <si>
    <t>(NC 07000)</t>
  </si>
  <si>
    <t>Production in 1000 l</t>
  </si>
  <si>
    <t>Numerical example - Seeds</t>
  </si>
  <si>
    <t>(NC 0921070)</t>
  </si>
  <si>
    <t>Production in tons</t>
  </si>
  <si>
    <t>Gross indigenous production</t>
  </si>
  <si>
    <t>Culling discount</t>
  </si>
  <si>
    <t>Numerical example - Pigs</t>
  </si>
  <si>
    <t>Numerical example - Milk</t>
  </si>
  <si>
    <t>Numerical example - Equines, other animals</t>
  </si>
  <si>
    <t>(NC 11912)</t>
  </si>
  <si>
    <t>Production in 1 000 tons dead weight</t>
  </si>
  <si>
    <t>Intra-unit consumption: Seeds</t>
  </si>
  <si>
    <t>Numerical example - Eggs</t>
  </si>
  <si>
    <t>Numerical example - Other animal products</t>
  </si>
  <si>
    <t>Numerical example - Agricultural services output</t>
  </si>
  <si>
    <t>(NC 15100)</t>
  </si>
  <si>
    <t>Numerical example - Non-agricultural secondary activities (inseparable)</t>
  </si>
  <si>
    <t>(NC 17900)</t>
  </si>
  <si>
    <t>Revenues from direct marketing of untreated, unprocessed primary products</t>
  </si>
  <si>
    <t>Revenues from the direct marketing of treated or processed primary products</t>
  </si>
  <si>
    <t>Revenues from Buschenschank and small Heurige taverns</t>
  </si>
  <si>
    <t>Revenues from secondary agricultural activities</t>
  </si>
  <si>
    <t>Revenues from tourist-accomodation services</t>
  </si>
  <si>
    <t>Average revenue per hectare of reduced agricultural area</t>
  </si>
  <si>
    <t>in hectares</t>
  </si>
  <si>
    <t>Value</t>
  </si>
  <si>
    <t>Numerical example - Seeds and planting stock (intermediate consumption)</t>
  </si>
  <si>
    <t>Operating expenditure on seeds</t>
  </si>
  <si>
    <t>Operating expenditure on horticultural planting stock</t>
  </si>
  <si>
    <t>Operating expenditure on planting stock for viticulture</t>
  </si>
  <si>
    <t>Operating expenditure on planting stock for fruit-growing</t>
  </si>
  <si>
    <t>19010 Seeds and planting stock (intermediate consumption)</t>
  </si>
  <si>
    <t>19011 Seeds and planting stock supplied by other agricultural holdings</t>
  </si>
  <si>
    <t>19012 Seeds and planting stock purchased from outside the agricultural ‘industry’</t>
  </si>
  <si>
    <t>(NC 19010)</t>
  </si>
  <si>
    <t>:</t>
  </si>
  <si>
    <t>Numerical example - Energy, lubricants</t>
  </si>
  <si>
    <t>(NC 19020)</t>
  </si>
  <si>
    <t>19020 Energy, lubricants</t>
  </si>
  <si>
    <t>19021 Electricity</t>
  </si>
  <si>
    <t>19022 Gas</t>
  </si>
  <si>
    <t>Price index</t>
  </si>
  <si>
    <t>Volume Index</t>
  </si>
  <si>
    <t>19023 Other fuels and propellants</t>
  </si>
  <si>
    <t>19029 Other</t>
  </si>
  <si>
    <t xml:space="preserve">Petrol and two-stroke fuel                   </t>
  </si>
  <si>
    <t xml:space="preserve">Diesel oil                               </t>
  </si>
  <si>
    <t xml:space="preserve">Motor fuels for passenger cars                    </t>
  </si>
  <si>
    <t xml:space="preserve">Fuel oil                                     </t>
  </si>
  <si>
    <t>Biofuels</t>
  </si>
  <si>
    <t>Extrapolated value</t>
  </si>
  <si>
    <t>Expenditure on electricity</t>
  </si>
  <si>
    <t>Gas and combustibles</t>
  </si>
  <si>
    <t>Share of small-scale forests</t>
  </si>
  <si>
    <t>in %</t>
  </si>
  <si>
    <t>Adjusted value</t>
  </si>
  <si>
    <t>Numerical example - Fertilisers and soil improvers</t>
  </si>
  <si>
    <t>(NC 19030)</t>
  </si>
  <si>
    <t>19030 Fertilisers and soil improvers</t>
  </si>
  <si>
    <t>19031 Fertilisers supplied by other agricultural holdings</t>
  </si>
  <si>
    <t>19032 Fertilisers purchased from outside the agricultural industry</t>
  </si>
  <si>
    <t>Fertilisers</t>
  </si>
  <si>
    <t>Numerical example - Plant protection products, herbicides, insecticides and pesticides</t>
  </si>
  <si>
    <t>(NC 19040)</t>
  </si>
  <si>
    <t>19040 Plant protection products, herbicides, insecticides and pesticides</t>
  </si>
  <si>
    <t>Domestic turnover</t>
  </si>
  <si>
    <t>Flat-rate percentage for the profit margin</t>
  </si>
  <si>
    <t>Average operating expenditure per hectare of reduced agricultural area</t>
  </si>
  <si>
    <t>Average expenditure per hectare of reduced agricultural area</t>
  </si>
  <si>
    <t>Numerical example - Veterinary expenses</t>
  </si>
  <si>
    <t>(NC 19050)</t>
  </si>
  <si>
    <t>19050 Veterinary expenses</t>
  </si>
  <si>
    <t>Animal health (veterinarian, medicines, etc.)</t>
  </si>
  <si>
    <t>Numerical example - Feedingstuffs (intermediate consumption)</t>
  </si>
  <si>
    <t>19062 Feedingstuffs purchased from outside the agricultural industry</t>
  </si>
  <si>
    <t>Purchases from other agricultural holdings</t>
  </si>
  <si>
    <t>Concentrated feedingstuffs for roughage eaters</t>
  </si>
  <si>
    <t xml:space="preserve">Concentrated feedingstuffs for pigs               </t>
  </si>
  <si>
    <t xml:space="preserve">Concentrated feedingstuffs for other animals          </t>
  </si>
  <si>
    <t>Numerical example - Maintenance of materials</t>
  </si>
  <si>
    <t>(NC 19070)</t>
  </si>
  <si>
    <t>19070 Maintenance of materials</t>
  </si>
  <si>
    <t>Maintenance of machinery and equipment</t>
  </si>
  <si>
    <t>Maintenance of passenger cars (share assignable to business expenditure)</t>
  </si>
  <si>
    <t>Numerical example - Maintenance of buildings</t>
  </si>
  <si>
    <t>19080 Maintenance of buildings</t>
  </si>
  <si>
    <t>Maintenance of farm buildings (for business use)</t>
  </si>
  <si>
    <t>Numerical example - Agricultural services</t>
  </si>
  <si>
    <t>(NC 19090)</t>
  </si>
  <si>
    <t>19090 Agricultural Services</t>
  </si>
  <si>
    <t>19090 Agricultural services</t>
  </si>
  <si>
    <t>Transport and machinery services</t>
  </si>
  <si>
    <t>Agricultural expenses included in the FADN item ‘transport and machinery services’ which do not constitute agricultural services according to EAA definitions</t>
  </si>
  <si>
    <t>Adjustments</t>
  </si>
  <si>
    <t>Numerical example - Financial Intermediation Services Indirectly Measured (FISIM)</t>
  </si>
  <si>
    <t>(NC 19095)</t>
  </si>
  <si>
    <t>19095 FISIM</t>
  </si>
  <si>
    <t>Numerical example - Other goods and services</t>
  </si>
  <si>
    <t>(NC 19900)</t>
  </si>
  <si>
    <t>1995111 Other expenditure on crop cultivation</t>
  </si>
  <si>
    <t>1990000 Other goods and services</t>
  </si>
  <si>
    <t>1991000 Low-value assets</t>
  </si>
  <si>
    <t>1992100 General administrative expenditure</t>
  </si>
  <si>
    <t>1992200 Telecommunications costs</t>
  </si>
  <si>
    <t>1992300 Membership fees, inspection control fees</t>
  </si>
  <si>
    <t>1993000 Service charges for insurances</t>
  </si>
  <si>
    <t>1994100 Consumables</t>
  </si>
  <si>
    <t>1994200 Uncollectible receivables</t>
  </si>
  <si>
    <t>1994300 Slaughter fees</t>
  </si>
  <si>
    <t>1999900 Others</t>
  </si>
  <si>
    <t>1995112 Expenditure on viticulture</t>
  </si>
  <si>
    <t>1995120 Supplement for horticulture</t>
  </si>
  <si>
    <t>1995130 Maintenance of land improvements</t>
  </si>
  <si>
    <t>1995210 Costs arising from exchanges of breeding and productive animals between farms</t>
  </si>
  <si>
    <t>1995230 Insemination</t>
  </si>
  <si>
    <t>1995240 Other expenditure for livestock farming</t>
  </si>
  <si>
    <t>1995311 Low-value assets for tourist accommodation services</t>
  </si>
  <si>
    <t>1995220 Leasing of milk quotas</t>
  </si>
  <si>
    <t>1995312 Current expenditure for tourist accommodation services</t>
  </si>
  <si>
    <t>1995313 Food for tourist accommodation services</t>
  </si>
  <si>
    <t>1995314 Preparation of meals for tourist accommodation services</t>
  </si>
  <si>
    <t>1995324 Expenditure for direct marketing</t>
  </si>
  <si>
    <t>1995325 Marketing and advertising costs</t>
  </si>
  <si>
    <t>1995331 Low-value assets for secondary agricultural activities</t>
  </si>
  <si>
    <t>1995332 Current expenditure for secondary agricultural activities</t>
  </si>
  <si>
    <t>1997100 Water</t>
  </si>
  <si>
    <t>1997200 Waste disposal</t>
  </si>
  <si>
    <t>1998000 Other services</t>
  </si>
  <si>
    <t>1999100 Rental payments for non-residential buildings, road charges</t>
  </si>
  <si>
    <t>(NC 23000)</t>
  </si>
  <si>
    <t>Components</t>
  </si>
  <si>
    <t>Numerical example - Compensation of Employees</t>
  </si>
  <si>
    <t>Compensation of employees</t>
  </si>
  <si>
    <t>Numerical example - Other taxes on production</t>
  </si>
  <si>
    <t>(NC 24000)</t>
  </si>
  <si>
    <t>Under-compensation of VAT (flat rate system)</t>
  </si>
  <si>
    <t>Land tax</t>
  </si>
  <si>
    <t>Land tax surcharges</t>
  </si>
  <si>
    <t>Charge from agricultural and forestry holdings</t>
  </si>
  <si>
    <t>Contribution of agricultural and forestry holdings to the equalisation fund for family allowances</t>
  </si>
  <si>
    <t>Membership fees payable to the Chambers of Agriculture</t>
  </si>
  <si>
    <t>Tax on production for sugar beet (proportion allocated to farmers)</t>
  </si>
  <si>
    <t xml:space="preserve">Employers contributions to the equalisation fund for family allowances </t>
  </si>
  <si>
    <t>Motor vehicles tax (business share)</t>
  </si>
  <si>
    <t>Engine-related insurance tax</t>
  </si>
  <si>
    <t>Communal tax (Tax on sum of wages)</t>
  </si>
  <si>
    <t>Numerical example - Under-compensation of VAT</t>
  </si>
  <si>
    <t>(NC 24100)</t>
  </si>
  <si>
    <t xml:space="preserve">Input tax </t>
  </si>
  <si>
    <t>Own consumption</t>
  </si>
  <si>
    <t>Undercompensation of VAT</t>
  </si>
  <si>
    <t>Agriculture as a whole</t>
  </si>
  <si>
    <t>thereof farmers covered by normal VAT arrangements</t>
  </si>
  <si>
    <t>Turnover (deliveries and own consumption)</t>
  </si>
  <si>
    <t>Flat-rate compensation percentage</t>
  </si>
  <si>
    <t>Direct sales to final consumers</t>
  </si>
  <si>
    <t>thereof flat-rate farmers</t>
  </si>
  <si>
    <t>Percentage of the input VAT charge</t>
  </si>
  <si>
    <t>Numerical example - Other subsidies on production</t>
  </si>
  <si>
    <t>(NC 25000)</t>
  </si>
  <si>
    <t>Other environmental measures</t>
  </si>
  <si>
    <t>Energy from biomass</t>
  </si>
  <si>
    <t>Premiums for alpine farming</t>
  </si>
  <si>
    <t>Payments for areas with natural constraints</t>
  </si>
  <si>
    <t>Single farm payment</t>
  </si>
  <si>
    <t>Quality enhancement</t>
  </si>
  <si>
    <t>Compensation for damage due to natural hazards</t>
  </si>
  <si>
    <t>Compansatory payments for livestock diseases</t>
  </si>
  <si>
    <t>Others</t>
  </si>
  <si>
    <t>Numerical example - Rents and other real estate rental charges to be paid</t>
  </si>
  <si>
    <t>(NC 28000)</t>
  </si>
  <si>
    <t>Rental payments for agricultural land</t>
  </si>
  <si>
    <t>28000 Rents and other real estate rental charges to be paid</t>
  </si>
  <si>
    <t>Interest-rate subsidies</t>
  </si>
  <si>
    <t>(NC 29000)</t>
  </si>
  <si>
    <t>Discount for aquaculture</t>
  </si>
  <si>
    <t>FISIM on loans</t>
  </si>
  <si>
    <t>Actual interest paid</t>
  </si>
  <si>
    <t>(NC 30000)</t>
  </si>
  <si>
    <t>FISIM on deposits</t>
  </si>
  <si>
    <t>Actual interest received</t>
  </si>
  <si>
    <t>Interest received
(value adjusted for FISIM)</t>
  </si>
  <si>
    <t>Numerical examples - GFCF in agricultural products</t>
  </si>
  <si>
    <t>(NC 32200)</t>
  </si>
  <si>
    <t>Cows</t>
  </si>
  <si>
    <t>Breeding sows</t>
  </si>
  <si>
    <t>Fixed asset livestock</t>
  </si>
  <si>
    <t>Difference</t>
  </si>
  <si>
    <t>Price of fixed asset animal</t>
  </si>
  <si>
    <t>Price of cull animal</t>
  </si>
  <si>
    <t>Change in livestock population*)</t>
  </si>
  <si>
    <t>Quantities in 1 000 tons live weight</t>
  </si>
  <si>
    <t>*) Final stocks - initial stocks</t>
  </si>
  <si>
    <t>Numerical examples - GFCF in non-agricultural products</t>
  </si>
  <si>
    <t>(NC 33100)</t>
  </si>
  <si>
    <t>GFCF in transport equipment</t>
  </si>
  <si>
    <t>GFCF in materials</t>
  </si>
  <si>
    <t>Share of forestry</t>
  </si>
  <si>
    <t>Agriculture</t>
  </si>
  <si>
    <t>Agriculture and forestry</t>
  </si>
  <si>
    <t>Calculations for agriculture and forestry together</t>
  </si>
  <si>
    <t>Supplement for trade margins and freight (%)</t>
  </si>
  <si>
    <t>Supplement for major repairs and trade margins for used machines (%)</t>
  </si>
  <si>
    <t>New registrations (numbers)</t>
  </si>
  <si>
    <t>Share for business use</t>
  </si>
  <si>
    <t>Registrations of used vehicles (numbers)</t>
  </si>
  <si>
    <t>Deregistrations (numbers)</t>
  </si>
  <si>
    <t>Share of sales in deregistrations (%)</t>
  </si>
  <si>
    <t>Sales of used cars (numbers)</t>
  </si>
  <si>
    <t>1. Materials</t>
  </si>
  <si>
    <t>1.1 Machines and other equipment</t>
  </si>
  <si>
    <t>1.1.1 Typical agricultural and forestry machines and equipment</t>
  </si>
  <si>
    <t>1.1.2 Other machines and equipment used in agriculture and forestry</t>
  </si>
  <si>
    <t>1.2 Transport equipment</t>
  </si>
  <si>
    <t>1.2.1 Tractors and traction engines</t>
  </si>
  <si>
    <t>1.2.2 Trailers</t>
  </si>
  <si>
    <t>1.2.3 Passenger cars</t>
  </si>
  <si>
    <t>1.2.4 Lorries</t>
  </si>
  <si>
    <t>(NC 33200)</t>
  </si>
  <si>
    <t>Average value per hectare of reduced agricultural area</t>
  </si>
  <si>
    <t>Extrapolated values</t>
  </si>
  <si>
    <t>Investments in non-residential farm buildings</t>
  </si>
  <si>
    <t>Investments in land improvements</t>
  </si>
  <si>
    <t>Investments in secondary agricultural activities</t>
  </si>
  <si>
    <t>Investments in tourist-accommodation services</t>
  </si>
  <si>
    <t>Cash expenses</t>
  </si>
  <si>
    <t>Expenses in kind</t>
  </si>
  <si>
    <t>Adjustment for disproportionate high investment rate of FADN holdings</t>
  </si>
  <si>
    <t>GFCF Agriculture</t>
  </si>
  <si>
    <t>(NC 21100)</t>
  </si>
  <si>
    <t>Numerical examples - Consumption of fixed capital (CFC)</t>
  </si>
  <si>
    <t>Geometric depreciation rate</t>
  </si>
  <si>
    <t>33200 GFCF in buildings (in current prices)</t>
  </si>
  <si>
    <t xml:space="preserve">GFCF
</t>
  </si>
  <si>
    <t>(NC36000)</t>
  </si>
  <si>
    <t>Changes in output stocks</t>
  </si>
  <si>
    <t>Vegetables</t>
  </si>
  <si>
    <t>Fruit</t>
  </si>
  <si>
    <t>Livestock considered to be stocks</t>
  </si>
  <si>
    <t>Changes in input stocks</t>
  </si>
  <si>
    <t>Initial Stocks (current prices)</t>
  </si>
  <si>
    <t>Final Stocks (current prices)</t>
  </si>
  <si>
    <t>Numerical example - Capital transfers</t>
  </si>
  <si>
    <t>(NC 37000)</t>
  </si>
  <si>
    <t>Capital transfers</t>
  </si>
  <si>
    <t>Investment grants</t>
  </si>
  <si>
    <t>FSS = Farm Structure Survey</t>
  </si>
  <si>
    <t>(NC 0422100)</t>
  </si>
  <si>
    <t>Since all agricultural services simultaneously represent intra-unit consumption of the agricultural industry, the output of agricultural services corresponds to the intermediate consumption item "Agricultural services" on the uses side of the production account.</t>
  </si>
  <si>
    <t xml:space="preserve">Turnover excluding own consumption and direct sales </t>
  </si>
  <si>
    <t>Interest paid (value adjusted for FISIM and interest-rate subsidies)</t>
  </si>
  <si>
    <t/>
  </si>
  <si>
    <t>Prices in NAC/1 000 kg</t>
  </si>
  <si>
    <t>Values in million NAC</t>
  </si>
  <si>
    <t>Price index (2019=100)</t>
  </si>
  <si>
    <t>Volume index (2019=100)</t>
  </si>
  <si>
    <t>Prices in NAC/1 000 pieces</t>
  </si>
  <si>
    <t>Prices in NAC/hectare</t>
  </si>
  <si>
    <t>Prices in NAC/1000 l</t>
  </si>
  <si>
    <t>in NAC/hectare</t>
  </si>
  <si>
    <t>in million NAC</t>
  </si>
  <si>
    <t>GFCF (million NAC)</t>
  </si>
  <si>
    <t>Domestic production (million NAC)</t>
  </si>
  <si>
    <t>Exports (million NAC)</t>
  </si>
  <si>
    <t>Imports (million NAC)</t>
  </si>
  <si>
    <t>Domestic sales (million NAC)</t>
  </si>
  <si>
    <t>Average selling price (NAC)</t>
  </si>
  <si>
    <t>Supplement for major repairs and trade margins for used machines (million NAC)</t>
  </si>
  <si>
    <t>New registrations for business use (million NAC)</t>
  </si>
  <si>
    <t>Registrations of used vehicles for business use (million NAC)</t>
  </si>
  <si>
    <t>Sales of used cars (million NAC)</t>
  </si>
  <si>
    <t>CFC (in current prices, million NAC)</t>
  </si>
  <si>
    <t>CFC (in constant 2010 prices, million NAC)</t>
  </si>
  <si>
    <t>Sugar beet 2020</t>
  </si>
  <si>
    <t>Hops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</si>
  <si>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</si>
  <si>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</si>
  <si>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</si>
  <si>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</si>
  <si>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</si>
  <si>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</si>
  <si>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</si>
  <si>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</si>
  <si>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</si>
  <si>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</si>
  <si>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</si>
  <si>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Under-compensation of VAT 2020</t>
  </si>
  <si>
    <t>Compensation of Employees 2020</t>
  </si>
  <si>
    <t>Other goods and services 2020</t>
  </si>
  <si>
    <t>FISIM 2020</t>
  </si>
  <si>
    <t>Agricultural services 2020</t>
  </si>
  <si>
    <t>Maintenance of buildings 2020</t>
  </si>
  <si>
    <t>Maintenance of materials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</si>
  <si>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</si>
  <si>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</si>
  <si>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</si>
  <si>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</si>
  <si>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</si>
  <si>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</si>
  <si>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</si>
  <si>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Other animals (Hunting): Roe deer 2020</t>
  </si>
  <si>
    <t>Golden oatgrass 2020</t>
  </si>
  <si>
    <t>Wine 2020</t>
  </si>
  <si>
    <t>Potatoes 2020</t>
  </si>
  <si>
    <t>Establishment of vineyards 2020</t>
  </si>
  <si>
    <t>Total reduced agricultural area according to FSS 2019</t>
  </si>
  <si>
    <t>(2019=100)</t>
  </si>
  <si>
    <t>Pot plants 2020</t>
  </si>
  <si>
    <t>1995321 Low-value assets for wine taverns</t>
  </si>
  <si>
    <t>1995322 Current expenditure for wine taverns</t>
  </si>
  <si>
    <t>1995323 Food for wine taverns</t>
  </si>
  <si>
    <t xml:space="preserve">Agri-environmental programme </t>
  </si>
  <si>
    <t xml:space="preserve">Calculations for agriculture </t>
  </si>
  <si>
    <t>Changes in inventories</t>
  </si>
  <si>
    <t>Numerical examples - Changes in inventories</t>
  </si>
  <si>
    <t>Numerical example - Interest receivable</t>
  </si>
  <si>
    <t>30000 Interest receivable</t>
  </si>
  <si>
    <t>Numerical example - Interest payable</t>
  </si>
  <si>
    <t>29000 Interest payable</t>
  </si>
  <si>
    <t>1992400 Low-value expenditure for office machines</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</si>
  <si>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</si>
  <si>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</si>
  <si>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t>Region Hovedstaden</t>
  </si>
  <si>
    <t>Region Sjælland</t>
  </si>
  <si>
    <t>Region Syddanmark</t>
  </si>
  <si>
    <t>Region Midtjylland</t>
  </si>
  <si>
    <t>Region Nordjylland</t>
  </si>
  <si>
    <t>minus slaughter premia</t>
  </si>
  <si>
    <t>minus young farmers</t>
  </si>
  <si>
    <t>minus investment grants</t>
  </si>
  <si>
    <t>Rural district fund, total</t>
  </si>
  <si>
    <t>National subsidy schemes, total</t>
  </si>
  <si>
    <t>One-off grants, total</t>
  </si>
  <si>
    <t>Other subsidies on production, million DKK</t>
  </si>
  <si>
    <t xml:space="preserve">Direct support, total (examples are energy crops, single payments, green demands, basic payments) </t>
  </si>
  <si>
    <t>Wheat 2020</t>
  </si>
  <si>
    <t>Seeds</t>
  </si>
  <si>
    <t>+ Import</t>
  </si>
  <si>
    <t>+Stocks, primo</t>
  </si>
  <si>
    <t>Grinding for flour etc.</t>
  </si>
  <si>
    <t>Industrial uses - sold</t>
  </si>
  <si>
    <t>Stocks, ultimo</t>
  </si>
  <si>
    <t>Intra unit consumption (feedingstuffs)</t>
  </si>
  <si>
    <t>Exports</t>
  </si>
  <si>
    <t>Price pr 100 kg</t>
  </si>
  <si>
    <t>Changes in stocks, at farms</t>
  </si>
  <si>
    <t>Inter unit consumption (feedingstuffs)</t>
  </si>
  <si>
    <t>Usable output for animal feed</t>
  </si>
  <si>
    <t>Price index (2015=100)</t>
  </si>
  <si>
    <t>Volume index (2015=100)</t>
  </si>
  <si>
    <t>Rape 2020</t>
  </si>
  <si>
    <t>Production (harvest)</t>
  </si>
  <si>
    <t>Sale, total (including inter unit)</t>
  </si>
  <si>
    <t>Pulses 2020</t>
  </si>
  <si>
    <t>Numerical example - Cattle</t>
  </si>
  <si>
    <t>Production in numbers cattle</t>
  </si>
  <si>
    <r>
      <t xml:space="preserve">Prices in </t>
    </r>
    <r>
      <rPr>
        <sz val="11"/>
        <color rgb="FFFF0000"/>
        <rFont val="Calibri"/>
        <family val="2"/>
        <scheme val="minor"/>
      </rPr>
      <t>national currency</t>
    </r>
    <r>
      <rPr>
        <sz val="11"/>
        <color theme="1"/>
        <rFont val="Calibri"/>
        <family val="2"/>
        <scheme val="minor"/>
      </rPr>
      <t xml:space="preserve"> </t>
    </r>
  </si>
  <si>
    <r>
      <t>Value in million</t>
    </r>
    <r>
      <rPr>
        <sz val="11"/>
        <color rgb="FFFF0000"/>
        <rFont val="Calibri"/>
        <family val="2"/>
        <scheme val="minor"/>
      </rPr>
      <t xml:space="preserve"> national currency</t>
    </r>
  </si>
  <si>
    <t>Quantity, number af animals:</t>
  </si>
  <si>
    <t>Cattle, total:</t>
  </si>
  <si>
    <t>-Eksport live animals (for breeding)</t>
  </si>
  <si>
    <t>-Eksport live animals (for slaughter)</t>
  </si>
  <si>
    <t>-Slaughterings at slaughterhouses: Bulls</t>
  </si>
  <si>
    <t>-Slaughterings at slaughterhouses: Young bulls</t>
  </si>
  <si>
    <t>-Slaughterings at slaughterhouses: Steers</t>
  </si>
  <si>
    <t>-Slaughterings at slaughterhouses: Heifers</t>
  </si>
  <si>
    <t>-Slaughterings at slaughterhouses: Cows</t>
  </si>
  <si>
    <t>-Slaughterings at slaughterhouses: Discarded animals</t>
  </si>
  <si>
    <t>-Slaughterings at farm</t>
  </si>
  <si>
    <t>-Dead cattle</t>
  </si>
  <si>
    <t>Calves, total:</t>
  </si>
  <si>
    <t>-Eksport live animals for slaugter</t>
  </si>
  <si>
    <t>-Slaughterings at slaughterhouses: Fat calves</t>
  </si>
  <si>
    <t>-Slaughterings at slaughterhouses: Sucking calves</t>
  </si>
  <si>
    <t>-Dead calves</t>
  </si>
  <si>
    <t>+Imports</t>
  </si>
  <si>
    <t xml:space="preserve">+/- Changes in stock of cattle, total </t>
  </si>
  <si>
    <t>…………………………………………………………………………………………….</t>
  </si>
  <si>
    <t>- BSE and Destruction charge</t>
  </si>
  <si>
    <t xml:space="preserve"> + Value of premiums : Special premium for male cattle</t>
  </si>
  <si>
    <t>Mio. DKK</t>
  </si>
  <si>
    <t>Quantity, number af animals</t>
  </si>
  <si>
    <t>Price/100 kg</t>
  </si>
  <si>
    <t>Exports, live animals</t>
  </si>
  <si>
    <t>Slaughterings at slaughterhouses</t>
  </si>
  <si>
    <t>Slaughterings at farms (use at farm)</t>
  </si>
  <si>
    <t>Imports, live animals</t>
  </si>
  <si>
    <t>n.a.</t>
  </si>
  <si>
    <t>Cattle 2020</t>
  </si>
  <si>
    <t>Price index cattle (2015=100)</t>
  </si>
  <si>
    <t>Volume index cattle (2015=100)</t>
  </si>
  <si>
    <t>Production in 1 000 number</t>
  </si>
  <si>
    <r>
      <t>Prices in</t>
    </r>
    <r>
      <rPr>
        <sz val="11"/>
        <color rgb="FFFF0000"/>
        <rFont val="Calibri"/>
        <family val="2"/>
        <scheme val="minor"/>
      </rPr>
      <t xml:space="preserve"> national currency</t>
    </r>
    <r>
      <rPr>
        <sz val="11"/>
        <color theme="1"/>
        <rFont val="Calibri"/>
        <family val="2"/>
        <scheme val="minor"/>
      </rPr>
      <t xml:space="preserve"> </t>
    </r>
  </si>
  <si>
    <t xml:space="preserve"> Eksport live animals (for breeding)</t>
  </si>
  <si>
    <t xml:space="preserve"> Eksport live animals (for slaughter)</t>
  </si>
  <si>
    <t>Slaughterings at slaughterhouses: Small pigs</t>
  </si>
  <si>
    <t>Slaughterings at slaughterhouses: Bacon pigs</t>
  </si>
  <si>
    <t>Slaughterings at slaughterhouses: Slaughtering for producers</t>
  </si>
  <si>
    <t>Slaughterings at slaughterhouses: Discarded animals</t>
  </si>
  <si>
    <t>Slaughterings at farm</t>
  </si>
  <si>
    <t>+Changes in stock of pigs, total</t>
  </si>
  <si>
    <t xml:space="preserve">Quantity, number af animals 1000 </t>
  </si>
  <si>
    <t>Exports,live animals</t>
  </si>
  <si>
    <t xml:space="preserve">+/- Changes in stock of pigs, total </t>
  </si>
  <si>
    <t>Pigs 2020</t>
  </si>
  <si>
    <t>Price index pigs (2015=100)</t>
  </si>
  <si>
    <t>Production in 1 000 000 kilo</t>
  </si>
  <si>
    <t>Total production</t>
  </si>
  <si>
    <t>-Delivered to dairies</t>
  </si>
  <si>
    <t>-Export</t>
  </si>
  <si>
    <t>The value of the total milk production for EAA is the sum of milk delivered to dairies and the milk used at producers for human, while milk used at farm for feed is value as feed.</t>
  </si>
  <si>
    <t>Stocks, primo</t>
  </si>
  <si>
    <t>Exports from farm</t>
  </si>
  <si>
    <t>Industrial uses - sold to daires</t>
  </si>
  <si>
    <t>Milk 2020</t>
  </si>
  <si>
    <t>Price index milk (2015=100)</t>
  </si>
  <si>
    <t xml:space="preserve">Small production in Denmark </t>
  </si>
  <si>
    <t>-Sold from farm (estimated)</t>
  </si>
  <si>
    <t>-Sold to egg packaging companies</t>
  </si>
  <si>
    <t>Eggs 2020</t>
  </si>
  <si>
    <t>Sold from farm, but noi to packaging companies</t>
  </si>
  <si>
    <t>Price index eggs (2015=100)</t>
  </si>
  <si>
    <t>Numerical example - Poltry</t>
  </si>
  <si>
    <t>Poltry 2020</t>
  </si>
  <si>
    <t>Slaughterings at slaughterhouses: Sows and boars</t>
  </si>
  <si>
    <t xml:space="preserve">Slaughterings at slaughterhouses: </t>
  </si>
  <si>
    <t>Price index poultry (2015=100)</t>
  </si>
  <si>
    <t>Slaughterings at farms - estimated</t>
  </si>
  <si>
    <t>Slaughterings at farm (estimated)</t>
  </si>
  <si>
    <t xml:space="preserve">+/- Changes in stock of poltry, total </t>
  </si>
  <si>
    <t>Sold to packaging companies</t>
  </si>
  <si>
    <t>Quantity, tons</t>
  </si>
  <si>
    <t>Slaughterings at slaughterhouses: Turkeys</t>
  </si>
  <si>
    <t>Slaughterings at slaughterhouses: Geese</t>
  </si>
  <si>
    <t>Slaughterings at slaughterhouses: Chicken</t>
  </si>
  <si>
    <t>Slaughterings at slaughterhouses: Hens</t>
  </si>
  <si>
    <t>-Losses (5 per cent)</t>
  </si>
  <si>
    <t>Production including seeds</t>
  </si>
  <si>
    <t>Total  consumption</t>
  </si>
  <si>
    <t>Not relevant in DK</t>
  </si>
  <si>
    <t>Fodder maize 2020</t>
  </si>
  <si>
    <t>Production in 1 000 tons FODDER UNITS</t>
  </si>
  <si>
    <t>Quantity, fodder units</t>
  </si>
  <si>
    <t>Total consumption: Feedingstuffs</t>
  </si>
  <si>
    <t>Price pr fodder unit</t>
  </si>
  <si>
    <t>Fodder unit price</t>
  </si>
  <si>
    <t>Fodder units 1000 tons</t>
  </si>
  <si>
    <t>Sales total</t>
  </si>
  <si>
    <t>Tomatoes  2020</t>
  </si>
  <si>
    <t>Total Turnover from horticultural holdings</t>
  </si>
  <si>
    <t>Value milion</t>
  </si>
  <si>
    <t>Total value</t>
  </si>
  <si>
    <t>Denmark</t>
  </si>
  <si>
    <t>Simone Thun</t>
  </si>
  <si>
    <t>Mona Larsen</t>
  </si>
  <si>
    <t>Total use before feedingstuff</t>
  </si>
  <si>
    <t>Human consumption</t>
  </si>
  <si>
    <t>Industrial uses total</t>
  </si>
  <si>
    <t>Seed potatoes</t>
  </si>
  <si>
    <t>Production (consumption, seed and industrial)</t>
  </si>
  <si>
    <t>+ import (consumption, seed and industrial)</t>
  </si>
  <si>
    <t>Exports (consumption, seed and industrial)</t>
  </si>
  <si>
    <t>Desert apples 2020</t>
  </si>
  <si>
    <t>DK does not make volume indexes on individual fruits, only total volume indices</t>
  </si>
  <si>
    <t>DK does not make volume indexes on individual vegetables, only total volume indices on vegetables in greenhouses and outdoor</t>
  </si>
  <si>
    <t>(2015=100)</t>
  </si>
  <si>
    <t>Not relevant, value comes as a total value from FADN</t>
  </si>
  <si>
    <t>na</t>
  </si>
  <si>
    <t>Seeds and planting stock in agriculture</t>
  </si>
  <si>
    <t>Seeds and planting stock in horticulture</t>
  </si>
  <si>
    <t>1.5 per cent addition for small holdings</t>
  </si>
  <si>
    <t>Price index 2019</t>
  </si>
  <si>
    <t>Volume Index 2019</t>
  </si>
  <si>
    <t>Price index 2020</t>
  </si>
  <si>
    <t>Volume Index 2020</t>
  </si>
  <si>
    <t>19021 Electricity incl. taxes</t>
  </si>
  <si>
    <t>19022 Gas incl. Taxes</t>
  </si>
  <si>
    <t>19023 Other fuels and propellants incl. Taxes</t>
  </si>
  <si>
    <t>Not relevant</t>
  </si>
  <si>
    <t>Single fertilisers</t>
  </si>
  <si>
    <t>Mixed fertilisers</t>
  </si>
  <si>
    <t>Christmas trees fertilisers</t>
  </si>
  <si>
    <t>Lime and marl</t>
  </si>
  <si>
    <t xml:space="preserve">Reduction for garden use rate </t>
  </si>
  <si>
    <t>Total after reduction</t>
  </si>
  <si>
    <t>Total fertilisers</t>
  </si>
  <si>
    <t xml:space="preserve">Calculation of reduction </t>
  </si>
  <si>
    <t>Paid labour in agricultural and horticultural holdings from FADN, total</t>
  </si>
  <si>
    <t xml:space="preserve">Paid labour in pure service operators from FADN </t>
  </si>
  <si>
    <t>For loans in the agricultural industry, total</t>
  </si>
  <si>
    <t>For deposits in the agricultural industry, total</t>
  </si>
  <si>
    <t>Total FISIM</t>
  </si>
  <si>
    <t>FISIM for the agricultural industry</t>
  </si>
  <si>
    <t>mio. DKK</t>
  </si>
  <si>
    <t>feedingstuffs purchased from outside the agricultural ‘industry’ (intermediate consumption) 2020</t>
  </si>
  <si>
    <t>(NC 19062)</t>
  </si>
  <si>
    <t>Oil cakes etc.</t>
  </si>
  <si>
    <t>Fishmeal etc.</t>
  </si>
  <si>
    <t>Whey</t>
  </si>
  <si>
    <t>Skim milk powder</t>
  </si>
  <si>
    <t>Cereals for fodder</t>
  </si>
  <si>
    <t>Straight feedingstuffs, total:</t>
  </si>
  <si>
    <t>Compound feedingstuff, total:</t>
  </si>
  <si>
    <t>Compounds for cattle, total</t>
  </si>
  <si>
    <t>Compounds for pigs, total</t>
  </si>
  <si>
    <t>Compounds for poulty, total</t>
  </si>
  <si>
    <t>Other compounds, total</t>
  </si>
  <si>
    <t>minus intra-unit consumption of pulses from FADN</t>
  </si>
  <si>
    <t>Other purchased feedingstuff (pulses, molasses, sugar beet pellets, beet residue, fat for fodder, mash, yeast, grass meal etc.)</t>
  </si>
  <si>
    <t>19080 Maintenance of buildings, total</t>
  </si>
  <si>
    <t>Maintenance buildings, from FADN</t>
  </si>
  <si>
    <t>Land improvements, from FADN</t>
  </si>
  <si>
    <t xml:space="preserve">Regions </t>
  </si>
  <si>
    <t>Whole country</t>
  </si>
  <si>
    <t>Expense_HA</t>
  </si>
  <si>
    <t>Area_Iacs</t>
  </si>
  <si>
    <t>Expense, mio DKK.</t>
  </si>
  <si>
    <t>Figures come directly from table JB4 in the StatBank Denmark and FADN</t>
  </si>
  <si>
    <t>GFCF in machines and other equipment 33110</t>
  </si>
  <si>
    <t>Setting up of young farmers</t>
  </si>
  <si>
    <t>Investment grant</t>
  </si>
  <si>
    <t>Correction for small agricultural holdings, in per cent</t>
  </si>
  <si>
    <t>Current expenses, minus borrowing costs</t>
  </si>
  <si>
    <t>The FADN team, based on the accounts data, provides the value Million DKK for Plantations (04230) that we use in the EAA. Therefore, the numerical example cannot be provided.</t>
  </si>
  <si>
    <t>V(t)/Ip(t)*Ip(t-1)</t>
  </si>
  <si>
    <t>Value for year t at preceding year price</t>
  </si>
  <si>
    <t>Numerical example -Sheep and goats</t>
  </si>
  <si>
    <t>Sheep and goats 2020</t>
  </si>
  <si>
    <t xml:space="preserve">+/- Changes in stock of houses, total </t>
  </si>
  <si>
    <t>Price index sheep and goats (2015=100)</t>
  </si>
  <si>
    <t>Total expenses for maintenance of inventory/furniture/fixtures, from FADN</t>
  </si>
  <si>
    <t>Plus maintenance by landless contract operators</t>
  </si>
  <si>
    <t>Maintenance of buildings, total, including 1.5 percent correction</t>
  </si>
  <si>
    <t xml:space="preserve">Slaughterings at slaughterhouses: Ducks </t>
  </si>
  <si>
    <t>Total production, mio. DKK</t>
  </si>
  <si>
    <t xml:space="preserve">Eksport live animals </t>
  </si>
  <si>
    <t>'Total production, mio. DKK</t>
  </si>
  <si>
    <t>The number of animals shot comes from the annual hunting report.</t>
  </si>
  <si>
    <t>The production  in 1 000 tons dead weight</t>
  </si>
  <si>
    <t>Quantity, total dead weight</t>
  </si>
  <si>
    <t>Price index pigs (20150=100)</t>
  </si>
  <si>
    <t>Volume index pigs (2015=100)</t>
  </si>
  <si>
    <t>Volume index milk (2015=100)</t>
  </si>
  <si>
    <t>Volume index eggs (2015=100)</t>
  </si>
  <si>
    <t>In Denmark it is:</t>
  </si>
  <si>
    <t>Raw wool</t>
  </si>
  <si>
    <t>Eksport of Hatcing eggs</t>
  </si>
  <si>
    <t>Rental of bees</t>
  </si>
  <si>
    <t>Very low</t>
  </si>
  <si>
    <t>Furs</t>
  </si>
  <si>
    <t>Other animals products:</t>
  </si>
  <si>
    <t>Honey</t>
  </si>
  <si>
    <t>Other animals products, Others:</t>
  </si>
  <si>
    <t>Production, Other animals products, others</t>
  </si>
  <si>
    <t xml:space="preserve">Mink production: In 2020, the production of mink fur was approximately a third compared to previous years. </t>
  </si>
  <si>
    <t>The rest of the mink (Two thirds of the "normal production") were euthanized and destroyed. There is no mink production in Denmark since 2020.</t>
  </si>
  <si>
    <t>In 2021 mink production no longer takes places in Denmark, before there were a large production of mink skin (fur). There is a very little production of chinchilla skin</t>
  </si>
  <si>
    <t>The calculation of the change in the stock of livestock is the number of animal in each category of animal at the end of a period - minus the number of animal at the beginning of a period (change in the population) multiplied by an average weight (kg) and the average price per unit (kg) or head observed over the reference period.</t>
  </si>
  <si>
    <t xml:space="preserve">The changes in the stock of livestock are calculated every quarter for cattle and pigs in conecten with the cattle and pigs suveys and once a year for the other categories (horses, sheep and furred animals ontil 2020). </t>
  </si>
  <si>
    <r>
      <t>Cattle (all animals over 2 years)</t>
    </r>
    <r>
      <rPr>
        <sz val="12"/>
        <color theme="1"/>
        <rFont val="Times New Roman"/>
        <family val="1"/>
      </rPr>
      <t>:</t>
    </r>
  </si>
  <si>
    <t>- Bulls and bullocks over 2 years</t>
  </si>
  <si>
    <t>- Heifers over 2 years</t>
  </si>
  <si>
    <t>- Cows</t>
  </si>
  <si>
    <r>
      <t>Pigs (all breeding animals)</t>
    </r>
    <r>
      <rPr>
        <sz val="12"/>
        <color theme="1"/>
        <rFont val="Times New Roman"/>
        <family val="1"/>
      </rPr>
      <t>:</t>
    </r>
  </si>
  <si>
    <t>- Boars for service</t>
  </si>
  <si>
    <t>- Sows to farrow for the first time</t>
  </si>
  <si>
    <t>- Other sows to farrow</t>
  </si>
  <si>
    <t>- Sows with litters</t>
  </si>
  <si>
    <t>- Barren sows</t>
  </si>
  <si>
    <t xml:space="preserve">Horses </t>
  </si>
  <si>
    <t>Sheep</t>
  </si>
  <si>
    <t>Furred animals (which is other animals)</t>
  </si>
  <si>
    <t>The calculation in Denmark of GFCF in livestock is compiled for the following categories in 2020:</t>
  </si>
  <si>
    <t>The calculation of the investment in horses and sheep is the same as the calculation of changes in the value of stocks. This is the number of animals at the end of a period - minus the number of animal at the start of period (change in the population) multiplied with an average weight (kg) and a price per unit (kg).</t>
  </si>
  <si>
    <t xml:space="preserve">The calculation of the investment in cattle and pigs is estimated as: </t>
  </si>
  <si>
    <t>The number of cows/sows leaving the population multiplied by a price per unit + the number of “new” cows/sows entering the population multiplied by a price per unit</t>
  </si>
  <si>
    <t>Cows/sows leaving the population are:</t>
  </si>
  <si>
    <r>
      <t>·</t>
    </r>
    <r>
      <rPr>
        <sz val="7"/>
        <color theme="1"/>
        <rFont val="Times New Roman"/>
        <family val="1"/>
      </rPr>
      <t xml:space="preserve">         </t>
    </r>
    <r>
      <rPr>
        <sz val="12"/>
        <color theme="1"/>
        <rFont val="Times New Roman"/>
        <family val="1"/>
      </rPr>
      <t>Animals for slaughter. The unit price is the slaughtered price</t>
    </r>
  </si>
  <si>
    <r>
      <t>·</t>
    </r>
    <r>
      <rPr>
        <sz val="7"/>
        <color theme="1"/>
        <rFont val="Times New Roman"/>
        <family val="1"/>
      </rPr>
      <t xml:space="preserve">         </t>
    </r>
    <r>
      <rPr>
        <sz val="12"/>
        <color theme="1"/>
        <rFont val="Times New Roman"/>
        <family val="1"/>
      </rPr>
      <t>Dead animals. The unit price is zero or the price the farmer has to pay for destruction</t>
    </r>
  </si>
  <si>
    <r>
      <t>·</t>
    </r>
    <r>
      <rPr>
        <sz val="7"/>
        <color theme="1"/>
        <rFont val="Times New Roman"/>
        <family val="1"/>
      </rPr>
      <t xml:space="preserve">         </t>
    </r>
    <r>
      <rPr>
        <sz val="12"/>
        <color theme="1"/>
        <rFont val="Times New Roman"/>
        <family val="1"/>
      </rPr>
      <t>Animals for export. The value of the exported animals is used.</t>
    </r>
  </si>
  <si>
    <t>Cows/sows entering the population are:</t>
  </si>
  <si>
    <r>
      <t>·</t>
    </r>
    <r>
      <rPr>
        <sz val="7"/>
        <color theme="1"/>
        <rFont val="Times New Roman"/>
        <family val="1"/>
      </rPr>
      <t xml:space="preserve">         </t>
    </r>
    <r>
      <rPr>
        <sz val="12"/>
        <color theme="1"/>
        <rFont val="Times New Roman"/>
        <family val="1"/>
      </rPr>
      <t xml:space="preserve">New breeding animals (coming from heifers/gilts). The unit price for heifers is the price for a prima Holstein heifer with calf. The unit price for gilts is the price for a SPF (Specific Pathogens Free) gilt mate for the first time. </t>
    </r>
  </si>
  <si>
    <r>
      <t>·</t>
    </r>
    <r>
      <rPr>
        <sz val="7"/>
        <color theme="1"/>
        <rFont val="Times New Roman"/>
        <family val="1"/>
      </rPr>
      <t xml:space="preserve">         </t>
    </r>
    <r>
      <rPr>
        <sz val="12"/>
        <color theme="1"/>
        <rFont val="Times New Roman"/>
        <family val="1"/>
      </rPr>
      <t xml:space="preserve">Imported cows/sows. The value of the imported animals is used. </t>
    </r>
  </si>
  <si>
    <t>,= Investment in breeding stock</t>
  </si>
  <si>
    <t xml:space="preserve">Sales outside of the industry </t>
  </si>
  <si>
    <t>Sales minus stocks</t>
  </si>
  <si>
    <t>Price pr 100 kg, 2019</t>
  </si>
  <si>
    <t>Average price</t>
  </si>
  <si>
    <t>Intra/inter consumption</t>
  </si>
  <si>
    <t>Price index (2015=100), sales total</t>
  </si>
  <si>
    <t>Volume index (2015=100), sales total</t>
  </si>
  <si>
    <t>Minus vehicle registration tax</t>
  </si>
  <si>
    <t>Agricultural services, total, including 1.5 percent correction</t>
  </si>
  <si>
    <t>Minus the value of owners salery by landless contract operators</t>
  </si>
  <si>
    <t>Total costs related to plant production (FADN)</t>
  </si>
  <si>
    <t>Insemination/mating, Miscellaneous costs related to livestock production</t>
  </si>
  <si>
    <t>Share in total car expenses</t>
  </si>
  <si>
    <t>Water tax</t>
  </si>
  <si>
    <t>Sales packaging</t>
  </si>
  <si>
    <t>Pots and growing containers</t>
  </si>
  <si>
    <t>Growth media</t>
  </si>
  <si>
    <t>Biological aids</t>
  </si>
  <si>
    <t>Carbon dioxide</t>
  </si>
  <si>
    <t>Miscellaneous costs, net, incl. christmas tree production</t>
  </si>
  <si>
    <t>Direct bank and credit costs</t>
  </si>
  <si>
    <t>Insurances</t>
  </si>
  <si>
    <t>Miscellaneous costs, by landless contract operators</t>
  </si>
  <si>
    <t>Other goods and services, total (minus direct bank and credit costs)</t>
  </si>
  <si>
    <t>Land tax/real estate taxes</t>
  </si>
  <si>
    <t>vehicle registration taxes</t>
  </si>
  <si>
    <t>Interest costs, total, from FADN</t>
  </si>
  <si>
    <t>Interest income, total, from FADN</t>
  </si>
  <si>
    <t xml:space="preserve">The calculation is a little more complicated for Denmarkthan the above procedure  - but if an example is needed. Would you very much like to return. </t>
  </si>
  <si>
    <t>Price Index (2015=100), 2019 and 2020</t>
  </si>
  <si>
    <t>Fixed capital consumption in equipment, 21100 (in current prices, million NAC)</t>
  </si>
  <si>
    <t>Figures come directly from table JB2 in the StatBank Denmark and FADN</t>
  </si>
  <si>
    <t>Fixed capital consumption in equipment, 21100 (in constant prices, million NAC)</t>
  </si>
  <si>
    <t>I have som problems with cattle to fit in the numerical example. Because in the calculations, there are a lot of categories of cattle and therefore many working calculations both for quantities, prices and values.</t>
  </si>
  <si>
    <t>Therefore, the sheet below is simplified.</t>
  </si>
  <si>
    <t>I have som problems with pigs to fit in the numerical example. Because in the calculations there are a lot of categories of pigs and therefore many working calculations both for quantities, prices and values.</t>
  </si>
  <si>
    <t>I have som problems with poultry to fit in the numerical example. Because in the calculations there are a lot of categories of poultry and therefore many working calculations both for quantities, prices and values.</t>
  </si>
  <si>
    <t xml:space="preserve">Very little production in Denmark. </t>
  </si>
  <si>
    <t>Therefore the sheet is very simple</t>
  </si>
  <si>
    <t>Therefore the sheet is very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</si>
</sst>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00"/>
    <numFmt numFmtId="167" formatCode="#,##0.0000"/>
    <numFmt numFmtId="168" formatCode="0.0%"/>
    <numFmt numFmtId="169" formatCode="0.0000"/>
    <numFmt numFmtId="170" formatCode="0.0000%"/>
    <numFmt numFmtId="171" formatCode="#,##0.000"/>
    <numFmt numFmtId="172" formatCode="###\ ###\ ###"/>
    <numFmt numFmtId="173" formatCode="###\ ###\ ###\ ###"/>
  </numFmts>
  <fonts count="69">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b/>
      <sz val="9"/>
      <name val="Tahoma"/>
      <family val="2"/>
    </font>
    <font>
      <sz val="9"/>
      <name val="Tahoma"/>
      <family val="2"/>
    </font>
    <font>
      <sz val="11"/>
      <color rgb="FF660033"/>
      <name val="Calibri"/>
      <family val="2"/>
      <scheme val="minor"/>
    </font>
    <font>
      <i/>
      <sz val="11"/>
      <color rgb="FFFF0000"/>
      <name val="Calibri"/>
      <family val="2"/>
      <scheme val="minor"/>
    </font>
    <font>
      <i/>
      <sz val="11"/>
      <color theme="1"/>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sz val="11"/>
      <name val="Calibri"/>
      <family val="2"/>
      <scheme val="minor"/>
    </font>
    <font>
      <sz val="10"/>
      <name val="Times New Roman"/>
      <family val="1"/>
    </font>
    <font>
      <b/>
      <sz val="10"/>
      <name val="Times New Roman"/>
      <family val="1"/>
    </font>
    <font>
      <b/>
      <sz val="12"/>
      <color theme="1"/>
      <name val="Calibri"/>
      <family val="2"/>
      <scheme val="minor"/>
    </font>
    <font>
      <b/>
      <u val="single"/>
      <sz val="12"/>
      <color theme="1"/>
      <name val="Calibri"/>
      <family val="2"/>
      <scheme val="minor"/>
    </font>
    <font>
      <b/>
      <sz val="10"/>
      <name val="Charter"/>
      <family val="1"/>
    </font>
    <font>
      <sz val="8"/>
      <color theme="1"/>
      <name val="Calibri"/>
      <family val="2"/>
      <scheme val="minor"/>
    </font>
    <font>
      <u val="single"/>
      <sz val="11"/>
      <color theme="1"/>
      <name val="Calibri"/>
      <family val="2"/>
      <scheme val="minor"/>
    </font>
    <font>
      <b/>
      <i/>
      <sz val="10"/>
      <name val="CG Times"/>
      <family val="2"/>
    </font>
    <font>
      <b/>
      <sz val="11"/>
      <color rgb="FFFF0000"/>
      <name val="Calibri"/>
      <family val="2"/>
      <scheme val="minor"/>
    </font>
    <font>
      <sz val="12"/>
      <color theme="1"/>
      <name val="Times New Roman"/>
      <family val="1"/>
    </font>
    <font>
      <b/>
      <sz val="11"/>
      <name val="Calibri"/>
      <family val="2"/>
      <scheme val="minor"/>
    </font>
    <font>
      <sz val="10"/>
      <name val="MS Sans Serif"/>
      <family val="2"/>
    </font>
    <font>
      <i/>
      <sz val="11"/>
      <name val="Calibri"/>
      <family val="2"/>
      <scheme val="minor"/>
    </font>
    <font>
      <b/>
      <sz val="11"/>
      <color rgb="FF660033"/>
      <name val="Calibri"/>
      <family val="2"/>
      <scheme val="minor"/>
    </font>
    <font>
      <i/>
      <sz val="11"/>
      <color rgb="FF660033"/>
      <name val="Calibri"/>
      <family val="2"/>
      <scheme val="minor"/>
    </font>
    <font>
      <sz val="10"/>
      <color rgb="FFFF0000"/>
      <name val="Calibri"/>
      <family val="2"/>
      <scheme val="minor"/>
    </font>
    <font>
      <b/>
      <sz val="14"/>
      <color rgb="FFFF0000"/>
      <name val="Calibri"/>
      <family val="2"/>
      <scheme val="minor"/>
    </font>
    <font>
      <b/>
      <u val="single"/>
      <sz val="11"/>
      <color rgb="FFFF0000"/>
      <name val="Calibri"/>
      <family val="2"/>
      <scheme val="minor"/>
    </font>
    <font>
      <b/>
      <i/>
      <sz val="11"/>
      <color theme="1"/>
      <name val="Calibri"/>
      <family val="2"/>
      <scheme val="minor"/>
    </font>
    <font>
      <sz val="9"/>
      <color rgb="FFFF0000"/>
      <name val="Calibri"/>
      <family val="2"/>
      <scheme val="minor"/>
    </font>
    <font>
      <sz val="9"/>
      <name val="Calibri"/>
      <family val="2"/>
      <scheme val="minor"/>
    </font>
    <font>
      <sz val="9.5"/>
      <color rgb="FF000000"/>
      <name val="Times New Roman"/>
      <family val="1"/>
    </font>
    <font>
      <b/>
      <sz val="14"/>
      <name val="Calibri"/>
      <family val="2"/>
      <scheme val="minor"/>
    </font>
    <font>
      <b/>
      <u val="single"/>
      <sz val="11"/>
      <name val="Calibri"/>
      <family val="2"/>
      <scheme val="minor"/>
    </font>
    <font>
      <b/>
      <sz val="12"/>
      <color theme="1"/>
      <name val="Times New Roman"/>
      <family val="1"/>
    </font>
    <font>
      <sz val="12"/>
      <color theme="1"/>
      <name val="Symbol"/>
      <family val="1"/>
    </font>
    <font>
      <sz val="7"/>
      <color theme="1"/>
      <name val="Times New Roman"/>
      <family val="1"/>
    </font>
    <font>
      <b/>
      <sz val="12"/>
      <name val="Times New Roman"/>
      <family val="1"/>
    </font>
    <font>
      <b/>
      <sz val="11"/>
      <color theme="1" tint="0.5"/>
      <name val="Arial"/>
      <family val="2"/>
    </font>
    <font>
      <b/>
      <sz val="11"/>
      <color rgb="FF000000" tint="0.5"/>
      <name val="Arial"/>
      <family val="2"/>
    </font>
    <font>
      <b/>
      <sz val="8"/>
      <name val="Calibri"/>
      <family val="2"/>
    </font>
  </fonts>
  <fills count="1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04997999966144562"/>
        <bgColor indexed="64"/>
      </patternFill>
    </fill>
  </fills>
  <borders count="85">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medium"/>
      <top/>
      <bottom style="medium"/>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thin"/>
      <bottom/>
    </border>
    <border>
      <left style="thin"/>
      <right style="medium"/>
      <top style="thin"/>
      <bottom/>
    </border>
    <border>
      <left style="thin"/>
      <right style="medium"/>
      <top style="thin"/>
      <bottom style="medium"/>
    </border>
    <border>
      <left style="thin"/>
      <right style="thin"/>
      <top style="thin"/>
      <bottom style="medium"/>
    </border>
    <border>
      <left/>
      <right style="thin"/>
      <top style="medium"/>
      <bottom style="thin"/>
    </border>
    <border>
      <left/>
      <right style="medium"/>
      <top style="medium"/>
      <bottom style="thin"/>
    </border>
    <border>
      <left style="medium"/>
      <right style="thin"/>
      <top/>
      <bottom style="thin"/>
    </border>
    <border>
      <left style="thin"/>
      <right style="medium"/>
      <top/>
      <bottom style="thin"/>
    </border>
    <border>
      <left/>
      <right style="medium"/>
      <top style="medium"/>
      <bottom style="medium"/>
    </border>
    <border>
      <left style="thin"/>
      <right style="medium"/>
      <top/>
      <bottom/>
    </border>
    <border>
      <left/>
      <right style="thin"/>
      <top/>
      <bottom style="thin"/>
    </border>
    <border>
      <left style="thin"/>
      <right style="thin"/>
      <top/>
      <bottom style="thin"/>
    </border>
    <border>
      <left/>
      <right style="thin"/>
      <top style="thin"/>
      <bottom style="medium"/>
    </border>
    <border>
      <left style="medium"/>
      <right style="medium"/>
      <top/>
      <bottom style="medium"/>
    </border>
    <border>
      <left style="thin"/>
      <right/>
      <top/>
      <bottom style="thin"/>
    </border>
    <border>
      <left style="medium"/>
      <right style="thin"/>
      <top/>
      <bottom style="medium"/>
    </border>
    <border>
      <left style="thin"/>
      <right/>
      <top/>
      <bottom style="medium"/>
    </border>
    <border>
      <left style="thin"/>
      <right/>
      <top style="medium"/>
      <bottom style="medium"/>
    </border>
    <border>
      <left style="medium"/>
      <right style="thin"/>
      <top style="medium"/>
      <bottom style="thin"/>
    </border>
    <border>
      <left style="thin"/>
      <right style="thin"/>
      <top style="thin"/>
      <bottom style="thin"/>
    </border>
    <border>
      <left/>
      <right style="thin"/>
      <top style="thin"/>
      <bottom style="thin"/>
    </border>
    <border>
      <left style="medium"/>
      <right style="medium"/>
      <top/>
      <bottom/>
    </border>
    <border>
      <left/>
      <right style="thin"/>
      <top/>
      <bottom/>
    </border>
    <border>
      <left style="medium"/>
      <right/>
      <top/>
      <bottom/>
    </border>
    <border>
      <left style="medium"/>
      <right/>
      <top style="thin"/>
      <bottom style="thin"/>
    </border>
    <border>
      <left style="medium"/>
      <right/>
      <top style="medium"/>
      <bottom style="medium"/>
    </border>
    <border>
      <left style="thin"/>
      <right style="thin"/>
      <top style="thin"/>
      <bottom/>
    </border>
    <border>
      <left style="medium"/>
      <right style="thin"/>
      <top/>
      <bottom/>
    </border>
    <border>
      <left style="medium"/>
      <right style="thin"/>
      <top style="thin"/>
      <bottom/>
    </border>
    <border>
      <left style="medium"/>
      <right style="medium"/>
      <top style="thin"/>
      <bottom/>
    </border>
    <border>
      <left/>
      <right style="thin"/>
      <top style="thin"/>
      <bottom/>
    </border>
    <border>
      <left style="medium"/>
      <right/>
      <top style="medium"/>
      <bottom/>
    </border>
    <border>
      <left style="medium"/>
      <right/>
      <top style="medium"/>
      <bottom style="thin"/>
    </border>
    <border>
      <left style="medium"/>
      <right/>
      <top style="thin"/>
      <bottom style="medium"/>
    </border>
    <border>
      <left/>
      <right/>
      <top style="medium"/>
      <bottom style="medium"/>
    </border>
    <border>
      <left/>
      <right/>
      <top style="medium"/>
      <bottom/>
    </border>
    <border>
      <left/>
      <right/>
      <top/>
      <bottom style="medium"/>
    </border>
    <border>
      <left/>
      <right/>
      <top/>
      <bottom style="thin"/>
    </border>
    <border>
      <left/>
      <right/>
      <top style="thin"/>
      <bottom style="thin"/>
    </border>
    <border>
      <left/>
      <right/>
      <top style="thin"/>
      <bottom style="medium"/>
    </border>
    <border>
      <left style="medium"/>
      <right/>
      <top/>
      <bottom style="thin"/>
    </border>
    <border>
      <left/>
      <right style="medium"/>
      <top/>
      <bottom/>
    </border>
    <border>
      <left style="medium"/>
      <right/>
      <top style="thin"/>
      <bottom/>
    </border>
    <border>
      <left style="thin"/>
      <right/>
      <top style="thin"/>
      <bottom style="thin"/>
    </border>
    <border>
      <left style="thin"/>
      <right style="thin"/>
      <top/>
      <bottom/>
    </border>
    <border>
      <left style="thin"/>
      <right/>
      <top style="thin"/>
      <bottom style="medium"/>
    </border>
    <border>
      <left/>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right style="thin"/>
      <top/>
      <bottom style="medium"/>
    </border>
    <border>
      <left style="thick"/>
      <right style="medium"/>
      <top style="thin"/>
      <bottom style="thick"/>
    </border>
    <border>
      <left style="thin"/>
      <right/>
      <top style="medium"/>
      <bottom/>
    </border>
    <border>
      <left style="thin"/>
      <right/>
      <top/>
      <bottom/>
    </border>
    <border>
      <left/>
      <right style="thin"/>
      <top style="medium"/>
      <bottom style="medium"/>
    </border>
    <border>
      <left style="thin"/>
      <right style="thin"/>
      <top style="medium"/>
      <bottom style="medium"/>
    </border>
    <border>
      <left/>
      <right style="medium"/>
      <top style="medium"/>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19" fillId="0" borderId="0" applyNumberFormat="0" applyFill="0" applyBorder="0" applyAlignment="0" applyProtection="0"/>
    <xf numFmtId="0" fontId="2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8" borderId="3" applyNumberFormat="0" applyAlignment="0" applyProtection="0"/>
    <xf numFmtId="0" fontId="24" fillId="9" borderId="3" applyNumberFormat="0" applyAlignment="0" applyProtection="0"/>
    <xf numFmtId="0" fontId="3" fillId="0" borderId="4"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0" fillId="12" borderId="5" applyNumberFormat="0" applyFont="0" applyAlignment="0" applyProtection="0"/>
    <xf numFmtId="0" fontId="28" fillId="13" borderId="0" applyNumberFormat="0" applyBorder="0" applyAlignment="0" applyProtection="0"/>
    <xf numFmtId="0" fontId="20" fillId="0" borderId="0">
      <alignment/>
      <protection/>
    </xf>
    <xf numFmtId="0" fontId="0" fillId="0" borderId="0">
      <alignment/>
      <protection/>
    </xf>
    <xf numFmtId="0" fontId="29" fillId="0" borderId="0">
      <alignment/>
      <protection/>
    </xf>
    <xf numFmtId="0" fontId="6" fillId="0" borderId="1"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18" fillId="0" borderId="0" applyNumberFormat="0" applyFill="0" applyBorder="0" applyAlignment="0" applyProtection="0"/>
    <xf numFmtId="0" fontId="33" fillId="14" borderId="9" applyNumberFormat="0" applyAlignment="0" applyProtection="0"/>
    <xf numFmtId="0" fontId="20" fillId="0" borderId="0">
      <alignment/>
      <protection/>
    </xf>
    <xf numFmtId="0" fontId="2" fillId="0" borderId="0">
      <alignment/>
      <protection/>
    </xf>
    <xf numFmtId="0" fontId="20" fillId="0" borderId="0">
      <alignment/>
      <protection/>
    </xf>
    <xf numFmtId="0" fontId="2" fillId="0" borderId="0">
      <alignment/>
      <protection/>
    </xf>
    <xf numFmtId="0" fontId="49" fillId="0" borderId="0">
      <alignment/>
      <protection/>
    </xf>
  </cellStyleXfs>
  <cellXfs count="940">
    <xf numFmtId="0" fontId="0" fillId="0" borderId="0" xfId="0"/>
    <xf numFmtId="0" fontId="4" fillId="0" borderId="0" xfId="0" applyFont="1"/>
    <xf numFmtId="0" fontId="8" fillId="0" borderId="0" xfId="0" applyFont="1" applyFill="1" applyBorder="1"/>
    <xf numFmtId="0" fontId="8" fillId="0" borderId="0" xfId="0" applyFont="1" applyFill="1" applyBorder="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0" fillId="0" borderId="0" xfId="23" applyFont="1">
      <alignment/>
      <protection/>
    </xf>
    <xf numFmtId="0" fontId="3" fillId="0" borderId="0" xfId="23" applyFont="1" applyAlignment="1">
      <alignment horizontal="right"/>
      <protection/>
    </xf>
    <xf numFmtId="0" fontId="15"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Font="1"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6" fillId="0" borderId="0" xfId="23" applyFont="1">
      <alignment/>
      <protection/>
    </xf>
    <xf numFmtId="164" fontId="0" fillId="0" borderId="17" xfId="23" applyNumberFormat="1" applyBorder="1">
      <alignment/>
      <protection/>
    </xf>
    <xf numFmtId="0" fontId="0" fillId="0" borderId="0" xfId="23" applyFont="1">
      <alignment/>
      <protection/>
    </xf>
    <xf numFmtId="0" fontId="0" fillId="0" borderId="0" xfId="22" applyFont="1">
      <alignment/>
      <protection/>
    </xf>
    <xf numFmtId="1" fontId="0" fillId="0" borderId="18" xfId="23" applyNumberFormat="1" applyBorder="1">
      <alignment/>
      <protection/>
    </xf>
    <xf numFmtId="1" fontId="3" fillId="0" borderId="18"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0" fontId="3" fillId="0" borderId="0" xfId="23" applyFont="1" applyBorder="1">
      <alignment/>
      <protection/>
    </xf>
    <xf numFmtId="1" fontId="0" fillId="0" borderId="0" xfId="23" applyNumberFormat="1" applyBorder="1">
      <alignment/>
      <protection/>
    </xf>
    <xf numFmtId="1" fontId="3" fillId="0" borderId="19" xfId="23" applyNumberFormat="1" applyFont="1" applyBorder="1">
      <alignment/>
      <protection/>
    </xf>
    <xf numFmtId="1" fontId="0" fillId="0" borderId="0" xfId="23" applyNumberFormat="1">
      <alignment/>
      <protection/>
    </xf>
    <xf numFmtId="166" fontId="0" fillId="0" borderId="0" xfId="23" applyNumberFormat="1">
      <alignment/>
      <protection/>
    </xf>
    <xf numFmtId="164" fontId="3" fillId="0" borderId="16" xfId="23" applyNumberFormat="1" applyFont="1" applyBorder="1">
      <alignment/>
      <protection/>
    </xf>
    <xf numFmtId="0" fontId="0" fillId="0" borderId="20" xfId="23" applyFont="1" applyBorder="1">
      <alignment/>
      <protection/>
    </xf>
    <xf numFmtId="164" fontId="0" fillId="0" borderId="21" xfId="23" applyNumberFormat="1" applyBorder="1">
      <alignment/>
      <protection/>
    </xf>
    <xf numFmtId="0" fontId="0" fillId="0" borderId="10" xfId="23" applyFont="1" applyBorder="1" applyAlignment="1" quotePrefix="1">
      <alignment horizontal="left" indent="2"/>
      <protection/>
    </xf>
    <xf numFmtId="0" fontId="0" fillId="0" borderId="22" xfId="23" applyFon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5" fontId="0" fillId="0" borderId="25" xfId="23" applyNumberFormat="1" applyBorder="1">
      <alignment/>
      <protection/>
    </xf>
    <xf numFmtId="165" fontId="0" fillId="0" borderId="13" xfId="23" applyNumberFormat="1" applyFont="1" applyBorder="1" applyAlignment="1">
      <alignment horizontal="right"/>
      <protection/>
    </xf>
    <xf numFmtId="165" fontId="0" fillId="0" borderId="12" xfId="23" applyNumberFormat="1" applyFont="1" applyBorder="1" applyAlignment="1">
      <alignment horizontal="right"/>
      <protection/>
    </xf>
    <xf numFmtId="164" fontId="0" fillId="0" borderId="13" xfId="23" applyNumberFormat="1" applyBorder="1">
      <alignment/>
      <protection/>
    </xf>
    <xf numFmtId="164" fontId="0" fillId="0" borderId="12" xfId="23" applyNumberFormat="1" applyBorder="1">
      <alignment/>
      <protection/>
    </xf>
    <xf numFmtId="164" fontId="0" fillId="0" borderId="13" xfId="23" applyNumberFormat="1" applyFont="1" applyBorder="1" applyAlignment="1">
      <alignment horizontal="right"/>
      <protection/>
    </xf>
    <xf numFmtId="164" fontId="0" fillId="0" borderId="12" xfId="23" applyNumberFormat="1" applyFont="1" applyBorder="1" applyAlignment="1">
      <alignment horizontal="right"/>
      <protection/>
    </xf>
    <xf numFmtId="0" fontId="0" fillId="0" borderId="0" xfId="23" applyFont="1" applyFill="1">
      <alignment/>
      <protection/>
    </xf>
    <xf numFmtId="165" fontId="0" fillId="0" borderId="26" xfId="23" applyNumberFormat="1" applyFont="1" applyBorder="1" applyAlignment="1">
      <alignment horizontal="right"/>
      <protection/>
    </xf>
    <xf numFmtId="164" fontId="0" fillId="0" borderId="27" xfId="23" applyNumberFormat="1" applyFont="1" applyBorder="1" applyAlignment="1">
      <alignment horizontal="right"/>
      <protection/>
    </xf>
    <xf numFmtId="164" fontId="0" fillId="0" borderId="28" xfId="23" applyNumberFormat="1" applyBorder="1" applyAlignment="1">
      <alignment vertical="top"/>
      <protection/>
    </xf>
    <xf numFmtId="164" fontId="0" fillId="0" borderId="12" xfId="23" applyNumberFormat="1" applyBorder="1" applyAlignment="1">
      <alignment vertical="top"/>
      <protection/>
    </xf>
    <xf numFmtId="164" fontId="0" fillId="0" borderId="28" xfId="23" applyNumberFormat="1" applyBorder="1">
      <alignment/>
      <protection/>
    </xf>
    <xf numFmtId="0" fontId="0" fillId="0" borderId="11" xfId="23" applyFont="1" applyBorder="1" applyAlignment="1">
      <alignment horizontal="left" vertical="top" wrapText="1" indent="4"/>
      <protection/>
    </xf>
    <xf numFmtId="0" fontId="3" fillId="0" borderId="0" xfId="23" applyFont="1" applyBorder="1" applyAlignment="1">
      <alignment horizontal="center" vertical="top"/>
      <protection/>
    </xf>
    <xf numFmtId="0" fontId="0" fillId="0" borderId="0" xfId="23" applyFont="1" applyBorder="1" applyAlignment="1">
      <alignment horizontal="center" vertical="top" wrapText="1"/>
      <protection/>
    </xf>
    <xf numFmtId="164" fontId="0" fillId="0" borderId="0" xfId="23" applyNumberFormat="1" applyBorder="1">
      <alignment/>
      <protection/>
    </xf>
    <xf numFmtId="164" fontId="0" fillId="0" borderId="29" xfId="23" applyNumberFormat="1" applyBorder="1" applyAlignment="1">
      <alignment vertical="top"/>
      <protection/>
    </xf>
    <xf numFmtId="0" fontId="3" fillId="0" borderId="30" xfId="23" applyFont="1" applyBorder="1" applyAlignment="1">
      <alignment horizontal="center" vertical="top" wrapText="1"/>
      <protection/>
    </xf>
    <xf numFmtId="0" fontId="0" fillId="0" borderId="22" xfId="23" applyFont="1" applyFill="1" applyBorder="1" applyAlignment="1">
      <alignment vertical="top" wrapText="1"/>
      <protection/>
    </xf>
    <xf numFmtId="1" fontId="0" fillId="0" borderId="31" xfId="23" applyNumberFormat="1" applyFont="1" applyFill="1" applyBorder="1">
      <alignment/>
      <protection/>
    </xf>
    <xf numFmtId="0" fontId="0" fillId="0" borderId="0" xfId="23" applyFill="1">
      <alignment/>
      <protection/>
    </xf>
    <xf numFmtId="0" fontId="35" fillId="0" borderId="0" xfId="23" applyFont="1">
      <alignment/>
      <protection/>
    </xf>
    <xf numFmtId="167" fontId="35" fillId="0" borderId="0" xfId="23" applyNumberFormat="1" applyFont="1">
      <alignment/>
      <protection/>
    </xf>
    <xf numFmtId="0" fontId="0" fillId="0" borderId="20" xfId="23" applyFont="1" applyBorder="1">
      <alignment/>
      <protection/>
    </xf>
    <xf numFmtId="1" fontId="0" fillId="0" borderId="32" xfId="23" applyNumberFormat="1" applyBorder="1">
      <alignment/>
      <protection/>
    </xf>
    <xf numFmtId="1" fontId="0" fillId="0" borderId="33" xfId="23" applyNumberFormat="1" applyBorder="1">
      <alignment/>
      <protection/>
    </xf>
    <xf numFmtId="165" fontId="0" fillId="0" borderId="32" xfId="23" applyNumberFormat="1" applyBorder="1">
      <alignment/>
      <protection/>
    </xf>
    <xf numFmtId="165" fontId="0" fillId="0" borderId="33" xfId="23" applyNumberFormat="1" applyBorder="1">
      <alignment/>
      <protection/>
    </xf>
    <xf numFmtId="0" fontId="3" fillId="0" borderId="25" xfId="23" applyFont="1" applyBorder="1" applyAlignment="1">
      <alignment horizontal="center" vertical="top" wrapText="1"/>
      <protection/>
    </xf>
    <xf numFmtId="0" fontId="3" fillId="0" borderId="28" xfId="23" applyFont="1" applyBorder="1" applyAlignment="1">
      <alignment horizontal="center" vertical="top" wrapText="1"/>
      <protection/>
    </xf>
    <xf numFmtId="0" fontId="3" fillId="0" borderId="17" xfId="23" applyFont="1" applyBorder="1" applyAlignment="1">
      <alignment horizontal="center" vertical="top" wrapText="1"/>
      <protection/>
    </xf>
    <xf numFmtId="0" fontId="0" fillId="0" borderId="20" xfId="23" applyBorder="1">
      <alignment/>
      <protection/>
    </xf>
    <xf numFmtId="1" fontId="0" fillId="0" borderId="21" xfId="23" applyNumberFormat="1" applyBorder="1">
      <alignment/>
      <protection/>
    </xf>
    <xf numFmtId="0" fontId="0" fillId="0" borderId="14" xfId="23" applyBorder="1">
      <alignment/>
      <protection/>
    </xf>
    <xf numFmtId="0" fontId="3" fillId="0" borderId="34" xfId="23" applyFont="1" applyBorder="1" applyAlignment="1">
      <alignment horizontal="center"/>
      <protection/>
    </xf>
    <xf numFmtId="164" fontId="0" fillId="0" borderId="35" xfId="23" applyNumberFormat="1" applyBorder="1">
      <alignment/>
      <protection/>
    </xf>
    <xf numFmtId="0" fontId="3" fillId="0" borderId="15" xfId="23" applyFont="1" applyBorder="1">
      <alignment/>
      <protection/>
    </xf>
    <xf numFmtId="164" fontId="0" fillId="0" borderId="24" xfId="23" applyNumberFormat="1" applyBorder="1">
      <alignment/>
      <protection/>
    </xf>
    <xf numFmtId="164" fontId="0" fillId="0" borderId="33" xfId="23" applyNumberFormat="1" applyBorder="1" applyAlignment="1">
      <alignment vertical="top"/>
      <protection/>
    </xf>
    <xf numFmtId="0" fontId="0" fillId="0" borderId="29" xfId="23" applyFont="1" applyBorder="1" applyAlignment="1">
      <alignment horizontal="center" vertical="top" wrapText="1"/>
      <protection/>
    </xf>
    <xf numFmtId="0" fontId="0" fillId="0" borderId="28" xfId="23" applyFont="1" applyBorder="1" applyAlignment="1">
      <alignment horizontal="center" vertical="top" wrapText="1"/>
      <protection/>
    </xf>
    <xf numFmtId="0" fontId="0" fillId="0" borderId="20" xfId="23" applyFont="1" applyBorder="1" applyAlignment="1">
      <alignment vertical="top" wrapText="1"/>
      <protection/>
    </xf>
    <xf numFmtId="0" fontId="0" fillId="0" borderId="36" xfId="23" applyFont="1" applyBorder="1" applyAlignment="1">
      <alignment horizontal="right" vertical="top" wrapText="1"/>
      <protection/>
    </xf>
    <xf numFmtId="0" fontId="0" fillId="0" borderId="37" xfId="23" applyFont="1" applyBorder="1" applyAlignment="1">
      <alignment horizontal="right" vertical="top" wrapText="1"/>
      <protection/>
    </xf>
    <xf numFmtId="164" fontId="0" fillId="0" borderId="33" xfId="23" applyNumberFormat="1" applyFont="1" applyBorder="1" applyAlignment="1">
      <alignment horizontal="right" vertical="top" wrapText="1"/>
      <protection/>
    </xf>
    <xf numFmtId="0" fontId="0" fillId="0" borderId="38" xfId="23" applyFont="1" applyBorder="1" applyAlignment="1">
      <alignment horizontal="center" vertical="top" wrapText="1"/>
      <protection/>
    </xf>
    <xf numFmtId="0" fontId="0" fillId="0" borderId="20" xfId="23" applyFont="1" applyBorder="1" applyAlignment="1">
      <alignment vertical="top" wrapText="1"/>
      <protection/>
    </xf>
    <xf numFmtId="0" fontId="3" fillId="0" borderId="12"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8" xfId="23" applyFont="1" applyBorder="1" applyAlignment="1">
      <alignment horizontal="center" vertical="top" wrapText="1"/>
      <protection/>
    </xf>
    <xf numFmtId="0" fontId="3" fillId="0" borderId="20" xfId="23" applyFont="1" applyBorder="1" applyAlignment="1">
      <alignment vertical="top" wrapText="1"/>
      <protection/>
    </xf>
    <xf numFmtId="0" fontId="0" fillId="0" borderId="39" xfId="23" applyFont="1" applyBorder="1" applyAlignment="1">
      <alignment vertical="top" wrapText="1"/>
      <protection/>
    </xf>
    <xf numFmtId="164" fontId="0" fillId="0" borderId="17" xfId="23" applyNumberFormat="1" applyBorder="1" applyAlignment="1">
      <alignment vertical="top"/>
      <protection/>
    </xf>
    <xf numFmtId="1" fontId="0" fillId="0" borderId="17" xfId="23" applyNumberFormat="1" applyBorder="1" applyAlignment="1">
      <alignment vertical="top"/>
      <protection/>
    </xf>
    <xf numFmtId="164" fontId="0" fillId="0" borderId="17" xfId="23" applyNumberFormat="1" applyFont="1" applyBorder="1" applyAlignment="1">
      <alignment horizontal="right" vertical="top" wrapText="1"/>
      <protection/>
    </xf>
    <xf numFmtId="165" fontId="0" fillId="0" borderId="40" xfId="23" applyNumberFormat="1" applyFont="1" applyBorder="1">
      <alignment/>
      <protection/>
    </xf>
    <xf numFmtId="164" fontId="0" fillId="0" borderId="33" xfId="23" applyNumberFormat="1" applyFont="1" applyBorder="1">
      <alignment/>
      <protection/>
    </xf>
    <xf numFmtId="0" fontId="0" fillId="0" borderId="39" xfId="23" applyFont="1" applyBorder="1" applyAlignment="1">
      <alignment vertical="top" wrapText="1"/>
      <protection/>
    </xf>
    <xf numFmtId="165" fontId="0" fillId="0" borderId="41" xfId="23" applyNumberFormat="1" applyFont="1" applyBorder="1">
      <alignment/>
      <protection/>
    </xf>
    <xf numFmtId="165" fontId="0" fillId="0" borderId="42" xfId="23" applyNumberFormat="1" applyFont="1" applyBorder="1">
      <alignment/>
      <protection/>
    </xf>
    <xf numFmtId="164" fontId="0" fillId="0" borderId="41" xfId="23" applyNumberFormat="1" applyFont="1" applyBorder="1">
      <alignment/>
      <protection/>
    </xf>
    <xf numFmtId="164" fontId="0" fillId="0" borderId="17" xfId="23" applyNumberFormat="1" applyFont="1" applyBorder="1">
      <alignment/>
      <protection/>
    </xf>
    <xf numFmtId="0" fontId="3" fillId="0" borderId="14" xfId="23" applyFont="1" applyBorder="1" applyAlignment="1">
      <alignment vertical="top" wrapText="1"/>
      <protection/>
    </xf>
    <xf numFmtId="165" fontId="3" fillId="0" borderId="43" xfId="23" applyNumberFormat="1" applyFont="1" applyBorder="1">
      <alignment/>
      <protection/>
    </xf>
    <xf numFmtId="164" fontId="3" fillId="0" borderId="15" xfId="23" applyNumberFormat="1" applyFont="1" applyBorder="1">
      <alignment/>
      <protection/>
    </xf>
    <xf numFmtId="0" fontId="3" fillId="0" borderId="22"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Font="1" applyBorder="1" applyAlignment="1">
      <alignment horizontal="center" vertical="top" wrapText="1"/>
      <protection/>
    </xf>
    <xf numFmtId="165" fontId="3" fillId="0" borderId="14" xfId="23" applyNumberFormat="1" applyFont="1" applyBorder="1">
      <alignment/>
      <protection/>
    </xf>
    <xf numFmtId="0" fontId="0" fillId="0" borderId="0" xfId="23" applyAlignment="1">
      <alignment vertical="top"/>
      <protection/>
    </xf>
    <xf numFmtId="0" fontId="35" fillId="0" borderId="0" xfId="23" applyFont="1" applyAlignment="1">
      <alignment horizontal="right"/>
      <protection/>
    </xf>
    <xf numFmtId="165" fontId="0" fillId="0" borderId="20" xfId="23" applyNumberFormat="1" applyFont="1" applyFill="1" applyBorder="1" applyAlignment="1">
      <alignment vertical="top"/>
      <protection/>
    </xf>
    <xf numFmtId="165" fontId="3" fillId="0" borderId="14" xfId="23" applyNumberFormat="1" applyFont="1" applyBorder="1" applyAlignment="1">
      <alignment vertical="top"/>
      <protection/>
    </xf>
    <xf numFmtId="0" fontId="0" fillId="0" borderId="25" xfId="23" applyBorder="1">
      <alignment/>
      <protection/>
    </xf>
    <xf numFmtId="0" fontId="18" fillId="0" borderId="0" xfId="23" applyFont="1">
      <alignment/>
      <protection/>
    </xf>
    <xf numFmtId="164" fontId="3" fillId="0" borderId="33" xfId="23" applyNumberFormat="1" applyFont="1" applyBorder="1" applyAlignment="1">
      <alignment horizontal="right" vertical="top" wrapText="1"/>
      <protection/>
    </xf>
    <xf numFmtId="168" fontId="0" fillId="0" borderId="33" xfId="24" applyNumberFormat="1" applyBorder="1" applyAlignment="1">
      <alignment vertical="top"/>
    </xf>
    <xf numFmtId="0" fontId="0" fillId="0" borderId="39" xfId="23" applyFont="1" applyBorder="1">
      <alignment/>
      <protection/>
    </xf>
    <xf numFmtId="0" fontId="0" fillId="0" borderId="14" xfId="23" applyFont="1" applyBorder="1">
      <alignment/>
      <protection/>
    </xf>
    <xf numFmtId="0" fontId="3" fillId="0" borderId="44" xfId="23" applyFont="1" applyBorder="1" applyAlignment="1">
      <alignment horizontal="center" vertical="top" wrapText="1"/>
      <protection/>
    </xf>
    <xf numFmtId="1" fontId="0" fillId="0" borderId="28" xfId="23" applyNumberFormat="1" applyBorder="1">
      <alignment/>
      <protection/>
    </xf>
    <xf numFmtId="0" fontId="34" fillId="0" borderId="0" xfId="23" applyFont="1">
      <alignment/>
      <protection/>
    </xf>
    <xf numFmtId="0" fontId="0" fillId="0" borderId="38"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5" xfId="23" applyFont="1" applyBorder="1" applyAlignment="1">
      <alignment horizontal="center" vertical="top" wrapText="1"/>
      <protection/>
    </xf>
    <xf numFmtId="170" fontId="0" fillId="0" borderId="0" xfId="23" applyNumberFormat="1">
      <alignment/>
      <protection/>
    </xf>
    <xf numFmtId="9" fontId="0" fillId="0" borderId="0" xfId="23" applyNumberFormat="1">
      <alignment/>
      <protection/>
    </xf>
    <xf numFmtId="169" fontId="35" fillId="0" borderId="0" xfId="23" applyNumberFormat="1" applyFont="1">
      <alignment/>
      <protection/>
    </xf>
    <xf numFmtId="171" fontId="35" fillId="0" borderId="0" xfId="23" applyNumberFormat="1" applyFont="1">
      <alignment/>
      <protection/>
    </xf>
    <xf numFmtId="2" fontId="0" fillId="0" borderId="33" xfId="23" applyNumberFormat="1" applyFont="1" applyBorder="1" applyAlignment="1">
      <alignment horizontal="right" vertical="top" wrapText="1"/>
      <protection/>
    </xf>
    <xf numFmtId="0" fontId="0" fillId="0" borderId="45" xfId="23" applyFont="1" applyBorder="1" applyAlignment="1">
      <alignment horizontal="right" vertical="top" wrapText="1"/>
      <protection/>
    </xf>
    <xf numFmtId="168" fontId="0" fillId="0" borderId="12" xfId="24" applyNumberFormat="1" applyBorder="1" applyAlignment="1">
      <alignment vertical="top"/>
    </xf>
    <xf numFmtId="0" fontId="0" fillId="0" borderId="10" xfId="23" applyFont="1" applyBorder="1" applyAlignment="1">
      <alignment horizontal="left" vertical="top" wrapText="1" indent="4"/>
      <protection/>
    </xf>
    <xf numFmtId="0" fontId="0" fillId="0" borderId="10" xfId="23" applyFont="1" applyBorder="1" applyAlignment="1">
      <alignment horizontal="left" vertical="top" wrapText="1" indent="6"/>
      <protection/>
    </xf>
    <xf numFmtId="2" fontId="0" fillId="0" borderId="12" xfId="23" applyNumberFormat="1" applyFont="1" applyBorder="1" applyAlignment="1">
      <alignment horizontal="right" vertical="top" wrapText="1"/>
      <protection/>
    </xf>
    <xf numFmtId="0" fontId="0" fillId="0" borderId="32" xfId="23" applyFont="1" applyBorder="1" applyAlignment="1">
      <alignment horizontal="right" vertical="top" wrapText="1"/>
      <protection/>
    </xf>
    <xf numFmtId="168" fontId="0" fillId="0" borderId="37" xfId="24" applyNumberFormat="1" applyBorder="1" applyAlignment="1">
      <alignment vertical="top"/>
    </xf>
    <xf numFmtId="0" fontId="0" fillId="0" borderId="13" xfId="23" applyFont="1" applyBorder="1" applyAlignment="1">
      <alignment horizontal="right" vertical="top" wrapText="1"/>
      <protection/>
    </xf>
    <xf numFmtId="164" fontId="0" fillId="0" borderId="45" xfId="23" applyNumberFormat="1" applyBorder="1" applyAlignment="1">
      <alignment vertical="top"/>
      <protection/>
    </xf>
    <xf numFmtId="168" fontId="0" fillId="0" borderId="45" xfId="24" applyNumberFormat="1" applyBorder="1" applyAlignment="1">
      <alignment vertical="top"/>
    </xf>
    <xf numFmtId="2" fontId="0" fillId="0" borderId="28" xfId="23" applyNumberFormat="1" applyFont="1" applyBorder="1" applyAlignment="1">
      <alignment horizontal="right" vertical="top" wrapText="1"/>
      <protection/>
    </xf>
    <xf numFmtId="168" fontId="0" fillId="0" borderId="36" xfId="24" applyNumberFormat="1" applyBorder="1" applyAlignment="1">
      <alignment vertical="top"/>
    </xf>
    <xf numFmtId="168" fontId="0" fillId="0" borderId="46" xfId="24" applyNumberFormat="1" applyBorder="1" applyAlignment="1">
      <alignment vertical="top"/>
    </xf>
    <xf numFmtId="164" fontId="0" fillId="0" borderId="46" xfId="23" applyNumberFormat="1" applyBorder="1" applyAlignment="1">
      <alignment vertical="top"/>
      <protection/>
    </xf>
    <xf numFmtId="164" fontId="0" fillId="0" borderId="38" xfId="23" applyNumberFormat="1" applyBorder="1" applyAlignment="1">
      <alignment vertical="top"/>
      <protection/>
    </xf>
    <xf numFmtId="168" fontId="0" fillId="0" borderId="32" xfId="24" applyNumberFormat="1" applyBorder="1" applyAlignment="1">
      <alignment vertical="top"/>
    </xf>
    <xf numFmtId="168" fontId="0" fillId="0" borderId="13" xfId="24" applyNumberFormat="1" applyBorder="1" applyAlignment="1">
      <alignment vertical="top"/>
    </xf>
    <xf numFmtId="168" fontId="0" fillId="0" borderId="25" xfId="24" applyNumberFormat="1" applyBorder="1" applyAlignment="1">
      <alignment vertical="top"/>
    </xf>
    <xf numFmtId="0" fontId="0" fillId="0" borderId="22" xfId="23" applyFont="1" applyBorder="1" applyAlignment="1">
      <alignment horizontal="left"/>
      <protection/>
    </xf>
    <xf numFmtId="0" fontId="0" fillId="0" borderId="10" xfId="23" applyFont="1" applyBorder="1" applyAlignment="1">
      <alignment horizontal="left"/>
      <protection/>
    </xf>
    <xf numFmtId="0" fontId="0" fillId="0" borderId="11" xfId="23" applyFont="1" applyBorder="1" applyAlignment="1">
      <alignment horizontal="left"/>
      <protection/>
    </xf>
    <xf numFmtId="0" fontId="0" fillId="0" borderId="0" xfId="23" applyFont="1" applyAlignment="1" quotePrefix="1">
      <alignment vertical="top"/>
      <protection/>
    </xf>
    <xf numFmtId="165" fontId="0" fillId="0" borderId="22" xfId="23" applyNumberFormat="1" applyFont="1" applyFill="1" applyBorder="1" applyAlignment="1">
      <alignment vertical="top"/>
      <protection/>
    </xf>
    <xf numFmtId="0" fontId="36" fillId="0" borderId="0" xfId="23" applyFont="1">
      <alignment/>
      <protection/>
    </xf>
    <xf numFmtId="0" fontId="3" fillId="0" borderId="11" xfId="23" applyFont="1" applyBorder="1">
      <alignment/>
      <protection/>
    </xf>
    <xf numFmtId="0" fontId="0" fillId="0" borderId="10" xfId="23" applyBorder="1" quotePrefix="1">
      <alignment/>
      <protection/>
    </xf>
    <xf numFmtId="0" fontId="0" fillId="0" borderId="0" xfId="23">
      <alignment/>
      <protection/>
    </xf>
    <xf numFmtId="0" fontId="0" fillId="0" borderId="47" xfId="23" applyBorder="1">
      <alignment/>
      <protection/>
    </xf>
    <xf numFmtId="0" fontId="0" fillId="0" borderId="11" xfId="23" applyBorder="1">
      <alignment/>
      <protection/>
    </xf>
    <xf numFmtId="0" fontId="0" fillId="0" borderId="28"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8"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8"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8"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11" xfId="23" applyFont="1" applyBorder="1">
      <alignment/>
      <protection/>
    </xf>
    <xf numFmtId="0" fontId="0" fillId="0" borderId="47" xfId="23" applyFont="1" applyBorder="1">
      <alignment/>
      <protection/>
    </xf>
    <xf numFmtId="0" fontId="0" fillId="0" borderId="45" xfId="23" applyFont="1" applyFill="1" applyBorder="1" applyAlignment="1">
      <alignment horizontal="right" vertical="top" wrapText="1"/>
      <protection/>
    </xf>
    <xf numFmtId="0" fontId="0" fillId="0" borderId="29" xfId="23" applyFont="1" applyFill="1" applyBorder="1" applyAlignment="1">
      <alignment horizontal="right" vertical="top" wrapText="1"/>
      <protection/>
    </xf>
    <xf numFmtId="2" fontId="0" fillId="0" borderId="18" xfId="24" applyNumberFormat="1" applyFont="1" applyFill="1" applyBorder="1"/>
    <xf numFmtId="0" fontId="0" fillId="0" borderId="20" xfId="23" applyFont="1" applyFill="1" applyBorder="1" applyAlignment="1">
      <alignment vertical="top" wrapText="1"/>
      <protection/>
    </xf>
    <xf numFmtId="0" fontId="0" fillId="0" borderId="10" xfId="23" applyFont="1" applyFill="1" applyBorder="1" applyAlignment="1">
      <alignment vertical="top" wrapText="1"/>
      <protection/>
    </xf>
    <xf numFmtId="0" fontId="0" fillId="0" borderId="10" xfId="23" applyFont="1" applyFill="1" applyBorder="1" applyAlignment="1">
      <alignment horizontal="left" vertical="top" wrapText="1"/>
      <protection/>
    </xf>
    <xf numFmtId="164" fontId="0" fillId="0" borderId="13" xfId="23" applyNumberFormat="1" applyFont="1" applyFill="1" applyBorder="1" applyAlignment="1">
      <alignment horizontal="right" vertical="top" wrapText="1"/>
      <protection/>
    </xf>
    <xf numFmtId="0" fontId="0" fillId="0" borderId="13" xfId="23" applyFont="1" applyFill="1" applyBorder="1" applyAlignment="1">
      <alignment horizontal="right" vertical="top" wrapText="1"/>
      <protection/>
    </xf>
    <xf numFmtId="164" fontId="0" fillId="0" borderId="25" xfId="23" applyNumberFormat="1" applyFont="1" applyFill="1" applyBorder="1" applyAlignment="1">
      <alignment horizontal="right" vertical="top" wrapText="1"/>
      <protection/>
    </xf>
    <xf numFmtId="0" fontId="0" fillId="0" borderId="20" xfId="23" applyFont="1" applyFill="1" applyBorder="1" applyAlignment="1">
      <alignment horizontal="left" vertical="top" wrapText="1" indent="1"/>
      <protection/>
    </xf>
    <xf numFmtId="0" fontId="38" fillId="0" borderId="0" xfId="0" applyFont="1"/>
    <xf numFmtId="172" fontId="38" fillId="0" borderId="0" xfId="0" applyNumberFormat="1" applyFont="1"/>
    <xf numFmtId="173" fontId="38" fillId="0" borderId="0" xfId="0" applyNumberFormat="1" applyFont="1"/>
    <xf numFmtId="173" fontId="39" fillId="0" borderId="0" xfId="0" applyNumberFormat="1" applyFont="1"/>
    <xf numFmtId="0" fontId="3" fillId="0" borderId="0" xfId="0" applyFont="1"/>
    <xf numFmtId="0" fontId="0" fillId="0" borderId="0" xfId="0" applyFont="1"/>
    <xf numFmtId="0" fontId="40" fillId="0" borderId="0" xfId="23" applyFont="1">
      <alignment/>
      <protection/>
    </xf>
    <xf numFmtId="1" fontId="40" fillId="0" borderId="0" xfId="23" applyNumberFormat="1" applyFont="1">
      <alignment/>
      <protection/>
    </xf>
    <xf numFmtId="0" fontId="0" fillId="0" borderId="10" xfId="0" applyBorder="1"/>
    <xf numFmtId="1" fontId="3" fillId="0" borderId="21" xfId="23" applyNumberFormat="1" applyFont="1" applyBorder="1">
      <alignment/>
      <protection/>
    </xf>
    <xf numFmtId="3" fontId="0" fillId="0" borderId="13" xfId="0" applyNumberFormat="1" applyBorder="1"/>
    <xf numFmtId="3" fontId="3" fillId="0" borderId="15" xfId="0" applyNumberFormat="1" applyFont="1" applyBorder="1"/>
    <xf numFmtId="1" fontId="0" fillId="0" borderId="13" xfId="23" applyNumberFormat="1" applyBorder="1">
      <alignment/>
      <protection/>
    </xf>
    <xf numFmtId="1" fontId="0" fillId="0" borderId="33" xfId="23" applyNumberFormat="1" applyBorder="1" applyAlignment="1">
      <alignment horizontal="center" vertical="top"/>
      <protection/>
    </xf>
    <xf numFmtId="165" fontId="0" fillId="0" borderId="12" xfId="23" applyNumberFormat="1" applyBorder="1">
      <alignment/>
      <protection/>
    </xf>
    <xf numFmtId="0" fontId="15" fillId="0" borderId="0" xfId="23" applyFont="1" applyFill="1" applyAlignment="1">
      <alignment horizontal="center"/>
      <protection/>
    </xf>
    <xf numFmtId="1" fontId="0" fillId="0" borderId="13" xfId="23" applyNumberFormat="1" applyFill="1" applyBorder="1">
      <alignment/>
      <protection/>
    </xf>
    <xf numFmtId="1" fontId="0" fillId="0" borderId="33" xfId="23" applyNumberFormat="1" applyFill="1" applyBorder="1" applyAlignment="1">
      <alignment horizontal="center" vertical="top"/>
      <protection/>
    </xf>
    <xf numFmtId="3" fontId="0" fillId="0" borderId="13" xfId="0" applyNumberFormat="1" applyFill="1" applyBorder="1"/>
    <xf numFmtId="165" fontId="0" fillId="0" borderId="12" xfId="23" applyNumberFormat="1" applyFill="1" applyBorder="1">
      <alignment/>
      <protection/>
    </xf>
    <xf numFmtId="165" fontId="0" fillId="0" borderId="13" xfId="23" applyNumberFormat="1" applyFill="1" applyBorder="1">
      <alignment/>
      <protection/>
    </xf>
    <xf numFmtId="1" fontId="0" fillId="0" borderId="32" xfId="23" applyNumberFormat="1" applyBorder="1" applyAlignment="1">
      <alignment/>
      <protection/>
    </xf>
    <xf numFmtId="1" fontId="0" fillId="0" borderId="10" xfId="23" applyNumberFormat="1" applyBorder="1">
      <alignment/>
      <protection/>
    </xf>
    <xf numFmtId="0" fontId="41" fillId="0" borderId="0" xfId="23" applyFont="1">
      <alignment/>
      <protection/>
    </xf>
    <xf numFmtId="3" fontId="42" fillId="0" borderId="48" xfId="0" applyNumberFormat="1" applyFont="1" applyBorder="1"/>
    <xf numFmtId="0" fontId="43" fillId="0" borderId="0" xfId="0" applyFont="1"/>
    <xf numFmtId="0" fontId="5" fillId="0" borderId="0" xfId="0" applyFont="1"/>
    <xf numFmtId="0" fontId="44" fillId="0" borderId="0" xfId="0" applyFont="1"/>
    <xf numFmtId="0" fontId="3" fillId="0" borderId="0" xfId="0" applyFont="1" applyAlignment="1">
      <alignment horizontal="right"/>
    </xf>
    <xf numFmtId="3" fontId="0" fillId="0" borderId="0" xfId="0" applyNumberFormat="1"/>
    <xf numFmtId="0" fontId="45" fillId="0" borderId="0" xfId="0" applyFont="1" applyAlignment="1" applyProtection="1">
      <alignment horizontal="center"/>
      <protection/>
    </xf>
    <xf numFmtId="0" fontId="3" fillId="0" borderId="0" xfId="0" applyFont="1" quotePrefix="1"/>
    <xf numFmtId="3" fontId="3" fillId="0" borderId="0" xfId="0" applyNumberFormat="1" applyFont="1"/>
    <xf numFmtId="0" fontId="0" fillId="0" borderId="0" xfId="0" quotePrefix="1"/>
    <xf numFmtId="3" fontId="0" fillId="0" borderId="0" xfId="0" applyNumberFormat="1" applyFill="1"/>
    <xf numFmtId="0" fontId="0" fillId="0" borderId="0" xfId="0" applyAlignment="1">
      <alignment vertical="center"/>
    </xf>
    <xf numFmtId="0" fontId="0" fillId="0" borderId="0" xfId="0" applyFill="1"/>
    <xf numFmtId="0" fontId="3" fillId="0" borderId="12" xfId="0" applyFont="1" applyBorder="1" applyAlignment="1">
      <alignment horizontal="right" vertical="top" wrapText="1"/>
    </xf>
    <xf numFmtId="0" fontId="3" fillId="0" borderId="33" xfId="0" applyFont="1" applyBorder="1" applyAlignment="1">
      <alignment horizontal="right" vertical="top" wrapText="1"/>
    </xf>
    <xf numFmtId="3" fontId="0" fillId="0" borderId="32" xfId="0" applyNumberFormat="1" applyBorder="1"/>
    <xf numFmtId="1" fontId="0" fillId="0" borderId="33" xfId="0" applyNumberFormat="1" applyBorder="1"/>
    <xf numFmtId="0" fontId="0" fillId="0" borderId="12" xfId="0" applyBorder="1"/>
    <xf numFmtId="0" fontId="0" fillId="0" borderId="47" xfId="0" applyBorder="1"/>
    <xf numFmtId="0" fontId="0" fillId="15" borderId="49" xfId="0" applyFill="1" applyBorder="1"/>
    <xf numFmtId="0" fontId="0" fillId="0" borderId="27" xfId="0" applyBorder="1"/>
    <xf numFmtId="0" fontId="0" fillId="0" borderId="10" xfId="0" applyFont="1" applyBorder="1"/>
    <xf numFmtId="1" fontId="0" fillId="0" borderId="12" xfId="0" applyNumberFormat="1" applyBorder="1"/>
    <xf numFmtId="0" fontId="0" fillId="15" borderId="50" xfId="0" applyFill="1" applyBorder="1"/>
    <xf numFmtId="3" fontId="3" fillId="0" borderId="16" xfId="0" applyNumberFormat="1" applyFont="1" applyBorder="1"/>
    <xf numFmtId="0" fontId="0" fillId="0" borderId="15" xfId="0" applyBorder="1"/>
    <xf numFmtId="0" fontId="3" fillId="0" borderId="14" xfId="0" applyFont="1" applyBorder="1"/>
    <xf numFmtId="0" fontId="3" fillId="15" borderId="51" xfId="0" applyFont="1" applyFill="1" applyBorder="1"/>
    <xf numFmtId="0" fontId="0" fillId="0" borderId="0" xfId="0" applyFill="1" quotePrefix="1"/>
    <xf numFmtId="0" fontId="0" fillId="0" borderId="52" xfId="0" applyBorder="1"/>
    <xf numFmtId="0" fontId="0" fillId="0" borderId="37" xfId="0" applyBorder="1"/>
    <xf numFmtId="0" fontId="18" fillId="0" borderId="10" xfId="0" applyFont="1" applyBorder="1"/>
    <xf numFmtId="1" fontId="18" fillId="0" borderId="33" xfId="0" applyNumberFormat="1" applyFont="1" applyBorder="1"/>
    <xf numFmtId="3" fontId="18" fillId="0" borderId="13" xfId="0" applyNumberFormat="1" applyFont="1" applyBorder="1"/>
    <xf numFmtId="0" fontId="18" fillId="0" borderId="12" xfId="0" applyFont="1" applyBorder="1"/>
    <xf numFmtId="0" fontId="18" fillId="0" borderId="47" xfId="0" applyFont="1" applyBorder="1"/>
    <xf numFmtId="1" fontId="18" fillId="0" borderId="12" xfId="0" applyNumberFormat="1" applyFont="1" applyBorder="1"/>
    <xf numFmtId="0" fontId="18" fillId="0" borderId="12" xfId="0" applyFont="1" applyFill="1" applyBorder="1"/>
    <xf numFmtId="3" fontId="18" fillId="0" borderId="32" xfId="0" applyNumberFormat="1" applyFont="1" applyFill="1" applyBorder="1"/>
    <xf numFmtId="3" fontId="18" fillId="0" borderId="53" xfId="0" applyNumberFormat="1" applyFont="1" applyBorder="1"/>
    <xf numFmtId="1" fontId="18" fillId="0" borderId="35" xfId="0" applyNumberFormat="1" applyFont="1" applyBorder="1"/>
    <xf numFmtId="3" fontId="18" fillId="0" borderId="53" xfId="0" applyNumberFormat="1" applyFont="1" applyFill="1" applyBorder="1"/>
    <xf numFmtId="0" fontId="18" fillId="0" borderId="35" xfId="0" applyFont="1" applyFill="1" applyBorder="1"/>
    <xf numFmtId="0" fontId="18" fillId="0" borderId="15" xfId="0" applyFont="1" applyBorder="1"/>
    <xf numFmtId="0" fontId="18" fillId="0" borderId="27" xfId="0" applyFont="1" applyBorder="1"/>
    <xf numFmtId="0" fontId="18" fillId="0" borderId="32" xfId="0" applyFont="1" applyBorder="1"/>
    <xf numFmtId="0" fontId="18" fillId="0" borderId="35" xfId="0" applyFont="1" applyBorder="1"/>
    <xf numFmtId="0" fontId="3" fillId="0" borderId="13" xfId="0" applyFont="1" applyBorder="1" applyAlignment="1">
      <alignment horizontal="right" vertical="top" wrapText="1"/>
    </xf>
    <xf numFmtId="0" fontId="0" fillId="0" borderId="13" xfId="0" applyBorder="1"/>
    <xf numFmtId="0" fontId="18" fillId="15" borderId="49" xfId="0" applyFont="1" applyFill="1" applyBorder="1"/>
    <xf numFmtId="3" fontId="18" fillId="0" borderId="13" xfId="0" applyNumberFormat="1" applyFont="1" applyFill="1" applyBorder="1"/>
    <xf numFmtId="0" fontId="18" fillId="15" borderId="50" xfId="0" applyFont="1" applyFill="1" applyBorder="1"/>
    <xf numFmtId="0" fontId="18" fillId="0" borderId="0" xfId="0" applyFont="1"/>
    <xf numFmtId="0" fontId="18" fillId="0" borderId="13" xfId="0" applyFont="1" applyBorder="1"/>
    <xf numFmtId="0" fontId="18" fillId="0" borderId="0" xfId="0" applyFont="1" quotePrefix="1"/>
    <xf numFmtId="3" fontId="46" fillId="0" borderId="0" xfId="0" applyNumberFormat="1" applyFont="1" applyBorder="1"/>
    <xf numFmtId="0" fontId="18" fillId="0" borderId="0" xfId="0" applyFont="1" applyBorder="1"/>
    <xf numFmtId="3" fontId="46" fillId="0" borderId="0" xfId="0" applyNumberFormat="1" applyFont="1" applyFill="1" applyBorder="1"/>
    <xf numFmtId="0" fontId="46" fillId="0" borderId="0" xfId="0" applyFont="1" applyBorder="1"/>
    <xf numFmtId="0" fontId="18" fillId="0" borderId="0" xfId="0" applyFont="1" applyFill="1" quotePrefix="1"/>
    <xf numFmtId="0" fontId="17" fillId="0" borderId="0" xfId="0" applyFont="1" quotePrefix="1"/>
    <xf numFmtId="3" fontId="17" fillId="0" borderId="0" xfId="0" applyNumberFormat="1" applyFont="1" applyAlignment="1">
      <alignment horizontal="center"/>
    </xf>
    <xf numFmtId="0" fontId="47" fillId="0" borderId="0" xfId="0" applyFont="1" applyAlignment="1">
      <alignment vertical="center"/>
    </xf>
    <xf numFmtId="0" fontId="0" fillId="0" borderId="54" xfId="0" applyBorder="1"/>
    <xf numFmtId="0" fontId="17" fillId="0" borderId="10" xfId="0" applyFont="1" applyBorder="1"/>
    <xf numFmtId="3" fontId="17" fillId="0" borderId="13" xfId="0" applyNumberFormat="1" applyFont="1" applyBorder="1"/>
    <xf numFmtId="164" fontId="18" fillId="0" borderId="0" xfId="0" applyNumberFormat="1" applyFont="1" applyFill="1" applyBorder="1"/>
    <xf numFmtId="0" fontId="48" fillId="0" borderId="45" xfId="0" applyFont="1" applyBorder="1"/>
    <xf numFmtId="164" fontId="37" fillId="0" borderId="45" xfId="0" applyNumberFormat="1" applyFont="1" applyBorder="1"/>
    <xf numFmtId="3" fontId="37" fillId="0" borderId="32" xfId="0" applyNumberFormat="1" applyFont="1" applyBorder="1"/>
    <xf numFmtId="3" fontId="37" fillId="0" borderId="13" xfId="0" applyNumberFormat="1" applyFont="1" applyBorder="1"/>
    <xf numFmtId="3" fontId="48" fillId="0" borderId="16" xfId="0" applyNumberFormat="1" applyFont="1" applyBorder="1"/>
    <xf numFmtId="0" fontId="37" fillId="0" borderId="10" xfId="0" applyFont="1" applyBorder="1"/>
    <xf numFmtId="0" fontId="48" fillId="0" borderId="0" xfId="0" applyFont="1" quotePrefix="1"/>
    <xf numFmtId="0" fontId="48" fillId="0" borderId="54" xfId="0" applyFont="1" applyBorder="1" applyAlignment="1">
      <alignment horizontal="right" vertical="top" wrapText="1"/>
    </xf>
    <xf numFmtId="0" fontId="48" fillId="0" borderId="12" xfId="0" applyFont="1" applyBorder="1" applyAlignment="1">
      <alignment horizontal="right" vertical="top" wrapText="1"/>
    </xf>
    <xf numFmtId="3" fontId="48" fillId="0" borderId="16" xfId="0" applyNumberFormat="1" applyFont="1" applyFill="1" applyBorder="1"/>
    <xf numFmtId="0" fontId="48" fillId="0" borderId="14" xfId="0" applyFont="1" applyBorder="1"/>
    <xf numFmtId="0" fontId="48" fillId="0" borderId="33" xfId="0" applyFont="1" applyBorder="1" applyAlignment="1">
      <alignment horizontal="right" vertical="top" wrapText="1"/>
    </xf>
    <xf numFmtId="0" fontId="37" fillId="0" borderId="47" xfId="0" applyFont="1" applyBorder="1"/>
    <xf numFmtId="0" fontId="37" fillId="0" borderId="52" xfId="0" applyFont="1" applyBorder="1"/>
    <xf numFmtId="0" fontId="37" fillId="0" borderId="37" xfId="0" applyFont="1" applyBorder="1"/>
    <xf numFmtId="3" fontId="48" fillId="0" borderId="15" xfId="0" applyNumberFormat="1" applyFont="1" applyFill="1" applyBorder="1"/>
    <xf numFmtId="3" fontId="48" fillId="0" borderId="15" xfId="0" applyNumberFormat="1" applyFont="1" applyBorder="1"/>
    <xf numFmtId="3" fontId="37" fillId="0" borderId="53" xfId="0" applyNumberFormat="1" applyFont="1" applyFill="1" applyBorder="1"/>
    <xf numFmtId="0" fontId="37" fillId="0" borderId="14" xfId="23" applyFont="1" applyBorder="1">
      <alignment/>
      <protection/>
    </xf>
    <xf numFmtId="0" fontId="48" fillId="0" borderId="15" xfId="23" applyFont="1" applyBorder="1">
      <alignment/>
      <protection/>
    </xf>
    <xf numFmtId="0" fontId="37" fillId="0" borderId="22" xfId="23" applyFont="1" applyBorder="1">
      <alignment/>
      <protection/>
    </xf>
    <xf numFmtId="164" fontId="37" fillId="0" borderId="24" xfId="23" applyNumberFormat="1" applyFont="1" applyBorder="1">
      <alignment/>
      <protection/>
    </xf>
    <xf numFmtId="0" fontId="37" fillId="0" borderId="39" xfId="23" applyFont="1" applyBorder="1">
      <alignment/>
      <protection/>
    </xf>
    <xf numFmtId="164" fontId="37" fillId="0" borderId="17" xfId="23" applyNumberFormat="1" applyFont="1" applyBorder="1">
      <alignment/>
      <protection/>
    </xf>
    <xf numFmtId="0" fontId="3" fillId="0" borderId="0" xfId="0" applyFont="1" applyFill="1" applyBorder="1"/>
    <xf numFmtId="0" fontId="37" fillId="15" borderId="49" xfId="0" applyFont="1" applyFill="1" applyBorder="1"/>
    <xf numFmtId="0" fontId="37" fillId="15" borderId="50" xfId="0" applyFont="1" applyFill="1" applyBorder="1"/>
    <xf numFmtId="0" fontId="48" fillId="15" borderId="51" xfId="0" applyFont="1" applyFill="1" applyBorder="1"/>
    <xf numFmtId="0" fontId="48" fillId="0" borderId="13" xfId="0" applyFont="1" applyBorder="1" applyAlignment="1">
      <alignment horizontal="right" vertical="top" wrapText="1"/>
    </xf>
    <xf numFmtId="3" fontId="37" fillId="0" borderId="13" xfId="0" applyNumberFormat="1" applyFont="1" applyFill="1" applyBorder="1"/>
    <xf numFmtId="0" fontId="0" fillId="0" borderId="12" xfId="0" applyFill="1" applyBorder="1"/>
    <xf numFmtId="3" fontId="3" fillId="0" borderId="16" xfId="0" applyNumberFormat="1" applyFont="1" applyFill="1" applyBorder="1"/>
    <xf numFmtId="3" fontId="3" fillId="0" borderId="15" xfId="0" applyNumberFormat="1" applyFont="1" applyFill="1" applyBorder="1"/>
    <xf numFmtId="0" fontId="18" fillId="0" borderId="54" xfId="0" applyFont="1" applyBorder="1"/>
    <xf numFmtId="0" fontId="37" fillId="0" borderId="15" xfId="0" applyFont="1" applyBorder="1"/>
    <xf numFmtId="0" fontId="37" fillId="0" borderId="0" xfId="0" applyFont="1"/>
    <xf numFmtId="3" fontId="18" fillId="0" borderId="0" xfId="0" applyNumberFormat="1" applyFont="1"/>
    <xf numFmtId="3" fontId="50" fillId="0" borderId="13" xfId="0" applyNumberFormat="1" applyFont="1" applyBorder="1"/>
    <xf numFmtId="165" fontId="0" fillId="0" borderId="55" xfId="0" applyNumberFormat="1" applyBorder="1"/>
    <xf numFmtId="2" fontId="0" fillId="0" borderId="15" xfId="23" applyNumberFormat="1" applyBorder="1">
      <alignment/>
      <protection/>
    </xf>
    <xf numFmtId="1" fontId="3" fillId="0" borderId="22" xfId="23" applyNumberFormat="1" applyFont="1" applyBorder="1">
      <alignment/>
      <protection/>
    </xf>
    <xf numFmtId="2" fontId="0" fillId="0" borderId="33" xfId="23" applyNumberFormat="1" applyBorder="1">
      <alignment/>
      <protection/>
    </xf>
    <xf numFmtId="0" fontId="0" fillId="0" borderId="39" xfId="23" applyBorder="1">
      <alignment/>
      <protection/>
    </xf>
    <xf numFmtId="165" fontId="3" fillId="0" borderId="0" xfId="23" applyNumberFormat="1" applyFont="1" applyBorder="1">
      <alignment/>
      <protection/>
    </xf>
    <xf numFmtId="0" fontId="0" fillId="0" borderId="0" xfId="23" applyBorder="1">
      <alignment/>
      <protection/>
    </xf>
    <xf numFmtId="0" fontId="16" fillId="0" borderId="0" xfId="23" applyFont="1" applyBorder="1">
      <alignment/>
      <protection/>
    </xf>
    <xf numFmtId="0" fontId="0" fillId="0" borderId="0" xfId="23" applyFont="1" applyBorder="1">
      <alignment/>
      <protection/>
    </xf>
    <xf numFmtId="1" fontId="17" fillId="0" borderId="32" xfId="23" applyNumberFormat="1" applyFont="1" applyBorder="1">
      <alignment/>
      <protection/>
    </xf>
    <xf numFmtId="1" fontId="17" fillId="0" borderId="33" xfId="23" applyNumberFormat="1" applyFont="1" applyBorder="1">
      <alignment/>
      <protection/>
    </xf>
    <xf numFmtId="165" fontId="17" fillId="0" borderId="32" xfId="23" applyNumberFormat="1" applyFont="1" applyBorder="1">
      <alignment/>
      <protection/>
    </xf>
    <xf numFmtId="0" fontId="51" fillId="0" borderId="0" xfId="23" applyFont="1" applyAlignment="1">
      <alignment horizontal="center"/>
      <protection/>
    </xf>
    <xf numFmtId="165" fontId="3" fillId="0" borderId="32" xfId="23" applyNumberFormat="1" applyFont="1" applyBorder="1">
      <alignment/>
      <protection/>
    </xf>
    <xf numFmtId="165" fontId="3" fillId="0" borderId="33" xfId="23" applyNumberFormat="1" applyFont="1" applyBorder="1">
      <alignment/>
      <protection/>
    </xf>
    <xf numFmtId="0" fontId="17" fillId="0" borderId="11" xfId="23" applyFont="1" applyBorder="1" applyAlignment="1">
      <alignment vertical="top" wrapText="1"/>
      <protection/>
    </xf>
    <xf numFmtId="165" fontId="17" fillId="0" borderId="25" xfId="23" applyNumberFormat="1" applyFont="1" applyBorder="1">
      <alignment/>
      <protection/>
    </xf>
    <xf numFmtId="165" fontId="17" fillId="0" borderId="28" xfId="23" applyNumberFormat="1" applyFont="1" applyBorder="1">
      <alignment/>
      <protection/>
    </xf>
    <xf numFmtId="0" fontId="52" fillId="0" borderId="0" xfId="23" applyFont="1" applyAlignment="1">
      <alignment horizontal="center"/>
      <protection/>
    </xf>
    <xf numFmtId="0" fontId="17" fillId="0" borderId="20" xfId="23" applyFont="1" applyBorder="1" applyAlignment="1">
      <alignment vertical="top" wrapText="1"/>
      <protection/>
    </xf>
    <xf numFmtId="171" fontId="17" fillId="0" borderId="32" xfId="23" applyNumberFormat="1" applyFont="1" applyBorder="1">
      <alignment/>
      <protection/>
    </xf>
    <xf numFmtId="165" fontId="17" fillId="0" borderId="33" xfId="23" applyNumberFormat="1" applyFont="1" applyBorder="1">
      <alignment/>
      <protection/>
    </xf>
    <xf numFmtId="0" fontId="17" fillId="0" borderId="0" xfId="23" applyFont="1">
      <alignment/>
      <protection/>
    </xf>
    <xf numFmtId="164" fontId="0" fillId="0" borderId="54" xfId="23" applyNumberFormat="1" applyBorder="1">
      <alignment/>
      <protection/>
    </xf>
    <xf numFmtId="164" fontId="0" fillId="0" borderId="27" xfId="23" applyNumberFormat="1" applyBorder="1">
      <alignment/>
      <protection/>
    </xf>
    <xf numFmtId="0" fontId="17" fillId="0" borderId="10" xfId="23" applyFont="1" applyBorder="1" applyAlignment="1">
      <alignment vertical="top" wrapText="1"/>
      <protection/>
    </xf>
    <xf numFmtId="165" fontId="3" fillId="0" borderId="40" xfId="23" applyNumberFormat="1" applyFont="1" applyBorder="1">
      <alignment/>
      <protection/>
    </xf>
    <xf numFmtId="164" fontId="3" fillId="0" borderId="32" xfId="23" applyNumberFormat="1" applyFont="1" applyBorder="1">
      <alignment/>
      <protection/>
    </xf>
    <xf numFmtId="164" fontId="3" fillId="0" borderId="33" xfId="23" applyNumberFormat="1" applyFont="1" applyBorder="1">
      <alignment/>
      <protection/>
    </xf>
    <xf numFmtId="171" fontId="17" fillId="0" borderId="54" xfId="23" applyNumberFormat="1" applyFont="1" applyBorder="1" applyAlignment="1">
      <alignment horizontal="right"/>
      <protection/>
    </xf>
    <xf numFmtId="0" fontId="18" fillId="0" borderId="0" xfId="22" applyFont="1">
      <alignment/>
      <protection/>
    </xf>
    <xf numFmtId="0" fontId="46" fillId="0" borderId="30" xfId="23" applyFont="1" applyBorder="1" applyAlignment="1">
      <alignment horizontal="center" vertical="top" wrapText="1"/>
      <protection/>
    </xf>
    <xf numFmtId="0" fontId="46" fillId="0" borderId="23" xfId="23" applyFont="1" applyBorder="1" applyAlignment="1">
      <alignment horizontal="center" vertical="top" wrapText="1"/>
      <protection/>
    </xf>
    <xf numFmtId="0" fontId="46" fillId="0" borderId="24" xfId="23" applyFont="1" applyBorder="1" applyAlignment="1">
      <alignment horizontal="center" vertical="top" wrapText="1"/>
      <protection/>
    </xf>
    <xf numFmtId="0" fontId="18" fillId="0" borderId="38" xfId="23" applyFont="1" applyBorder="1" applyAlignment="1">
      <alignment horizontal="center" vertical="top" wrapText="1"/>
      <protection/>
    </xf>
    <xf numFmtId="0" fontId="18" fillId="0" borderId="29" xfId="23" applyFont="1" applyBorder="1" applyAlignment="1">
      <alignment horizontal="center" vertical="top" wrapText="1"/>
      <protection/>
    </xf>
    <xf numFmtId="0" fontId="18" fillId="0" borderId="28" xfId="23" applyFont="1" applyBorder="1" applyAlignment="1">
      <alignment horizontal="center" vertical="top" wrapText="1"/>
      <protection/>
    </xf>
    <xf numFmtId="0" fontId="18" fillId="0" borderId="20" xfId="23" applyFont="1" applyBorder="1" applyAlignment="1">
      <alignment vertical="top" wrapText="1"/>
      <protection/>
    </xf>
    <xf numFmtId="0" fontId="18" fillId="0" borderId="36" xfId="23" applyFont="1" applyBorder="1" applyAlignment="1">
      <alignment horizontal="center" vertical="top" wrapText="1"/>
      <protection/>
    </xf>
    <xf numFmtId="0" fontId="18" fillId="0" borderId="37" xfId="23" applyFont="1" applyBorder="1" applyAlignment="1">
      <alignment horizontal="center" vertical="top" wrapText="1"/>
      <protection/>
    </xf>
    <xf numFmtId="164" fontId="18" fillId="0" borderId="33" xfId="23" applyNumberFormat="1" applyFont="1" applyBorder="1" applyAlignment="1">
      <alignment vertical="top"/>
      <protection/>
    </xf>
    <xf numFmtId="164" fontId="18" fillId="0" borderId="33" xfId="23" applyNumberFormat="1" applyFont="1" applyBorder="1" applyAlignment="1">
      <alignment horizontal="right" vertical="top" wrapText="1"/>
      <protection/>
    </xf>
    <xf numFmtId="0" fontId="53" fillId="0" borderId="10" xfId="26" applyFont="1" applyBorder="1" applyAlignment="1">
      <alignment horizontal="left" vertical="top" wrapText="1" indent="4"/>
      <protection/>
    </xf>
    <xf numFmtId="164" fontId="18" fillId="0" borderId="46" xfId="23" applyNumberFormat="1" applyFont="1" applyFill="1" applyBorder="1" applyAlignment="1">
      <alignment vertical="top"/>
      <protection/>
    </xf>
    <xf numFmtId="1" fontId="18" fillId="0" borderId="45" xfId="42" applyNumberFormat="1" applyFont="1" applyFill="1" applyBorder="1" applyAlignment="1">
      <alignment vertical="top"/>
      <protection/>
    </xf>
    <xf numFmtId="164" fontId="18" fillId="0" borderId="12" xfId="23" applyNumberFormat="1" applyFont="1" applyBorder="1" applyAlignment="1">
      <alignment vertical="top"/>
      <protection/>
    </xf>
    <xf numFmtId="0" fontId="18" fillId="0" borderId="10" xfId="23" applyFont="1" applyBorder="1" applyAlignment="1">
      <alignment vertical="top" wrapText="1"/>
      <protection/>
    </xf>
    <xf numFmtId="164" fontId="18" fillId="0" borderId="12" xfId="23" applyNumberFormat="1" applyFont="1" applyBorder="1" applyAlignment="1">
      <alignment horizontal="right" vertical="top" wrapText="1"/>
      <protection/>
    </xf>
    <xf numFmtId="164" fontId="18" fillId="0" borderId="56" xfId="23" applyNumberFormat="1" applyFont="1" applyFill="1" applyBorder="1" applyAlignment="1">
      <alignment vertical="top"/>
      <protection/>
    </xf>
    <xf numFmtId="1" fontId="18" fillId="0" borderId="52" xfId="42" applyNumberFormat="1" applyFont="1" applyFill="1" applyBorder="1" applyAlignment="1">
      <alignment vertical="top"/>
      <protection/>
    </xf>
    <xf numFmtId="164" fontId="18" fillId="0" borderId="27" xfId="23" applyNumberFormat="1" applyFont="1" applyBorder="1" applyAlignment="1">
      <alignment vertical="top"/>
      <protection/>
    </xf>
    <xf numFmtId="0" fontId="53" fillId="0" borderId="11" xfId="26" applyFont="1" applyBorder="1" applyAlignment="1">
      <alignment horizontal="left" vertical="top" wrapText="1" indent="4"/>
      <protection/>
    </xf>
    <xf numFmtId="164" fontId="18" fillId="0" borderId="38" xfId="23" applyNumberFormat="1" applyFont="1" applyFill="1" applyBorder="1" applyAlignment="1">
      <alignment vertical="top"/>
      <protection/>
    </xf>
    <xf numFmtId="1" fontId="18" fillId="0" borderId="29" xfId="42" applyNumberFormat="1" applyFont="1" applyFill="1" applyBorder="1" applyAlignment="1">
      <alignment vertical="top"/>
      <protection/>
    </xf>
    <xf numFmtId="164" fontId="18" fillId="0" borderId="28" xfId="23" applyNumberFormat="1" applyFont="1" applyBorder="1" applyAlignment="1">
      <alignment vertical="top"/>
      <protection/>
    </xf>
    <xf numFmtId="0" fontId="54" fillId="0" borderId="0" xfId="23" applyFont="1">
      <alignment/>
      <protection/>
    </xf>
    <xf numFmtId="0" fontId="55" fillId="0" borderId="0" xfId="23" applyFont="1">
      <alignment/>
      <protection/>
    </xf>
    <xf numFmtId="0" fontId="18" fillId="0" borderId="14" xfId="23" applyFont="1" applyBorder="1">
      <alignment/>
      <protection/>
    </xf>
    <xf numFmtId="0" fontId="46" fillId="0" borderId="34" xfId="23" applyFont="1" applyBorder="1" applyAlignment="1">
      <alignment horizontal="center"/>
      <protection/>
    </xf>
    <xf numFmtId="0" fontId="46" fillId="0" borderId="0" xfId="23" applyFont="1" applyAlignment="1">
      <alignment horizontal="right"/>
      <protection/>
    </xf>
    <xf numFmtId="0" fontId="18" fillId="0" borderId="20" xfId="23" applyFont="1" applyBorder="1">
      <alignment/>
      <protection/>
    </xf>
    <xf numFmtId="0" fontId="18" fillId="0" borderId="10" xfId="23" applyFont="1" applyBorder="1" quotePrefix="1">
      <alignment/>
      <protection/>
    </xf>
    <xf numFmtId="1" fontId="18" fillId="0" borderId="18" xfId="23" applyNumberFormat="1" applyFont="1" applyBorder="1">
      <alignment/>
      <protection/>
    </xf>
    <xf numFmtId="0" fontId="46" fillId="0" borderId="10" xfId="23" applyFont="1" applyBorder="1">
      <alignment/>
      <protection/>
    </xf>
    <xf numFmtId="0" fontId="46" fillId="0" borderId="11" xfId="23" applyFont="1" applyBorder="1">
      <alignment/>
      <protection/>
    </xf>
    <xf numFmtId="0" fontId="18" fillId="0" borderId="0" xfId="23" applyFont="1" quotePrefix="1">
      <alignment/>
      <protection/>
    </xf>
    <xf numFmtId="3" fontId="18" fillId="0" borderId="0" xfId="23" applyNumberFormat="1" applyFont="1">
      <alignment/>
      <protection/>
    </xf>
    <xf numFmtId="0" fontId="46" fillId="0" borderId="0" xfId="23" applyFont="1">
      <alignment/>
      <protection/>
    </xf>
    <xf numFmtId="3" fontId="46" fillId="0" borderId="0" xfId="23" applyNumberFormat="1" applyFont="1">
      <alignment/>
      <protection/>
    </xf>
    <xf numFmtId="0" fontId="46" fillId="0" borderId="25" xfId="23" applyFont="1" applyBorder="1" applyAlignment="1">
      <alignment horizontal="center" vertical="top" wrapText="1"/>
      <protection/>
    </xf>
    <xf numFmtId="0" fontId="46" fillId="0" borderId="28" xfId="23" applyFont="1" applyBorder="1" applyAlignment="1">
      <alignment horizontal="center" vertical="top" wrapText="1"/>
      <protection/>
    </xf>
    <xf numFmtId="0" fontId="46" fillId="0" borderId="17" xfId="23" applyFont="1" applyBorder="1" applyAlignment="1">
      <alignment horizontal="center" vertical="top" wrapText="1"/>
      <protection/>
    </xf>
    <xf numFmtId="1" fontId="18" fillId="0" borderId="33" xfId="23" applyNumberFormat="1" applyFont="1" applyBorder="1">
      <alignment/>
      <protection/>
    </xf>
    <xf numFmtId="165" fontId="18" fillId="0" borderId="32" xfId="23" applyNumberFormat="1" applyFont="1" applyBorder="1">
      <alignment/>
      <protection/>
    </xf>
    <xf numFmtId="165" fontId="18" fillId="0" borderId="33" xfId="23" applyNumberFormat="1" applyFont="1" applyBorder="1">
      <alignment/>
      <protection/>
    </xf>
    <xf numFmtId="0" fontId="18" fillId="0" borderId="10" xfId="23" applyFont="1" applyBorder="1">
      <alignment/>
      <protection/>
    </xf>
    <xf numFmtId="1" fontId="18" fillId="0" borderId="12" xfId="23" applyNumberFormat="1" applyFont="1" applyBorder="1">
      <alignment/>
      <protection/>
    </xf>
    <xf numFmtId="165" fontId="18" fillId="0" borderId="13" xfId="23" applyNumberFormat="1" applyFont="1" applyBorder="1">
      <alignment/>
      <protection/>
    </xf>
    <xf numFmtId="165" fontId="18" fillId="0" borderId="12" xfId="23" applyNumberFormat="1" applyFont="1" applyBorder="1">
      <alignment/>
      <protection/>
    </xf>
    <xf numFmtId="0" fontId="46" fillId="0" borderId="14" xfId="23" applyFont="1" applyBorder="1">
      <alignment/>
      <protection/>
    </xf>
    <xf numFmtId="0" fontId="18" fillId="0" borderId="15" xfId="23" applyFont="1" applyBorder="1">
      <alignment/>
      <protection/>
    </xf>
    <xf numFmtId="165" fontId="46" fillId="0" borderId="16" xfId="23" applyNumberFormat="1" applyFont="1" applyBorder="1">
      <alignment/>
      <protection/>
    </xf>
    <xf numFmtId="165" fontId="46" fillId="0" borderId="15" xfId="23" applyNumberFormat="1" applyFont="1" applyBorder="1">
      <alignment/>
      <protection/>
    </xf>
    <xf numFmtId="0" fontId="46" fillId="0" borderId="15" xfId="23" applyFont="1" applyBorder="1">
      <alignment/>
      <protection/>
    </xf>
    <xf numFmtId="0" fontId="18" fillId="0" borderId="47" xfId="23" applyFont="1" applyBorder="1">
      <alignment/>
      <protection/>
    </xf>
    <xf numFmtId="164" fontId="18" fillId="0" borderId="24" xfId="23" applyNumberFormat="1" applyFont="1" applyBorder="1">
      <alignment/>
      <protection/>
    </xf>
    <xf numFmtId="0" fontId="18" fillId="0" borderId="11" xfId="23" applyFont="1" applyBorder="1">
      <alignment/>
      <protection/>
    </xf>
    <xf numFmtId="164" fontId="18" fillId="0" borderId="17" xfId="23" applyNumberFormat="1" applyFont="1" applyBorder="1">
      <alignment/>
      <protection/>
    </xf>
    <xf numFmtId="0" fontId="18" fillId="0" borderId="0" xfId="23" applyFont="1" applyFill="1">
      <alignment/>
      <protection/>
    </xf>
    <xf numFmtId="0" fontId="18" fillId="0" borderId="36" xfId="23" applyFont="1" applyBorder="1" applyAlignment="1">
      <alignment horizontal="right" vertical="top" wrapText="1"/>
      <protection/>
    </xf>
    <xf numFmtId="0" fontId="18" fillId="0" borderId="37" xfId="23" applyFont="1" applyBorder="1" applyAlignment="1">
      <alignment horizontal="right" vertical="top" wrapText="1"/>
      <protection/>
    </xf>
    <xf numFmtId="0" fontId="18" fillId="0" borderId="10" xfId="26" applyFont="1" applyBorder="1" applyAlignment="1">
      <alignment horizontal="left" vertical="top" wrapText="1" indent="4"/>
      <protection/>
    </xf>
    <xf numFmtId="0" fontId="18" fillId="0" borderId="10" xfId="26" applyFont="1" applyBorder="1" applyAlignment="1">
      <alignment horizontal="left" wrapText="1" indent="4"/>
      <protection/>
    </xf>
    <xf numFmtId="0" fontId="18" fillId="0" borderId="11" xfId="26" applyFont="1" applyBorder="1" applyAlignment="1">
      <alignment horizontal="left" wrapText="1" indent="4"/>
      <protection/>
    </xf>
    <xf numFmtId="0" fontId="0" fillId="0" borderId="54" xfId="23" applyFont="1" applyBorder="1" applyAlignment="1">
      <alignment horizontal="center" vertical="top" wrapText="1"/>
      <protection/>
    </xf>
    <xf numFmtId="0" fontId="0" fillId="0" borderId="27" xfId="23" applyFont="1" applyBorder="1" applyAlignment="1">
      <alignment horizontal="center" vertical="top" wrapText="1"/>
      <protection/>
    </xf>
    <xf numFmtId="164" fontId="3" fillId="0" borderId="45" xfId="23" applyNumberFormat="1" applyFont="1" applyBorder="1">
      <alignment/>
      <protection/>
    </xf>
    <xf numFmtId="164" fontId="0" fillId="0" borderId="12" xfId="23" applyNumberFormat="1" applyFont="1" applyBorder="1" applyAlignment="1">
      <alignment horizontal="right"/>
      <protection/>
    </xf>
    <xf numFmtId="165" fontId="0" fillId="0" borderId="54" xfId="23" applyNumberFormat="1" applyBorder="1">
      <alignment/>
      <protection/>
    </xf>
    <xf numFmtId="0" fontId="0" fillId="0" borderId="47" xfId="23" applyFont="1" applyBorder="1" applyAlignment="1">
      <alignment vertical="top" wrapText="1"/>
      <protection/>
    </xf>
    <xf numFmtId="0" fontId="0" fillId="0" borderId="50" xfId="23" applyFont="1" applyBorder="1" applyAlignment="1">
      <alignment vertical="top" wrapText="1"/>
      <protection/>
    </xf>
    <xf numFmtId="0" fontId="0" fillId="0" borderId="57" xfId="23" applyBorder="1">
      <alignment/>
      <protection/>
    </xf>
    <xf numFmtId="0" fontId="0" fillId="0" borderId="49" xfId="23" applyFont="1" applyBorder="1" applyAlignment="1">
      <alignment vertical="top" wrapText="1"/>
      <protection/>
    </xf>
    <xf numFmtId="0" fontId="0" fillId="0" borderId="56" xfId="23" applyFont="1" applyBorder="1" applyAlignment="1">
      <alignment horizontal="center" vertical="top" wrapText="1"/>
      <protection/>
    </xf>
    <xf numFmtId="165" fontId="0" fillId="0" borderId="45" xfId="23" applyNumberFormat="1" applyFont="1" applyBorder="1" applyAlignment="1">
      <alignment horizontal="right"/>
      <protection/>
    </xf>
    <xf numFmtId="165" fontId="0" fillId="0" borderId="45" xfId="23" applyNumberFormat="1" applyBorder="1">
      <alignment/>
      <protection/>
    </xf>
    <xf numFmtId="164" fontId="0" fillId="0" borderId="45" xfId="23" applyNumberFormat="1" applyBorder="1">
      <alignment/>
      <protection/>
    </xf>
    <xf numFmtId="0" fontId="3" fillId="0" borderId="58" xfId="23" applyFont="1" applyBorder="1" applyAlignment="1">
      <alignment vertical="top" wrapText="1"/>
      <protection/>
    </xf>
    <xf numFmtId="165" fontId="3" fillId="0" borderId="44" xfId="23" applyNumberFormat="1" applyFont="1" applyBorder="1">
      <alignment/>
      <protection/>
    </xf>
    <xf numFmtId="165" fontId="3" fillId="0" borderId="23" xfId="23" applyNumberFormat="1" applyFont="1" applyBorder="1">
      <alignment/>
      <protection/>
    </xf>
    <xf numFmtId="164" fontId="3" fillId="0" borderId="24" xfId="23" applyNumberFormat="1" applyFont="1" applyBorder="1">
      <alignment/>
      <protection/>
    </xf>
    <xf numFmtId="165" fontId="0" fillId="0" borderId="12" xfId="23" applyNumberFormat="1" applyFont="1" applyBorder="1" applyAlignment="1">
      <alignment horizontal="right"/>
      <protection/>
    </xf>
    <xf numFmtId="165" fontId="0" fillId="0" borderId="29" xfId="23" applyNumberFormat="1" applyBorder="1">
      <alignment/>
      <protection/>
    </xf>
    <xf numFmtId="164" fontId="0" fillId="0" borderId="29" xfId="23" applyNumberFormat="1" applyBorder="1">
      <alignment/>
      <protection/>
    </xf>
    <xf numFmtId="164" fontId="0" fillId="0" borderId="28" xfId="23" applyNumberFormat="1" applyFont="1" applyBorder="1" applyAlignment="1">
      <alignment horizontal="right"/>
      <protection/>
    </xf>
    <xf numFmtId="165" fontId="0" fillId="0" borderId="52" xfId="23" applyNumberFormat="1" applyBorder="1">
      <alignment/>
      <protection/>
    </xf>
    <xf numFmtId="164" fontId="0" fillId="0" borderId="52" xfId="23" applyNumberFormat="1" applyBorder="1">
      <alignment/>
      <protection/>
    </xf>
    <xf numFmtId="165" fontId="0" fillId="0" borderId="38" xfId="23" applyNumberFormat="1" applyBorder="1">
      <alignment/>
      <protection/>
    </xf>
    <xf numFmtId="0" fontId="17" fillId="0" borderId="47" xfId="23" applyFont="1" applyBorder="1" applyAlignment="1">
      <alignment vertical="top" wrapText="1"/>
      <protection/>
    </xf>
    <xf numFmtId="165" fontId="17" fillId="0" borderId="56" xfId="23" applyNumberFormat="1" applyFont="1" applyBorder="1">
      <alignment/>
      <protection/>
    </xf>
    <xf numFmtId="0" fontId="56" fillId="0" borderId="47" xfId="23" applyFont="1" applyBorder="1" applyAlignment="1">
      <alignment vertical="top" wrapText="1"/>
      <protection/>
    </xf>
    <xf numFmtId="165" fontId="56" fillId="0" borderId="56" xfId="23" applyNumberFormat="1" applyFont="1" applyBorder="1">
      <alignment/>
      <protection/>
    </xf>
    <xf numFmtId="0" fontId="0" fillId="0" borderId="59" xfId="23" applyFont="1" applyBorder="1" applyAlignment="1">
      <alignment vertical="top" wrapText="1"/>
      <protection/>
    </xf>
    <xf numFmtId="165" fontId="0" fillId="0" borderId="13" xfId="23" applyNumberFormat="1" applyFont="1" applyBorder="1">
      <alignment/>
      <protection/>
    </xf>
    <xf numFmtId="165" fontId="0" fillId="0" borderId="45" xfId="23" applyNumberFormat="1" applyFont="1" applyBorder="1">
      <alignment/>
      <protection/>
    </xf>
    <xf numFmtId="164" fontId="0" fillId="0" borderId="45" xfId="23" applyNumberFormat="1" applyFont="1" applyBorder="1">
      <alignment/>
      <protection/>
    </xf>
    <xf numFmtId="164" fontId="0" fillId="0" borderId="24" xfId="23" applyNumberFormat="1" applyFont="1" applyBorder="1">
      <alignment/>
      <protection/>
    </xf>
    <xf numFmtId="165" fontId="0" fillId="0" borderId="20" xfId="23" applyNumberFormat="1" applyFont="1" applyFill="1" applyBorder="1">
      <alignment/>
      <protection/>
    </xf>
    <xf numFmtId="0" fontId="0" fillId="0" borderId="10" xfId="23" applyFont="1" applyBorder="1" applyAlignment="1">
      <alignment vertical="top" wrapText="1"/>
      <protection/>
    </xf>
    <xf numFmtId="165" fontId="0" fillId="0" borderId="10" xfId="23" applyNumberFormat="1" applyFont="1" applyFill="1" applyBorder="1">
      <alignment/>
      <protection/>
    </xf>
    <xf numFmtId="1" fontId="3" fillId="0" borderId="18" xfId="23" applyNumberFormat="1" applyFont="1" applyFill="1" applyBorder="1">
      <alignment/>
      <protection/>
    </xf>
    <xf numFmtId="3" fontId="0" fillId="0" borderId="41" xfId="23" applyNumberFormat="1" applyFont="1" applyBorder="1">
      <alignment/>
      <protection/>
    </xf>
    <xf numFmtId="164" fontId="0" fillId="0" borderId="51" xfId="23" applyNumberFormat="1" applyFont="1" applyBorder="1">
      <alignment/>
      <protection/>
    </xf>
    <xf numFmtId="164" fontId="0" fillId="0" borderId="60" xfId="23" applyNumberFormat="1" applyFont="1" applyBorder="1">
      <alignment/>
      <protection/>
    </xf>
    <xf numFmtId="164" fontId="0" fillId="0" borderId="34" xfId="23" applyNumberFormat="1" applyFont="1" applyBorder="1">
      <alignment/>
      <protection/>
    </xf>
    <xf numFmtId="0" fontId="53" fillId="0" borderId="10" xfId="26" applyFont="1" applyBorder="1" applyAlignment="1">
      <alignment horizontal="left" vertical="top" wrapText="1" indent="4"/>
      <protection/>
    </xf>
    <xf numFmtId="164" fontId="18" fillId="0" borderId="46" xfId="23" applyNumberFormat="1" applyFont="1" applyFill="1" applyBorder="1" applyAlignment="1">
      <alignment horizontal="right" vertical="top" wrapText="1"/>
      <protection/>
    </xf>
    <xf numFmtId="164" fontId="18" fillId="0" borderId="12" xfId="23" applyNumberFormat="1" applyFont="1" applyBorder="1" applyAlignment="1">
      <alignment vertical="top"/>
      <protection/>
    </xf>
    <xf numFmtId="164" fontId="18" fillId="0" borderId="12" xfId="23" applyNumberFormat="1" applyFont="1" applyBorder="1" applyAlignment="1">
      <alignment horizontal="right" vertical="top" wrapText="1"/>
      <protection/>
    </xf>
    <xf numFmtId="0" fontId="53" fillId="0" borderId="11" xfId="26" applyFont="1" applyBorder="1" applyAlignment="1">
      <alignment horizontal="left" vertical="top" wrapText="1" indent="4"/>
      <protection/>
    </xf>
    <xf numFmtId="164" fontId="18" fillId="0" borderId="38" xfId="23" applyNumberFormat="1" applyFont="1" applyFill="1" applyBorder="1" applyAlignment="1">
      <alignment horizontal="right" vertical="top" wrapText="1"/>
      <protection/>
    </xf>
    <xf numFmtId="164" fontId="18" fillId="0" borderId="28" xfId="23" applyNumberFormat="1" applyFont="1" applyBorder="1" applyAlignment="1">
      <alignment vertical="top"/>
      <protection/>
    </xf>
    <xf numFmtId="164" fontId="18" fillId="0" borderId="28" xfId="23" applyNumberFormat="1" applyFont="1" applyBorder="1" applyAlignment="1">
      <alignment horizontal="right" vertical="top" wrapText="1"/>
      <protection/>
    </xf>
    <xf numFmtId="1" fontId="3" fillId="0" borderId="0" xfId="23" applyNumberFormat="1" applyFont="1" applyBorder="1">
      <alignment/>
      <protection/>
    </xf>
    <xf numFmtId="0" fontId="46" fillId="0" borderId="61" xfId="23" applyFont="1" applyBorder="1" applyAlignment="1">
      <alignment horizontal="center"/>
      <protection/>
    </xf>
    <xf numFmtId="0" fontId="46" fillId="0" borderId="62" xfId="23" applyFont="1" applyBorder="1" applyAlignment="1">
      <alignment horizontal="center"/>
      <protection/>
    </xf>
    <xf numFmtId="0" fontId="18" fillId="0" borderId="63" xfId="23" applyFont="1" applyBorder="1" applyAlignment="1">
      <alignment vertical="top" wrapText="1"/>
      <protection/>
    </xf>
    <xf numFmtId="0" fontId="53" fillId="0" borderId="64" xfId="26" applyFont="1" applyBorder="1" applyAlignment="1">
      <alignment horizontal="left" vertical="top" wrapText="1" indent="4"/>
      <protection/>
    </xf>
    <xf numFmtId="0" fontId="53" fillId="0" borderId="65" xfId="26" applyFont="1" applyBorder="1" applyAlignment="1">
      <alignment horizontal="left" vertical="top" wrapText="1" indent="4"/>
      <protection/>
    </xf>
    <xf numFmtId="0" fontId="3" fillId="0" borderId="55" xfId="23" applyFont="1" applyBorder="1" applyAlignment="1">
      <alignment vertical="top" wrapText="1"/>
      <protection/>
    </xf>
    <xf numFmtId="1" fontId="3" fillId="0" borderId="13" xfId="23" applyNumberFormat="1" applyFont="1" applyFill="1" applyBorder="1">
      <alignment/>
      <protection/>
    </xf>
    <xf numFmtId="0" fontId="0" fillId="0" borderId="50" xfId="23" applyBorder="1" quotePrefix="1">
      <alignment/>
      <protection/>
    </xf>
    <xf numFmtId="0" fontId="0" fillId="0" borderId="66" xfId="23" applyBorder="1">
      <alignment/>
      <protection/>
    </xf>
    <xf numFmtId="1" fontId="3" fillId="0" borderId="35" xfId="23" applyNumberFormat="1" applyFont="1" applyFill="1" applyBorder="1" applyAlignment="1">
      <alignment horizontal="center" vertical="top"/>
      <protection/>
    </xf>
    <xf numFmtId="1" fontId="0" fillId="0" borderId="67" xfId="23" applyNumberFormat="1" applyBorder="1">
      <alignment/>
      <protection/>
    </xf>
    <xf numFmtId="0" fontId="0" fillId="0" borderId="68" xfId="23" applyFont="1" applyBorder="1" applyAlignment="1">
      <alignment horizontal="center" vertical="top" wrapText="1"/>
      <protection/>
    </xf>
    <xf numFmtId="164" fontId="3" fillId="0" borderId="69" xfId="23" applyNumberFormat="1" applyFont="1" applyBorder="1">
      <alignment/>
      <protection/>
    </xf>
    <xf numFmtId="164" fontId="0" fillId="0" borderId="69" xfId="23" applyNumberFormat="1" applyFont="1" applyBorder="1">
      <alignment/>
      <protection/>
    </xf>
    <xf numFmtId="0" fontId="0" fillId="0" borderId="70" xfId="0" applyBorder="1"/>
    <xf numFmtId="1" fontId="0" fillId="0" borderId="37" xfId="23" applyNumberFormat="1" applyBorder="1">
      <alignment/>
      <protection/>
    </xf>
    <xf numFmtId="1" fontId="0" fillId="0" borderId="45" xfId="23" applyNumberFormat="1" applyBorder="1">
      <alignment/>
      <protection/>
    </xf>
    <xf numFmtId="1" fontId="0" fillId="0" borderId="12" xfId="23" applyNumberFormat="1" applyBorder="1">
      <alignment/>
      <protection/>
    </xf>
    <xf numFmtId="1" fontId="0" fillId="0" borderId="27" xfId="23" applyNumberFormat="1" applyBorder="1">
      <alignment/>
      <protection/>
    </xf>
    <xf numFmtId="164" fontId="0" fillId="0" borderId="56" xfId="23" applyNumberFormat="1" applyBorder="1">
      <alignment/>
      <protection/>
    </xf>
    <xf numFmtId="0" fontId="0" fillId="0" borderId="45" xfId="23" applyBorder="1">
      <alignment/>
      <protection/>
    </xf>
    <xf numFmtId="0" fontId="0" fillId="0" borderId="70" xfId="23" applyBorder="1">
      <alignment/>
      <protection/>
    </xf>
    <xf numFmtId="0" fontId="0" fillId="0" borderId="52" xfId="23" applyBorder="1">
      <alignment/>
      <protection/>
    </xf>
    <xf numFmtId="0" fontId="0" fillId="0" borderId="66" xfId="23" applyBorder="1" applyAlignment="1">
      <alignment vertical="top" wrapText="1"/>
      <protection/>
    </xf>
    <xf numFmtId="0" fontId="56" fillId="0" borderId="0" xfId="23" applyFont="1">
      <alignment/>
      <protection/>
    </xf>
    <xf numFmtId="0" fontId="56" fillId="0" borderId="66" xfId="23" applyFont="1" applyBorder="1">
      <alignment/>
      <protection/>
    </xf>
    <xf numFmtId="1" fontId="56" fillId="0" borderId="13" xfId="23" applyNumberFormat="1" applyFont="1" applyBorder="1">
      <alignment/>
      <protection/>
    </xf>
    <xf numFmtId="1" fontId="56" fillId="0" borderId="12" xfId="23" applyNumberFormat="1" applyFont="1" applyBorder="1" applyAlignment="1">
      <alignment horizontal="center" vertical="top"/>
      <protection/>
    </xf>
    <xf numFmtId="0" fontId="56" fillId="0" borderId="45" xfId="23" applyFont="1" applyBorder="1">
      <alignment/>
      <protection/>
    </xf>
    <xf numFmtId="165" fontId="3" fillId="0" borderId="45" xfId="23" applyNumberFormat="1" applyFont="1" applyBorder="1" applyAlignment="1">
      <alignment horizontal="right"/>
      <protection/>
    </xf>
    <xf numFmtId="165" fontId="3" fillId="0" borderId="69" xfId="23" applyNumberFormat="1" applyFont="1" applyBorder="1" applyAlignment="1">
      <alignment horizontal="right"/>
      <protection/>
    </xf>
    <xf numFmtId="164" fontId="56" fillId="0" borderId="0" xfId="23" applyNumberFormat="1" applyFont="1">
      <alignment/>
      <protection/>
    </xf>
    <xf numFmtId="164" fontId="3" fillId="0" borderId="12" xfId="23" applyNumberFormat="1" applyFont="1" applyBorder="1">
      <alignment/>
      <protection/>
    </xf>
    <xf numFmtId="165" fontId="3" fillId="0" borderId="12" xfId="23" applyNumberFormat="1" applyFont="1" applyBorder="1" applyAlignment="1">
      <alignment horizontal="right"/>
      <protection/>
    </xf>
    <xf numFmtId="164" fontId="0" fillId="0" borderId="27" xfId="23" applyNumberFormat="1" applyFont="1" applyBorder="1">
      <alignment/>
      <protection/>
    </xf>
    <xf numFmtId="0" fontId="0" fillId="0" borderId="12" xfId="23" applyFont="1" applyBorder="1" applyAlignment="1">
      <alignment horizontal="center" vertical="top" wrapText="1"/>
      <protection/>
    </xf>
    <xf numFmtId="0" fontId="56" fillId="0" borderId="50" xfId="23" applyFont="1" applyBorder="1" quotePrefix="1">
      <alignment/>
      <protection/>
    </xf>
    <xf numFmtId="1" fontId="0" fillId="0" borderId="52" xfId="23" applyNumberFormat="1" applyFont="1" applyBorder="1">
      <alignment/>
      <protection/>
    </xf>
    <xf numFmtId="1" fontId="0" fillId="0" borderId="45" xfId="23" applyNumberFormat="1" applyFont="1" applyBorder="1">
      <alignment/>
      <protection/>
    </xf>
    <xf numFmtId="1" fontId="56" fillId="0" borderId="12" xfId="23" applyNumberFormat="1" applyFont="1" applyBorder="1">
      <alignment/>
      <protection/>
    </xf>
    <xf numFmtId="164" fontId="56" fillId="0" borderId="52" xfId="23" applyNumberFormat="1" applyFont="1" applyBorder="1">
      <alignment/>
      <protection/>
    </xf>
    <xf numFmtId="164" fontId="56" fillId="0" borderId="27" xfId="23" applyNumberFormat="1" applyFont="1" applyBorder="1" applyAlignment="1">
      <alignment horizontal="right"/>
      <protection/>
    </xf>
    <xf numFmtId="0" fontId="0" fillId="0" borderId="69" xfId="23" applyBorder="1">
      <alignment/>
      <protection/>
    </xf>
    <xf numFmtId="0" fontId="0" fillId="0" borderId="59" xfId="23" applyBorder="1" quotePrefix="1">
      <alignment/>
      <protection/>
    </xf>
    <xf numFmtId="1" fontId="0" fillId="0" borderId="29" xfId="23" applyNumberFormat="1" applyFont="1" applyBorder="1">
      <alignment/>
      <protection/>
    </xf>
    <xf numFmtId="0" fontId="0" fillId="0" borderId="71" xfId="23" applyBorder="1">
      <alignment/>
      <protection/>
    </xf>
    <xf numFmtId="1" fontId="56" fillId="0" borderId="52" xfId="23" applyNumberFormat="1" applyFont="1" applyBorder="1">
      <alignment/>
      <protection/>
    </xf>
    <xf numFmtId="3" fontId="3" fillId="0" borderId="53" xfId="23" applyNumberFormat="1" applyFont="1" applyBorder="1">
      <alignment/>
      <protection/>
    </xf>
    <xf numFmtId="3" fontId="56" fillId="0" borderId="50" xfId="23" applyNumberFormat="1" applyFont="1" applyBorder="1">
      <alignment/>
      <protection/>
    </xf>
    <xf numFmtId="3" fontId="0" fillId="0" borderId="0" xfId="23" applyNumberFormat="1" applyBorder="1">
      <alignment/>
      <protection/>
    </xf>
    <xf numFmtId="3" fontId="0" fillId="0" borderId="68" xfId="23" applyNumberFormat="1" applyBorder="1">
      <alignment/>
      <protection/>
    </xf>
    <xf numFmtId="3" fontId="0" fillId="0" borderId="13" xfId="23" applyNumberFormat="1" applyBorder="1">
      <alignment/>
      <protection/>
    </xf>
    <xf numFmtId="3" fontId="56" fillId="0" borderId="54" xfId="23" applyNumberFormat="1" applyFont="1" applyBorder="1">
      <alignment/>
      <protection/>
    </xf>
    <xf numFmtId="3" fontId="0" fillId="0" borderId="25" xfId="23" applyNumberFormat="1" applyBorder="1">
      <alignment/>
      <protection/>
    </xf>
    <xf numFmtId="1" fontId="0" fillId="0" borderId="33" xfId="23" applyNumberFormat="1" applyBorder="1" applyAlignment="1">
      <alignment/>
      <protection/>
    </xf>
    <xf numFmtId="1" fontId="0" fillId="0" borderId="67" xfId="23" applyNumberFormat="1" applyFont="1" applyBorder="1">
      <alignment/>
      <protection/>
    </xf>
    <xf numFmtId="3" fontId="3" fillId="0" borderId="40" xfId="23" applyNumberFormat="1" applyFont="1" applyBorder="1">
      <alignment/>
      <protection/>
    </xf>
    <xf numFmtId="164" fontId="56" fillId="0" borderId="45" xfId="23" applyNumberFormat="1" applyFont="1" applyBorder="1">
      <alignment/>
      <protection/>
    </xf>
    <xf numFmtId="0" fontId="0" fillId="0" borderId="24" xfId="23" applyFont="1" applyBorder="1" applyAlignment="1">
      <alignment horizontal="center" vertical="top" wrapText="1"/>
      <protection/>
    </xf>
    <xf numFmtId="0" fontId="0" fillId="0" borderId="44" xfId="23" applyFont="1" applyBorder="1" applyAlignment="1">
      <alignment horizontal="center" vertical="top" wrapText="1"/>
      <protection/>
    </xf>
    <xf numFmtId="0" fontId="0" fillId="0" borderId="32" xfId="23" applyFont="1" applyBorder="1" applyAlignment="1">
      <alignment horizontal="center" vertical="top" wrapText="1"/>
      <protection/>
    </xf>
    <xf numFmtId="0" fontId="0" fillId="0" borderId="33" xfId="23" applyFont="1" applyBorder="1" applyAlignment="1">
      <alignment horizontal="center" vertical="top" wrapText="1"/>
      <protection/>
    </xf>
    <xf numFmtId="1" fontId="0" fillId="0" borderId="53" xfId="23" applyNumberFormat="1" applyFont="1" applyBorder="1" applyAlignment="1">
      <alignment horizontal="center" vertical="top" wrapText="1"/>
      <protection/>
    </xf>
    <xf numFmtId="1" fontId="0" fillId="0" borderId="13" xfId="23" applyNumberFormat="1" applyFont="1" applyBorder="1" applyAlignment="1">
      <alignment horizontal="center" vertical="top" wrapText="1"/>
      <protection/>
    </xf>
    <xf numFmtId="0" fontId="0" fillId="0" borderId="35" xfId="23" applyFont="1" applyBorder="1" applyAlignment="1">
      <alignment horizontal="center" vertical="top" wrapText="1"/>
      <protection/>
    </xf>
    <xf numFmtId="0" fontId="0" fillId="0" borderId="47" xfId="23" applyFont="1" applyBorder="1" applyAlignment="1">
      <alignment horizontal="center" vertical="top"/>
      <protection/>
    </xf>
    <xf numFmtId="0" fontId="0" fillId="0" borderId="10" xfId="23" applyFont="1" applyBorder="1" applyAlignment="1">
      <alignment horizontal="center" vertical="top"/>
      <protection/>
    </xf>
    <xf numFmtId="0" fontId="17" fillId="0" borderId="11" xfId="23" applyFont="1" applyBorder="1" applyAlignment="1">
      <alignment vertical="top" wrapText="1"/>
      <protection/>
    </xf>
    <xf numFmtId="171" fontId="17" fillId="0" borderId="25" xfId="23" applyNumberFormat="1" applyFont="1" applyBorder="1" applyAlignment="1">
      <alignment horizontal="right"/>
      <protection/>
    </xf>
    <xf numFmtId="1" fontId="3" fillId="0" borderId="41" xfId="23" applyNumberFormat="1" applyFont="1" applyBorder="1" applyAlignment="1">
      <alignment horizontal="center" vertical="top" wrapText="1"/>
      <protection/>
    </xf>
    <xf numFmtId="164" fontId="3" fillId="0" borderId="41" xfId="23" applyNumberFormat="1" applyFont="1" applyBorder="1" applyAlignment="1">
      <alignment horizontal="center" vertical="top" wrapText="1"/>
      <protection/>
    </xf>
    <xf numFmtId="1" fontId="3" fillId="0" borderId="62" xfId="23" applyNumberFormat="1" applyFont="1" applyBorder="1" applyAlignment="1">
      <alignment horizontal="center" vertical="top" wrapText="1"/>
      <protection/>
    </xf>
    <xf numFmtId="0" fontId="18" fillId="0" borderId="11" xfId="23" applyFont="1" applyBorder="1" applyAlignment="1">
      <alignment horizontal="left" vertical="top" wrapText="1" indent="4"/>
      <protection/>
    </xf>
    <xf numFmtId="0" fontId="18" fillId="0" borderId="29" xfId="23" applyFont="1" applyFill="1" applyBorder="1" applyAlignment="1">
      <alignment horizontal="right" vertical="top" wrapText="1"/>
      <protection/>
    </xf>
    <xf numFmtId="0" fontId="39" fillId="0" borderId="0" xfId="0" applyFont="1" applyAlignment="1">
      <alignment horizontal="left"/>
    </xf>
    <xf numFmtId="0" fontId="39" fillId="0" borderId="0" xfId="0" applyFont="1"/>
    <xf numFmtId="168" fontId="18" fillId="0" borderId="33" xfId="24" applyNumberFormat="1" applyFont="1" applyBorder="1" applyAlignment="1">
      <alignment vertical="top"/>
    </xf>
    <xf numFmtId="164" fontId="46" fillId="0" borderId="33" xfId="23" applyNumberFormat="1" applyFont="1" applyBorder="1" applyAlignment="1">
      <alignment horizontal="right" vertical="top" wrapText="1"/>
      <protection/>
    </xf>
    <xf numFmtId="0" fontId="18" fillId="0" borderId="22" xfId="23" applyFont="1" applyBorder="1">
      <alignment/>
      <protection/>
    </xf>
    <xf numFmtId="0" fontId="18" fillId="0" borderId="31" xfId="22" applyFont="1" applyBorder="1">
      <alignment/>
      <protection/>
    </xf>
    <xf numFmtId="0" fontId="18" fillId="0" borderId="11" xfId="0" applyFont="1" applyBorder="1" applyAlignment="1">
      <alignment horizontal="left" indent="3"/>
    </xf>
    <xf numFmtId="164" fontId="18" fillId="0" borderId="19" xfId="22" applyNumberFormat="1" applyFont="1" applyBorder="1">
      <alignment/>
      <protection/>
    </xf>
    <xf numFmtId="167" fontId="16" fillId="0" borderId="0" xfId="23" applyNumberFormat="1" applyFont="1">
      <alignment/>
      <protection/>
    </xf>
    <xf numFmtId="0" fontId="18" fillId="0" borderId="22" xfId="23" applyFont="1" applyBorder="1" applyAlignment="1">
      <alignment horizontal="left"/>
      <protection/>
    </xf>
    <xf numFmtId="0" fontId="46" fillId="0" borderId="31" xfId="23" applyFont="1" applyBorder="1" applyAlignment="1">
      <alignment horizontal="center" vertical="top" wrapText="1"/>
      <protection/>
    </xf>
    <xf numFmtId="164" fontId="18" fillId="0" borderId="19" xfId="23" applyNumberFormat="1" applyFont="1" applyBorder="1" applyAlignment="1">
      <alignment horizontal="right" vertical="top" wrapText="1"/>
      <protection/>
    </xf>
    <xf numFmtId="0" fontId="18" fillId="0" borderId="10" xfId="0" applyFont="1" applyBorder="1" applyAlignment="1">
      <alignment horizontal="left" indent="3"/>
    </xf>
    <xf numFmtId="164" fontId="18" fillId="0" borderId="18" xfId="23" applyNumberFormat="1" applyFont="1" applyFill="1" applyBorder="1" applyAlignment="1">
      <alignment horizontal="right" vertical="top" wrapText="1"/>
      <protection/>
    </xf>
    <xf numFmtId="1" fontId="18" fillId="0" borderId="18" xfId="23" applyNumberFormat="1" applyFont="1" applyFill="1" applyBorder="1" applyAlignment="1">
      <alignment horizontal="right" vertical="top" wrapText="1"/>
      <protection/>
    </xf>
    <xf numFmtId="0" fontId="18" fillId="0" borderId="55" xfId="0" applyFont="1" applyBorder="1" applyAlignment="1">
      <alignment horizontal="left" indent="3"/>
    </xf>
    <xf numFmtId="164" fontId="18" fillId="0" borderId="72" xfId="23" applyNumberFormat="1" applyFont="1" applyFill="1" applyBorder="1" applyAlignment="1">
      <alignment horizontal="right" vertical="top" wrapText="1"/>
      <protection/>
    </xf>
    <xf numFmtId="0" fontId="46" fillId="0" borderId="31" xfId="23" applyFont="1" applyFill="1" applyBorder="1" applyAlignment="1">
      <alignment horizontal="center" vertical="top" wrapText="1"/>
      <protection/>
    </xf>
    <xf numFmtId="164" fontId="18" fillId="0" borderId="19" xfId="23" applyNumberFormat="1" applyFont="1" applyFill="1" applyBorder="1" applyAlignment="1">
      <alignment horizontal="right" vertical="top" wrapText="1"/>
      <protection/>
    </xf>
    <xf numFmtId="164" fontId="18" fillId="0" borderId="31" xfId="23" applyNumberFormat="1" applyFont="1" applyFill="1" applyBorder="1" applyAlignment="1">
      <alignment horizontal="right" vertical="top" wrapText="1"/>
      <protection/>
    </xf>
    <xf numFmtId="0" fontId="18" fillId="0" borderId="20" xfId="23" applyFont="1" applyBorder="1" applyAlignment="1">
      <alignment horizontal="left"/>
      <protection/>
    </xf>
    <xf numFmtId="164" fontId="18" fillId="0" borderId="21" xfId="23" applyNumberFormat="1" applyFont="1" applyFill="1" applyBorder="1" applyAlignment="1">
      <alignment horizontal="right" vertical="top" wrapText="1"/>
      <protection/>
    </xf>
    <xf numFmtId="0" fontId="57" fillId="0" borderId="0" xfId="23" applyFont="1">
      <alignment/>
      <protection/>
    </xf>
    <xf numFmtId="0" fontId="48" fillId="0" borderId="44" xfId="23" applyFont="1" applyBorder="1" applyAlignment="1">
      <alignment horizontal="center" vertical="top" wrapText="1"/>
      <protection/>
    </xf>
    <xf numFmtId="0" fontId="48" fillId="0" borderId="23" xfId="23" applyFont="1" applyBorder="1" applyAlignment="1">
      <alignment horizontal="center" vertical="top" wrapText="1"/>
      <protection/>
    </xf>
    <xf numFmtId="0" fontId="48" fillId="0" borderId="24" xfId="23" applyFont="1" applyBorder="1" applyAlignment="1">
      <alignment horizontal="center" vertical="top" wrapText="1"/>
      <protection/>
    </xf>
    <xf numFmtId="0" fontId="37" fillId="0" borderId="25" xfId="23" applyFont="1" applyBorder="1" applyAlignment="1">
      <alignment horizontal="center" vertical="top" wrapText="1"/>
      <protection/>
    </xf>
    <xf numFmtId="0" fontId="37" fillId="0" borderId="29" xfId="23" applyFont="1" applyBorder="1" applyAlignment="1">
      <alignment horizontal="center" vertical="top" wrapText="1"/>
      <protection/>
    </xf>
    <xf numFmtId="0" fontId="37" fillId="0" borderId="28" xfId="23" applyFont="1" applyBorder="1" applyAlignment="1">
      <alignment horizontal="center" vertical="top" wrapText="1"/>
      <protection/>
    </xf>
    <xf numFmtId="0" fontId="37" fillId="0" borderId="73" xfId="23" applyFont="1" applyBorder="1">
      <alignment/>
      <protection/>
    </xf>
    <xf numFmtId="164" fontId="37" fillId="0" borderId="74" xfId="23" applyNumberFormat="1" applyFont="1" applyBorder="1">
      <alignment/>
      <protection/>
    </xf>
    <xf numFmtId="164" fontId="37" fillId="0" borderId="75" xfId="23" applyNumberFormat="1" applyFont="1" applyBorder="1">
      <alignment/>
      <protection/>
    </xf>
    <xf numFmtId="164" fontId="37" fillId="0" borderId="76" xfId="23" applyNumberFormat="1" applyFont="1" applyBorder="1">
      <alignment/>
      <protection/>
    </xf>
    <xf numFmtId="0" fontId="37" fillId="0" borderId="47" xfId="23" applyFont="1" applyBorder="1">
      <alignment/>
      <protection/>
    </xf>
    <xf numFmtId="164" fontId="37" fillId="0" borderId="53" xfId="23" applyNumberFormat="1" applyFont="1" applyBorder="1">
      <alignment/>
      <protection/>
    </xf>
    <xf numFmtId="164" fontId="37" fillId="0" borderId="77" xfId="23" applyNumberFormat="1" applyFont="1" applyBorder="1">
      <alignment/>
      <protection/>
    </xf>
    <xf numFmtId="164" fontId="37" fillId="0" borderId="35" xfId="23" applyNumberFormat="1" applyFont="1" applyBorder="1">
      <alignment/>
      <protection/>
    </xf>
    <xf numFmtId="164" fontId="37" fillId="0" borderId="16" xfId="23" applyNumberFormat="1" applyFont="1" applyBorder="1">
      <alignment/>
      <protection/>
    </xf>
    <xf numFmtId="0" fontId="37" fillId="0" borderId="77" xfId="23" applyFont="1" applyBorder="1">
      <alignment/>
      <protection/>
    </xf>
    <xf numFmtId="164" fontId="48" fillId="0" borderId="15" xfId="23" applyNumberFormat="1" applyFont="1" applyBorder="1">
      <alignment/>
      <protection/>
    </xf>
    <xf numFmtId="0" fontId="58" fillId="0" borderId="0" xfId="23" applyFont="1">
      <alignment/>
      <protection/>
    </xf>
    <xf numFmtId="0" fontId="37" fillId="0" borderId="0" xfId="23" applyFont="1">
      <alignment/>
      <protection/>
    </xf>
    <xf numFmtId="164" fontId="0" fillId="0" borderId="35" xfId="23" applyNumberFormat="1" applyFont="1" applyBorder="1" applyAlignment="1">
      <alignment horizontal="right" vertical="top" wrapText="1"/>
      <protection/>
    </xf>
    <xf numFmtId="164" fontId="3" fillId="0" borderId="35" xfId="23" applyNumberFormat="1" applyFont="1" applyBorder="1" applyAlignment="1">
      <alignment horizontal="right" vertical="top" wrapText="1"/>
      <protection/>
    </xf>
    <xf numFmtId="0" fontId="17" fillId="0" borderId="39" xfId="23" applyFont="1" applyBorder="1" applyAlignment="1">
      <alignment vertical="top" wrapText="1"/>
      <protection/>
    </xf>
    <xf numFmtId="166" fontId="17" fillId="0" borderId="17" xfId="23" applyNumberFormat="1" applyFont="1" applyBorder="1" applyAlignment="1">
      <alignment horizontal="right" vertical="top" wrapText="1"/>
      <protection/>
    </xf>
    <xf numFmtId="164" fontId="17" fillId="0" borderId="17" xfId="23" applyNumberFormat="1" applyFont="1" applyBorder="1" applyAlignment="1">
      <alignment horizontal="right" vertical="top" wrapText="1"/>
      <protection/>
    </xf>
    <xf numFmtId="164" fontId="56" fillId="0" borderId="17" xfId="23" applyNumberFormat="1" applyFont="1" applyBorder="1" applyAlignment="1">
      <alignment horizontal="right" vertical="top" wrapText="1"/>
      <protection/>
    </xf>
    <xf numFmtId="0" fontId="18" fillId="0" borderId="48" xfId="23" applyFont="1" applyBorder="1" applyAlignment="1">
      <alignment horizontal="right" vertical="top" wrapText="1"/>
      <protection/>
    </xf>
    <xf numFmtId="0" fontId="18" fillId="0" borderId="70" xfId="23" applyFont="1" applyBorder="1" applyAlignment="1">
      <alignment horizontal="right" vertical="top" wrapText="1"/>
      <protection/>
    </xf>
    <xf numFmtId="164" fontId="18" fillId="0" borderId="35" xfId="23" applyNumberFormat="1" applyFont="1" applyBorder="1" applyAlignment="1">
      <alignment vertical="top"/>
      <protection/>
    </xf>
    <xf numFmtId="168" fontId="18" fillId="0" borderId="35" xfId="24" applyNumberFormat="1" applyFont="1" applyBorder="1" applyAlignment="1">
      <alignment vertical="top"/>
    </xf>
    <xf numFmtId="0" fontId="16" fillId="0" borderId="78" xfId="23" applyFont="1" applyBorder="1" applyAlignment="1">
      <alignment horizontal="right" vertical="top" wrapText="1"/>
      <protection/>
    </xf>
    <xf numFmtId="0" fontId="16" fillId="0" borderId="77" xfId="23" applyFont="1" applyBorder="1" applyAlignment="1">
      <alignment horizontal="right" vertical="top" wrapText="1"/>
      <protection/>
    </xf>
    <xf numFmtId="164" fontId="16" fillId="0" borderId="17" xfId="23" applyNumberFormat="1" applyFont="1" applyBorder="1" applyAlignment="1">
      <alignment vertical="top"/>
      <protection/>
    </xf>
    <xf numFmtId="168" fontId="16" fillId="0" borderId="17" xfId="24" applyNumberFormat="1" applyFont="1" applyBorder="1" applyAlignment="1">
      <alignment vertical="top"/>
    </xf>
    <xf numFmtId="0" fontId="18" fillId="0" borderId="0" xfId="23" applyFont="1" applyAlignment="1">
      <alignment horizontal="center"/>
      <protection/>
    </xf>
    <xf numFmtId="166" fontId="18" fillId="0" borderId="21" xfId="23" applyNumberFormat="1" applyFont="1" applyBorder="1">
      <alignment/>
      <protection/>
    </xf>
    <xf numFmtId="166" fontId="46" fillId="0" borderId="18" xfId="23" applyNumberFormat="1" applyFont="1" applyBorder="1">
      <alignment/>
      <protection/>
    </xf>
    <xf numFmtId="166" fontId="46" fillId="0" borderId="19" xfId="23" applyNumberFormat="1" applyFont="1" applyBorder="1">
      <alignment/>
      <protection/>
    </xf>
    <xf numFmtId="166" fontId="18" fillId="0" borderId="32" xfId="23" applyNumberFormat="1" applyFont="1" applyBorder="1">
      <alignment/>
      <protection/>
    </xf>
    <xf numFmtId="166" fontId="18" fillId="0" borderId="13" xfId="23" applyNumberFormat="1" applyFont="1" applyBorder="1">
      <alignment/>
      <protection/>
    </xf>
    <xf numFmtId="166" fontId="46" fillId="0" borderId="16" xfId="23" applyNumberFormat="1" applyFont="1" applyBorder="1">
      <alignment/>
      <protection/>
    </xf>
    <xf numFmtId="0" fontId="59" fillId="0" borderId="0" xfId="0" applyFont="1" applyAlignment="1">
      <alignment vertical="center"/>
    </xf>
    <xf numFmtId="164" fontId="3" fillId="0" borderId="0" xfId="23" applyNumberFormat="1" applyFont="1">
      <alignment/>
      <protection/>
    </xf>
    <xf numFmtId="0" fontId="37" fillId="0" borderId="55" xfId="0" applyFont="1" applyBorder="1"/>
    <xf numFmtId="0" fontId="37" fillId="0" borderId="20" xfId="0" applyFont="1" applyBorder="1"/>
    <xf numFmtId="0" fontId="48" fillId="0" borderId="39" xfId="0" applyFont="1" applyBorder="1"/>
    <xf numFmtId="0" fontId="48" fillId="0" borderId="79" xfId="0" applyFont="1" applyBorder="1" quotePrefix="1"/>
    <xf numFmtId="171" fontId="37" fillId="0" borderId="32" xfId="0" applyNumberFormat="1" applyFont="1" applyBorder="1"/>
    <xf numFmtId="171" fontId="48" fillId="0" borderId="16" xfId="0" applyNumberFormat="1" applyFont="1" applyBorder="1"/>
    <xf numFmtId="0" fontId="18" fillId="0" borderId="55" xfId="23" applyFont="1" applyBorder="1" applyAlignment="1">
      <alignment horizontal="left" vertical="top" wrapText="1" indent="4"/>
      <protection/>
    </xf>
    <xf numFmtId="164" fontId="18" fillId="0" borderId="56" xfId="23" applyNumberFormat="1" applyFont="1" applyFill="1" applyBorder="1" applyAlignment="1">
      <alignment horizontal="right" vertical="top" wrapText="1"/>
      <protection/>
    </xf>
    <xf numFmtId="164" fontId="18" fillId="0" borderId="27" xfId="23" applyNumberFormat="1" applyFont="1" applyBorder="1" applyAlignment="1">
      <alignment horizontal="right" vertical="top" wrapText="1"/>
      <protection/>
    </xf>
    <xf numFmtId="0" fontId="18" fillId="0" borderId="24" xfId="23" applyFont="1" applyBorder="1" applyAlignment="1">
      <alignment horizontal="center" vertical="top" wrapText="1"/>
      <protection/>
    </xf>
    <xf numFmtId="0" fontId="18" fillId="0" borderId="44" xfId="23" applyFont="1" applyBorder="1" applyAlignment="1">
      <alignment horizontal="center" vertical="top" wrapText="1"/>
      <protection/>
    </xf>
    <xf numFmtId="0" fontId="18" fillId="0" borderId="33" xfId="23" applyFont="1" applyBorder="1" applyAlignment="1">
      <alignment horizontal="center" vertical="top" wrapText="1"/>
      <protection/>
    </xf>
    <xf numFmtId="0" fontId="18" fillId="0" borderId="32" xfId="23" applyFont="1" applyBorder="1" applyAlignment="1">
      <alignment horizontal="center" vertical="top" wrapText="1"/>
      <protection/>
    </xf>
    <xf numFmtId="0" fontId="18" fillId="0" borderId="35" xfId="23" applyFont="1" applyBorder="1" applyAlignment="1">
      <alignment horizontal="center" vertical="top" wrapText="1"/>
      <protection/>
    </xf>
    <xf numFmtId="0" fontId="18" fillId="0" borderId="25" xfId="23" applyFont="1" applyBorder="1" applyAlignment="1">
      <alignment horizontal="center" vertical="top" wrapText="1"/>
      <protection/>
    </xf>
    <xf numFmtId="1" fontId="37" fillId="0" borderId="53" xfId="23" applyNumberFormat="1" applyFont="1" applyBorder="1" applyAlignment="1">
      <alignment horizontal="center" vertical="top" wrapText="1"/>
      <protection/>
    </xf>
    <xf numFmtId="0" fontId="37" fillId="0" borderId="47" xfId="23" applyFont="1" applyBorder="1" applyAlignment="1">
      <alignment horizontal="center" vertical="top" wrapText="1"/>
      <protection/>
    </xf>
    <xf numFmtId="0" fontId="50" fillId="0" borderId="11" xfId="23" applyFont="1" applyBorder="1" applyAlignment="1">
      <alignment vertical="top" wrapText="1"/>
      <protection/>
    </xf>
    <xf numFmtId="171" fontId="50" fillId="0" borderId="25" xfId="23" applyNumberFormat="1" applyFont="1" applyBorder="1" applyAlignment="1">
      <alignment horizontal="right"/>
      <protection/>
    </xf>
    <xf numFmtId="0" fontId="50" fillId="0" borderId="55" xfId="23" applyFont="1" applyBorder="1" applyAlignment="1">
      <alignment vertical="top" wrapText="1"/>
      <protection/>
    </xf>
    <xf numFmtId="3" fontId="48" fillId="0" borderId="54" xfId="23" applyNumberFormat="1" applyFont="1" applyBorder="1" applyAlignment="1">
      <alignment horizontal="right"/>
      <protection/>
    </xf>
    <xf numFmtId="1" fontId="50" fillId="0" borderId="13" xfId="23" applyNumberFormat="1" applyFont="1" applyBorder="1" applyAlignment="1">
      <alignment horizontal="center" vertical="top" wrapText="1"/>
      <protection/>
    </xf>
    <xf numFmtId="1" fontId="48" fillId="0" borderId="41" xfId="23" applyNumberFormat="1" applyFont="1" applyBorder="1" applyAlignment="1">
      <alignment horizontal="center" vertical="top" wrapText="1"/>
      <protection/>
    </xf>
    <xf numFmtId="1" fontId="48" fillId="0" borderId="62" xfId="23" applyNumberFormat="1" applyFont="1" applyBorder="1" applyAlignment="1">
      <alignment horizontal="center" vertical="top" wrapText="1"/>
      <protection/>
    </xf>
    <xf numFmtId="164" fontId="48" fillId="0" borderId="41" xfId="23" applyNumberFormat="1" applyFont="1" applyBorder="1" applyAlignment="1">
      <alignment horizontal="center" vertical="top" wrapText="1"/>
      <protection/>
    </xf>
    <xf numFmtId="0" fontId="48" fillId="0" borderId="17" xfId="23" applyFont="1" applyBorder="1" applyAlignment="1">
      <alignment horizontal="center" vertical="top" wrapText="1"/>
      <protection/>
    </xf>
    <xf numFmtId="165" fontId="0" fillId="0" borderId="0" xfId="0" applyNumberFormat="1"/>
    <xf numFmtId="0" fontId="56" fillId="0" borderId="0" xfId="0" applyFont="1" quotePrefix="1"/>
    <xf numFmtId="165" fontId="3" fillId="0" borderId="0" xfId="0" applyNumberFormat="1" applyFont="1"/>
    <xf numFmtId="165" fontId="56" fillId="0" borderId="0" xfId="0" applyNumberFormat="1" applyFont="1"/>
    <xf numFmtId="2" fontId="0" fillId="0" borderId="0" xfId="0" applyNumberFormat="1"/>
    <xf numFmtId="0" fontId="60" fillId="0" borderId="0" xfId="23" applyFont="1">
      <alignment/>
      <protection/>
    </xf>
    <xf numFmtId="0" fontId="61" fillId="0" borderId="0" xfId="23" applyFont="1">
      <alignment/>
      <protection/>
    </xf>
    <xf numFmtId="0" fontId="37" fillId="0" borderId="0" xfId="22" applyFont="1">
      <alignment/>
      <protection/>
    </xf>
    <xf numFmtId="164" fontId="37" fillId="0" borderId="0" xfId="23" applyNumberFormat="1" applyFont="1">
      <alignment/>
      <protection/>
    </xf>
    <xf numFmtId="0" fontId="46" fillId="0" borderId="0" xfId="22" applyFont="1">
      <alignment/>
      <protection/>
    </xf>
    <xf numFmtId="164" fontId="48" fillId="0" borderId="0" xfId="23" applyNumberFormat="1" applyFont="1">
      <alignment/>
      <protection/>
    </xf>
    <xf numFmtId="0" fontId="3" fillId="0" borderId="32" xfId="23" applyFont="1" applyBorder="1" applyAlignment="1">
      <alignment horizontal="center" vertical="top" wrapText="1"/>
      <protection/>
    </xf>
    <xf numFmtId="0" fontId="3" fillId="0" borderId="33" xfId="23" applyFont="1" applyBorder="1" applyAlignment="1">
      <alignment horizontal="center" vertical="top" wrapText="1"/>
      <protection/>
    </xf>
    <xf numFmtId="0" fontId="46" fillId="0" borderId="39" xfId="23" applyFont="1" applyBorder="1" applyAlignment="1">
      <alignment horizontal="center"/>
      <protection/>
    </xf>
    <xf numFmtId="0" fontId="3" fillId="0" borderId="17" xfId="23" applyFont="1" applyBorder="1" applyAlignment="1">
      <alignment horizontal="center" vertical="top" wrapText="1"/>
      <protection/>
    </xf>
    <xf numFmtId="0" fontId="62" fillId="0" borderId="0" xfId="0" applyFont="1" applyAlignment="1">
      <alignment horizontal="left" vertical="center" indent="1"/>
    </xf>
    <xf numFmtId="0" fontId="47" fillId="0" borderId="0" xfId="0" applyFont="1" applyAlignment="1">
      <alignment horizontal="left" vertical="center" indent="5"/>
    </xf>
    <xf numFmtId="0" fontId="47" fillId="0" borderId="0" xfId="0" applyFont="1" applyAlignment="1">
      <alignment horizontal="justify" vertical="center"/>
    </xf>
    <xf numFmtId="0" fontId="63" fillId="0" borderId="0" xfId="0" applyFont="1" applyAlignment="1">
      <alignment horizontal="left" vertical="center" indent="8"/>
    </xf>
    <xf numFmtId="0" fontId="65" fillId="0" borderId="0" xfId="0" applyFont="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21"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20" applyFont="1" applyFill="1" applyBorder="1" applyAlignment="1">
      <alignment horizontal="left" vertical="top" wrapText="1"/>
    </xf>
    <xf numFmtId="0" fontId="3" fillId="0" borderId="58" xfId="23" applyFont="1" applyBorder="1" applyAlignment="1">
      <alignment horizontal="center" vertical="center"/>
      <protection/>
    </xf>
    <xf numFmtId="0" fontId="3" fillId="0" borderId="31" xfId="23" applyFont="1" applyBorder="1" applyAlignment="1">
      <alignment horizontal="center" vertical="center"/>
      <protection/>
    </xf>
    <xf numFmtId="0" fontId="3" fillId="0" borderId="73" xfId="23" applyFont="1" applyBorder="1" applyAlignment="1">
      <alignment vertical="top"/>
      <protection/>
    </xf>
    <xf numFmtId="0" fontId="0" fillId="0" borderId="39" xfId="23" applyBorder="1" applyAlignment="1">
      <alignment vertical="top"/>
      <protection/>
    </xf>
    <xf numFmtId="0" fontId="3" fillId="0" borderId="74" xfId="23" applyFont="1" applyBorder="1" applyAlignment="1">
      <alignment horizontal="center" vertical="top"/>
      <protection/>
    </xf>
    <xf numFmtId="0" fontId="0" fillId="0" borderId="41" xfId="23" applyBorder="1" applyAlignment="1">
      <alignment horizontal="center" vertical="top"/>
      <protection/>
    </xf>
    <xf numFmtId="0" fontId="3" fillId="0" borderId="76" xfId="23" applyFont="1" applyBorder="1" applyAlignment="1">
      <alignment horizontal="center" vertical="top" wrapText="1"/>
      <protection/>
    </xf>
    <xf numFmtId="0" fontId="0" fillId="0" borderId="17" xfId="23" applyBorder="1" applyAlignment="1">
      <alignment horizontal="center" vertical="top" wrapText="1"/>
      <protection/>
    </xf>
    <xf numFmtId="0" fontId="3" fillId="0" borderId="44" xfId="23" applyFont="1" applyBorder="1" applyAlignment="1">
      <alignment horizontal="center" vertical="center"/>
      <protection/>
    </xf>
    <xf numFmtId="0" fontId="3" fillId="0" borderId="24" xfId="23" applyFont="1" applyBorder="1" applyAlignment="1">
      <alignment horizontal="center" vertical="center"/>
      <protection/>
    </xf>
    <xf numFmtId="0" fontId="3" fillId="0" borderId="39" xfId="23" applyFont="1" applyBorder="1" applyAlignment="1">
      <alignment vertical="top"/>
      <protection/>
    </xf>
    <xf numFmtId="0" fontId="3" fillId="0" borderId="41" xfId="23" applyFont="1" applyBorder="1" applyAlignment="1">
      <alignment horizontal="center" vertical="top"/>
      <protection/>
    </xf>
    <xf numFmtId="0" fontId="46" fillId="0" borderId="58" xfId="23" applyFont="1" applyBorder="1" applyAlignment="1">
      <alignment horizontal="center" vertical="center"/>
      <protection/>
    </xf>
    <xf numFmtId="0" fontId="46" fillId="0" borderId="31" xfId="23" applyFont="1" applyBorder="1" applyAlignment="1">
      <alignment horizontal="center" vertical="center"/>
      <protection/>
    </xf>
    <xf numFmtId="0" fontId="46" fillId="0" borderId="73" xfId="23" applyFont="1" applyBorder="1" applyAlignment="1">
      <alignment vertical="top"/>
      <protection/>
    </xf>
    <xf numFmtId="0" fontId="18" fillId="0" borderId="39" xfId="23" applyFont="1" applyBorder="1" applyAlignment="1">
      <alignment vertical="top"/>
      <protection/>
    </xf>
    <xf numFmtId="0" fontId="46" fillId="0" borderId="74" xfId="23" applyFont="1" applyBorder="1" applyAlignment="1">
      <alignment horizontal="center" vertical="top"/>
      <protection/>
    </xf>
    <xf numFmtId="0" fontId="18" fillId="0" borderId="41" xfId="23" applyFont="1" applyBorder="1" applyAlignment="1">
      <alignment horizontal="center" vertical="top"/>
      <protection/>
    </xf>
    <xf numFmtId="0" fontId="46" fillId="0" borderId="76" xfId="23" applyFont="1" applyBorder="1" applyAlignment="1">
      <alignment horizontal="center" vertical="top"/>
      <protection/>
    </xf>
    <xf numFmtId="0" fontId="18" fillId="0" borderId="17" xfId="23" applyFont="1" applyBorder="1" applyAlignment="1">
      <alignment horizontal="center" vertical="top"/>
      <protection/>
    </xf>
    <xf numFmtId="0" fontId="46" fillId="0" borderId="44" xfId="23" applyFont="1" applyBorder="1" applyAlignment="1">
      <alignment horizontal="center" vertical="center"/>
      <protection/>
    </xf>
    <xf numFmtId="0" fontId="46" fillId="0" borderId="24" xfId="23" applyFont="1" applyBorder="1" applyAlignment="1">
      <alignment horizontal="center" vertical="center"/>
      <protection/>
    </xf>
    <xf numFmtId="0" fontId="3" fillId="0" borderId="76" xfId="23" applyFont="1" applyBorder="1" applyAlignment="1">
      <alignment horizontal="center" vertical="top"/>
      <protection/>
    </xf>
    <xf numFmtId="0" fontId="0" fillId="0" borderId="17" xfId="23" applyBorder="1" applyAlignment="1">
      <alignment horizontal="center" vertical="top"/>
      <protection/>
    </xf>
    <xf numFmtId="0" fontId="48" fillId="0" borderId="58" xfId="0" applyFont="1" applyBorder="1" applyAlignment="1">
      <alignment horizontal="center" vertical="center"/>
    </xf>
    <xf numFmtId="0" fontId="48" fillId="0" borderId="31" xfId="0" applyFont="1" applyBorder="1" applyAlignment="1">
      <alignment horizontal="center" vertical="center"/>
    </xf>
    <xf numFmtId="0" fontId="48" fillId="0" borderId="73" xfId="0" applyFont="1" applyBorder="1" applyAlignment="1">
      <alignment vertical="top"/>
    </xf>
    <xf numFmtId="0" fontId="37" fillId="0" borderId="20" xfId="0" applyFont="1" applyBorder="1" applyAlignment="1">
      <alignment vertical="top"/>
    </xf>
    <xf numFmtId="0" fontId="48" fillId="0" borderId="74" xfId="0" applyFont="1" applyBorder="1" applyAlignment="1">
      <alignment horizontal="right" vertical="top"/>
    </xf>
    <xf numFmtId="0" fontId="37" fillId="0" borderId="32" xfId="0" applyFont="1" applyBorder="1" applyAlignment="1">
      <alignment vertical="top"/>
    </xf>
    <xf numFmtId="0" fontId="48" fillId="0" borderId="76" xfId="0" applyFont="1" applyBorder="1" applyAlignment="1">
      <alignment horizontal="right" vertical="top"/>
    </xf>
    <xf numFmtId="0" fontId="37" fillId="0" borderId="33" xfId="0" applyFont="1" applyBorder="1" applyAlignment="1">
      <alignment vertical="top"/>
    </xf>
    <xf numFmtId="0" fontId="48" fillId="0" borderId="44" xfId="0" applyFont="1" applyBorder="1" applyAlignment="1">
      <alignment horizontal="center" vertical="center"/>
    </xf>
    <xf numFmtId="0" fontId="48" fillId="0" borderId="24" xfId="0" applyFont="1" applyBorder="1" applyAlignment="1">
      <alignment horizontal="center" vertical="center"/>
    </xf>
    <xf numFmtId="0" fontId="48" fillId="0" borderId="73" xfId="0" applyFont="1" applyBorder="1" applyAlignment="1">
      <alignment horizontal="right" vertical="top" wrapText="1"/>
    </xf>
    <xf numFmtId="0" fontId="37" fillId="0" borderId="20" xfId="0" applyFont="1" applyBorder="1" applyAlignment="1">
      <alignment horizontal="right" vertical="top"/>
    </xf>
    <xf numFmtId="0" fontId="3" fillId="15" borderId="73" xfId="0" applyFont="1" applyFill="1" applyBorder="1" applyAlignment="1">
      <alignment horizontal="center" vertical="top" wrapText="1"/>
    </xf>
    <xf numFmtId="0" fontId="0" fillId="15" borderId="20" xfId="0" applyFill="1" applyBorder="1" applyAlignment="1">
      <alignment horizontal="center" vertical="top"/>
    </xf>
    <xf numFmtId="0" fontId="48" fillId="15" borderId="73" xfId="0" applyFont="1" applyFill="1" applyBorder="1" applyAlignment="1">
      <alignment horizontal="center" vertical="top" wrapText="1"/>
    </xf>
    <xf numFmtId="0" fontId="37" fillId="15" borderId="20" xfId="0" applyFont="1" applyFill="1" applyBorder="1" applyAlignment="1">
      <alignment horizontal="center" vertical="top"/>
    </xf>
    <xf numFmtId="0" fontId="3" fillId="0" borderId="58" xfId="0" applyFont="1" applyBorder="1" applyAlignment="1">
      <alignment horizontal="center" vertical="center"/>
    </xf>
    <xf numFmtId="0" fontId="3" fillId="0" borderId="31" xfId="0" applyFont="1" applyBorder="1" applyAlignment="1">
      <alignment horizontal="center" vertical="center"/>
    </xf>
    <xf numFmtId="0" fontId="3" fillId="0" borderId="73" xfId="0" applyFont="1" applyBorder="1" applyAlignment="1">
      <alignment vertical="top"/>
    </xf>
    <xf numFmtId="0" fontId="0" fillId="0" borderId="20" xfId="0" applyBorder="1" applyAlignment="1">
      <alignment vertical="top"/>
    </xf>
    <xf numFmtId="0" fontId="3" fillId="0" borderId="74" xfId="0" applyFont="1" applyBorder="1" applyAlignment="1">
      <alignment horizontal="right" vertical="top"/>
    </xf>
    <xf numFmtId="0" fontId="0" fillId="0" borderId="32" xfId="0" applyBorder="1" applyAlignment="1">
      <alignment vertical="top"/>
    </xf>
    <xf numFmtId="0" fontId="3" fillId="0" borderId="76" xfId="0" applyFont="1" applyBorder="1" applyAlignment="1">
      <alignment horizontal="right" vertical="top"/>
    </xf>
    <xf numFmtId="0" fontId="0" fillId="0" borderId="33" xfId="0" applyBorder="1" applyAlignment="1">
      <alignment vertical="top"/>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right" vertical="top" wrapText="1"/>
    </xf>
    <xf numFmtId="0" fontId="0" fillId="0" borderId="20" xfId="0" applyBorder="1" applyAlignment="1">
      <alignment horizontal="right" vertical="top"/>
    </xf>
    <xf numFmtId="0" fontId="0" fillId="0" borderId="0" xfId="23" applyFont="1" applyAlignment="1">
      <alignment horizontal="left" vertical="top" wrapText="1"/>
      <protection/>
    </xf>
    <xf numFmtId="0" fontId="3" fillId="0" borderId="74" xfId="23" applyFont="1" applyBorder="1" applyAlignment="1">
      <alignment horizontal="center" vertical="top" wrapText="1"/>
      <protection/>
    </xf>
    <xf numFmtId="0" fontId="3" fillId="0" borderId="32" xfId="23" applyFont="1" applyBorder="1" applyAlignment="1">
      <alignment horizontal="center" vertical="top" wrapText="1"/>
      <protection/>
    </xf>
    <xf numFmtId="0" fontId="3" fillId="0" borderId="33" xfId="23" applyFont="1" applyBorder="1" applyAlignment="1">
      <alignment horizontal="center" vertical="top" wrapText="1"/>
      <protection/>
    </xf>
    <xf numFmtId="0" fontId="46" fillId="0" borderId="73" xfId="23" applyFont="1" applyBorder="1" applyAlignment="1">
      <alignment horizontal="center"/>
      <protection/>
    </xf>
    <xf numFmtId="0" fontId="46" fillId="0" borderId="39" xfId="23" applyFont="1" applyBorder="1" applyAlignment="1">
      <alignment horizontal="center"/>
      <protection/>
    </xf>
    <xf numFmtId="0" fontId="3" fillId="0" borderId="73" xfId="23" applyFont="1" applyBorder="1" applyAlignment="1">
      <alignment horizontal="center" vertical="top"/>
      <protection/>
    </xf>
    <xf numFmtId="0" fontId="3" fillId="0" borderId="47" xfId="23" applyFont="1" applyBorder="1" applyAlignment="1">
      <alignment horizontal="center" vertical="top"/>
      <protection/>
    </xf>
    <xf numFmtId="0" fontId="3" fillId="0" borderId="39" xfId="23" applyFont="1" applyBorder="1" applyAlignment="1">
      <alignment horizontal="center" vertical="top"/>
      <protection/>
    </xf>
    <xf numFmtId="0" fontId="3" fillId="0" borderId="32" xfId="23" applyFont="1" applyBorder="1" applyAlignment="1">
      <alignment horizontal="center" vertical="top"/>
      <protection/>
    </xf>
    <xf numFmtId="0" fontId="3" fillId="0" borderId="33" xfId="23" applyFont="1" applyBorder="1" applyAlignment="1">
      <alignment horizontal="center" vertical="top"/>
      <protection/>
    </xf>
    <xf numFmtId="0" fontId="3" fillId="0" borderId="73" xfId="23" applyFont="1" applyBorder="1" applyAlignment="1">
      <alignment horizontal="center"/>
      <protection/>
    </xf>
    <xf numFmtId="0" fontId="3" fillId="0" borderId="39" xfId="23" applyFont="1" applyBorder="1" applyAlignment="1">
      <alignment horizontal="center"/>
      <protection/>
    </xf>
    <xf numFmtId="0" fontId="3" fillId="0" borderId="35" xfId="23" applyFont="1" applyBorder="1" applyAlignment="1">
      <alignment horizontal="center" vertical="top" wrapText="1"/>
      <protection/>
    </xf>
    <xf numFmtId="0" fontId="3" fillId="0" borderId="51" xfId="23" applyFont="1" applyBorder="1" applyAlignment="1">
      <alignment horizontal="center" vertical="center"/>
      <protection/>
    </xf>
    <xf numFmtId="0" fontId="3" fillId="0" borderId="34" xfId="23" applyFont="1" applyBorder="1" applyAlignment="1">
      <alignment horizontal="center" vertical="center"/>
      <protection/>
    </xf>
    <xf numFmtId="0" fontId="3" fillId="0" borderId="17" xfId="23" applyFont="1" applyBorder="1" applyAlignment="1">
      <alignment horizontal="center" vertical="top" wrapText="1"/>
      <protection/>
    </xf>
    <xf numFmtId="0" fontId="3" fillId="0" borderId="73" xfId="23" applyFont="1" applyBorder="1" applyAlignment="1">
      <alignment horizontal="left" vertical="top"/>
      <protection/>
    </xf>
    <xf numFmtId="0" fontId="3" fillId="0" borderId="47" xfId="23" applyFont="1" applyBorder="1" applyAlignment="1">
      <alignment horizontal="left" vertical="top"/>
      <protection/>
    </xf>
    <xf numFmtId="0" fontId="3" fillId="0" borderId="39" xfId="23" applyFont="1" applyBorder="1" applyAlignment="1">
      <alignment horizontal="left" vertical="top"/>
      <protection/>
    </xf>
    <xf numFmtId="0" fontId="37" fillId="0" borderId="73" xfId="23" applyFont="1" applyBorder="1" applyAlignment="1">
      <alignment horizontal="center"/>
      <protection/>
    </xf>
    <xf numFmtId="0" fontId="37" fillId="0" borderId="39" xfId="23" applyFont="1" applyBorder="1" applyAlignment="1">
      <alignment horizontal="center"/>
      <protection/>
    </xf>
    <xf numFmtId="0" fontId="0" fillId="0" borderId="0" xfId="55" applyFont="1">
      <alignment/>
      <protection/>
    </xf>
    <xf numFmtId="0" fontId="0" fillId="0" borderId="0" xfId="55" applyFont="1">
      <alignment/>
      <protection/>
    </xf>
    <xf numFmtId="0" fontId="3" fillId="0" borderId="10" xfId="23" applyFont="1" applyBorder="1">
      <alignment/>
      <protection/>
    </xf>
    <xf numFmtId="0" fontId="0" fillId="0" borderId="10" xfId="23" applyFont="1" applyBorder="1">
      <alignment/>
      <protection/>
    </xf>
    <xf numFmtId="0" fontId="0" fillId="0" borderId="10" xfId="23" applyFont="1" applyFill="1" applyBorder="1">
      <alignment/>
      <protection/>
    </xf>
    <xf numFmtId="0" fontId="17" fillId="0" borderId="10" xfId="23" applyFont="1" applyFill="1" applyBorder="1">
      <alignment/>
      <protection/>
    </xf>
    <xf numFmtId="1" fontId="17" fillId="0" borderId="13" xfId="23" applyNumberFormat="1" applyFont="1" applyFill="1" applyBorder="1">
      <alignment/>
      <protection/>
    </xf>
    <xf numFmtId="1" fontId="17" fillId="0" borderId="33" xfId="23" applyNumberFormat="1" applyFont="1" applyFill="1" applyBorder="1" applyAlignment="1">
      <alignment horizontal="center" vertical="top"/>
      <protection/>
    </xf>
    <xf numFmtId="3" fontId="17" fillId="0" borderId="13" xfId="0" applyNumberFormat="1" applyFont="1" applyFill="1" applyBorder="1"/>
    <xf numFmtId="165" fontId="17" fillId="0" borderId="12" xfId="23" applyNumberFormat="1" applyFont="1" applyFill="1" applyBorder="1">
      <alignment/>
      <protection/>
    </xf>
    <xf numFmtId="0" fontId="0" fillId="0" borderId="44" xfId="23" applyBorder="1" quotePrefix="1">
      <alignment/>
      <protection/>
    </xf>
    <xf numFmtId="0" fontId="3" fillId="0" borderId="24" xfId="23" applyFont="1" applyBorder="1" applyAlignment="1">
      <alignment horizontal="center" vertical="top" wrapText="1"/>
      <protection/>
    </xf>
    <xf numFmtId="0" fontId="0" fillId="0" borderId="13" xfId="23" applyBorder="1">
      <alignment/>
      <protection/>
    </xf>
    <xf numFmtId="0" fontId="0" fillId="0" borderId="12" xfId="23" applyBorder="1" applyAlignment="1">
      <alignment horizontal="center" vertical="top" wrapText="1"/>
      <protection/>
    </xf>
    <xf numFmtId="0" fontId="0" fillId="0" borderId="13" xfId="23" applyFont="1" applyFill="1" applyBorder="1">
      <alignment/>
      <protection/>
    </xf>
    <xf numFmtId="0" fontId="0" fillId="0" borderId="12" xfId="23" applyBorder="1" applyAlignment="1">
      <alignment horizontal="center" vertical="top" wrapText="1"/>
      <protection/>
    </xf>
    <xf numFmtId="1" fontId="0" fillId="0" borderId="28" xfId="23" applyNumberFormat="1" applyBorder="1" applyAlignment="1">
      <alignment horizontal="center" vertical="top" wrapText="1"/>
      <protection/>
    </xf>
    <xf numFmtId="0" fontId="0" fillId="0" borderId="0" xfId="23" applyBorder="1" applyAlignment="1">
      <alignment horizontal="center" vertical="top" wrapText="1"/>
      <protection/>
    </xf>
    <xf numFmtId="0" fontId="0" fillId="0" borderId="61" xfId="23" applyBorder="1">
      <alignment/>
      <protection/>
    </xf>
    <xf numFmtId="0" fontId="0" fillId="0" borderId="11" xfId="23" applyFont="1" applyFill="1" applyBorder="1">
      <alignment/>
      <protection/>
    </xf>
    <xf numFmtId="164" fontId="37" fillId="0" borderId="28" xfId="23" applyNumberFormat="1" applyFont="1" applyBorder="1">
      <alignment/>
      <protection/>
    </xf>
    <xf numFmtId="0" fontId="0" fillId="0" borderId="0" xfId="55" applyFont="1" applyAlignment="1">
      <alignment vertical="top"/>
      <protection/>
    </xf>
    <xf numFmtId="1" fontId="18" fillId="0" borderId="21" xfId="23" applyNumberFormat="1" applyFont="1" applyBorder="1">
      <alignment/>
      <protection/>
    </xf>
    <xf numFmtId="0" fontId="18" fillId="0" borderId="10" xfId="23" applyFont="1" applyBorder="1" quotePrefix="1">
      <alignment/>
      <protection/>
    </xf>
    <xf numFmtId="0" fontId="46" fillId="0" borderId="11" xfId="23" applyFont="1" applyBorder="1">
      <alignment/>
      <protection/>
    </xf>
    <xf numFmtId="1" fontId="46" fillId="0" borderId="19" xfId="23" applyNumberFormat="1" applyFont="1" applyBorder="1">
      <alignment/>
      <protection/>
    </xf>
    <xf numFmtId="0" fontId="46" fillId="0" borderId="74" xfId="23" applyFont="1" applyBorder="1" applyAlignment="1">
      <alignment horizontal="center"/>
      <protection/>
    </xf>
    <xf numFmtId="0" fontId="46" fillId="0" borderId="41" xfId="23" applyFont="1" applyBorder="1" applyAlignment="1">
      <alignment horizontal="center"/>
      <protection/>
    </xf>
    <xf numFmtId="0" fontId="53" fillId="0" borderId="32" xfId="26" applyFont="1" applyBorder="1" applyAlignment="1">
      <alignment vertical="top" wrapText="1"/>
      <protection/>
    </xf>
    <xf numFmtId="164" fontId="18" fillId="0" borderId="37" xfId="23" applyNumberFormat="1" applyFont="1" applyFill="1" applyBorder="1" applyAlignment="1">
      <alignment vertical="top"/>
      <protection/>
    </xf>
    <xf numFmtId="1" fontId="18" fillId="0" borderId="37" xfId="42" applyNumberFormat="1" applyFont="1" applyFill="1" applyBorder="1" applyAlignment="1">
      <alignment vertical="top"/>
      <protection/>
    </xf>
    <xf numFmtId="0" fontId="53" fillId="0" borderId="13" xfId="26" applyFont="1" applyBorder="1" applyAlignment="1">
      <alignment vertical="top" wrapText="1"/>
      <protection/>
    </xf>
    <xf numFmtId="0" fontId="53" fillId="0" borderId="13" xfId="26" applyFont="1" applyBorder="1">
      <alignment/>
      <protection/>
    </xf>
    <xf numFmtId="0" fontId="46" fillId="0" borderId="25" xfId="23" applyFont="1" applyBorder="1">
      <alignment/>
      <protection/>
    </xf>
    <xf numFmtId="0" fontId="18" fillId="0" borderId="29" xfId="55" applyFont="1" applyBorder="1" applyAlignment="1">
      <alignment vertical="top"/>
      <protection/>
    </xf>
    <xf numFmtId="0" fontId="18" fillId="0" borderId="29" xfId="23" applyFont="1" applyBorder="1" applyAlignment="1">
      <alignment vertical="top"/>
      <protection/>
    </xf>
    <xf numFmtId="164" fontId="46" fillId="0" borderId="28" xfId="23" applyNumberFormat="1" applyFont="1" applyBorder="1" applyAlignment="1">
      <alignment vertical="top"/>
      <protection/>
    </xf>
    <xf numFmtId="0" fontId="18" fillId="0" borderId="0" xfId="55" applyFont="1">
      <alignment/>
      <protection/>
    </xf>
    <xf numFmtId="166" fontId="18" fillId="0" borderId="0" xfId="23" applyNumberFormat="1" applyFont="1">
      <alignment/>
      <protection/>
    </xf>
    <xf numFmtId="0" fontId="46" fillId="0" borderId="33" xfId="23" applyFont="1" applyBorder="1" applyAlignment="1">
      <alignment horizontal="center" vertical="top"/>
      <protection/>
    </xf>
    <xf numFmtId="164" fontId="0" fillId="0" borderId="17" xfId="23" applyNumberFormat="1" applyBorder="1" applyAlignment="1">
      <alignment/>
      <protection/>
    </xf>
    <xf numFmtId="0" fontId="18" fillId="0" borderId="11" xfId="26" applyFont="1" applyBorder="1" applyAlignment="1">
      <alignment horizontal="left" vertical="top" wrapText="1" indent="4"/>
      <protection/>
    </xf>
    <xf numFmtId="164" fontId="18" fillId="0" borderId="38" xfId="23" applyNumberFormat="1" applyFont="1" applyFill="1" applyBorder="1" applyAlignment="1">
      <alignment vertical="top"/>
      <protection/>
    </xf>
    <xf numFmtId="1" fontId="18" fillId="0" borderId="29" xfId="42" applyNumberFormat="1" applyFont="1" applyFill="1" applyBorder="1" applyAlignment="1">
      <alignment vertical="top"/>
      <protection/>
    </xf>
    <xf numFmtId="0" fontId="46" fillId="0" borderId="74" xfId="23" applyFont="1" applyBorder="1" applyAlignment="1">
      <alignment horizontal="center" vertical="top" wrapText="1"/>
      <protection/>
    </xf>
    <xf numFmtId="0" fontId="46" fillId="0" borderId="75" xfId="23" applyFont="1" applyBorder="1" applyAlignment="1">
      <alignment horizontal="center" vertical="top" wrapText="1"/>
      <protection/>
    </xf>
    <xf numFmtId="0" fontId="46" fillId="0" borderId="80" xfId="23" applyFont="1" applyBorder="1" applyAlignment="1">
      <alignment horizontal="center" vertical="top" wrapText="1"/>
      <protection/>
    </xf>
    <xf numFmtId="0" fontId="46" fillId="0" borderId="76" xfId="23" applyFont="1" applyBorder="1" applyAlignment="1">
      <alignment horizontal="center" vertical="top" wrapText="1"/>
      <protection/>
    </xf>
    <xf numFmtId="0" fontId="46" fillId="0" borderId="47" xfId="23" applyFont="1" applyBorder="1" applyAlignment="1">
      <alignment horizontal="center"/>
      <protection/>
    </xf>
    <xf numFmtId="0" fontId="46" fillId="0" borderId="32" xfId="23" applyFont="1" applyBorder="1" applyAlignment="1">
      <alignment horizontal="center" vertical="top" wrapText="1"/>
      <protection/>
    </xf>
    <xf numFmtId="0" fontId="46" fillId="0" borderId="37" xfId="23" applyFont="1" applyBorder="1" applyAlignment="1">
      <alignment horizontal="center" vertical="top" wrapText="1"/>
      <protection/>
    </xf>
    <xf numFmtId="0" fontId="57" fillId="0" borderId="45" xfId="23" applyFont="1" applyBorder="1" applyAlignment="1">
      <alignment horizontal="center" vertical="top" wrapText="1"/>
      <protection/>
    </xf>
    <xf numFmtId="0" fontId="46" fillId="0" borderId="33" xfId="23" applyFont="1" applyBorder="1" applyAlignment="1">
      <alignment horizontal="center" vertical="top" wrapText="1"/>
      <protection/>
    </xf>
    <xf numFmtId="0" fontId="18" fillId="0" borderId="71" xfId="23" applyFont="1" applyBorder="1" applyAlignment="1">
      <alignment horizontal="center" vertical="top" wrapText="1"/>
      <protection/>
    </xf>
    <xf numFmtId="0" fontId="18" fillId="0" borderId="19" xfId="23" applyFont="1" applyBorder="1" applyAlignment="1">
      <alignment horizontal="center" vertical="top" wrapText="1"/>
      <protection/>
    </xf>
    <xf numFmtId="164" fontId="18" fillId="0" borderId="40" xfId="23" applyNumberFormat="1" applyFont="1" applyBorder="1" applyAlignment="1">
      <alignment vertical="top"/>
      <protection/>
    </xf>
    <xf numFmtId="164" fontId="18" fillId="0" borderId="37" xfId="23" applyNumberFormat="1" applyFont="1" applyBorder="1" applyAlignment="1">
      <alignment vertical="top"/>
      <protection/>
    </xf>
    <xf numFmtId="164" fontId="18" fillId="0" borderId="21" xfId="23" applyNumberFormat="1" applyFont="1" applyBorder="1" applyAlignment="1">
      <alignment horizontal="right" vertical="top" wrapText="1"/>
      <protection/>
    </xf>
    <xf numFmtId="164" fontId="18" fillId="0" borderId="71" xfId="23" applyNumberFormat="1" applyFont="1" applyBorder="1" applyAlignment="1">
      <alignment vertical="top"/>
      <protection/>
    </xf>
    <xf numFmtId="164" fontId="18" fillId="0" borderId="29" xfId="23" applyNumberFormat="1" applyFont="1" applyBorder="1" applyAlignment="1">
      <alignment vertical="top"/>
      <protection/>
    </xf>
    <xf numFmtId="165" fontId="3" fillId="0" borderId="41" xfId="23" applyNumberFormat="1" applyFont="1" applyBorder="1">
      <alignment/>
      <protection/>
    </xf>
    <xf numFmtId="165" fontId="3" fillId="0" borderId="81" xfId="23" applyNumberFormat="1" applyFont="1" applyBorder="1">
      <alignment/>
      <protection/>
    </xf>
    <xf numFmtId="164" fontId="0" fillId="0" borderId="53" xfId="23" applyNumberFormat="1" applyFont="1" applyBorder="1">
      <alignment/>
      <protection/>
    </xf>
    <xf numFmtId="0" fontId="37" fillId="0" borderId="22" xfId="23" applyFont="1" applyBorder="1" applyAlignment="1">
      <alignment horizontal="center" vertical="top" wrapText="1"/>
      <protection/>
    </xf>
    <xf numFmtId="1" fontId="37" fillId="0" borderId="44" xfId="23" applyNumberFormat="1" applyFont="1" applyBorder="1" applyAlignment="1">
      <alignment horizontal="right" wrapText="1"/>
      <protection/>
    </xf>
    <xf numFmtId="0" fontId="18" fillId="0" borderId="45" xfId="23" applyFont="1" applyBorder="1" applyAlignment="1">
      <alignment horizontal="center" vertical="top" wrapText="1"/>
      <protection/>
    </xf>
    <xf numFmtId="0" fontId="50" fillId="0" borderId="45" xfId="23" applyFont="1" applyBorder="1" applyAlignment="1">
      <alignment vertical="top" wrapText="1"/>
      <protection/>
    </xf>
    <xf numFmtId="171" fontId="50" fillId="0" borderId="45" xfId="23" applyNumberFormat="1" applyFont="1" applyBorder="1" applyAlignment="1">
      <alignment horizontal="right"/>
      <protection/>
    </xf>
    <xf numFmtId="0" fontId="18" fillId="0" borderId="0" xfId="23" applyFont="1" applyBorder="1" applyAlignment="1">
      <alignment horizontal="center" vertical="top" wrapText="1"/>
      <protection/>
    </xf>
    <xf numFmtId="3" fontId="37" fillId="0" borderId="45" xfId="23" applyNumberFormat="1" applyFont="1" applyBorder="1" applyAlignment="1">
      <alignment horizontal="right"/>
      <protection/>
    </xf>
    <xf numFmtId="0" fontId="16" fillId="0" borderId="45" xfId="23" applyFont="1" applyBorder="1">
      <alignment/>
      <protection/>
    </xf>
    <xf numFmtId="165" fontId="18" fillId="0" borderId="40" xfId="23" applyNumberFormat="1" applyFont="1" applyBorder="1">
      <alignment/>
      <protection/>
    </xf>
    <xf numFmtId="164" fontId="18" fillId="0" borderId="32" xfId="23" applyNumberFormat="1" applyFont="1" applyBorder="1">
      <alignment/>
      <protection/>
    </xf>
    <xf numFmtId="164" fontId="18" fillId="0" borderId="33" xfId="23" applyNumberFormat="1" applyFont="1" applyBorder="1">
      <alignment/>
      <protection/>
    </xf>
    <xf numFmtId="0" fontId="18" fillId="0" borderId="10" xfId="23" applyFont="1" applyBorder="1" applyAlignment="1">
      <alignment vertical="top" wrapText="1"/>
      <protection/>
    </xf>
    <xf numFmtId="165" fontId="18" fillId="0" borderId="13" xfId="23" applyNumberFormat="1" applyFont="1" applyBorder="1">
      <alignment/>
      <protection/>
    </xf>
    <xf numFmtId="165" fontId="18" fillId="0" borderId="69" xfId="23" applyNumberFormat="1" applyFont="1" applyBorder="1">
      <alignment/>
      <protection/>
    </xf>
    <xf numFmtId="164" fontId="18" fillId="0" borderId="13" xfId="23" applyNumberFormat="1" applyFont="1" applyBorder="1">
      <alignment/>
      <protection/>
    </xf>
    <xf numFmtId="164" fontId="18" fillId="0" borderId="12" xfId="23" applyNumberFormat="1" applyFont="1" applyBorder="1">
      <alignment/>
      <protection/>
    </xf>
    <xf numFmtId="0" fontId="18" fillId="16" borderId="55" xfId="23" applyFont="1" applyFill="1" applyBorder="1" applyAlignment="1">
      <alignment vertical="top" wrapText="1"/>
      <protection/>
    </xf>
    <xf numFmtId="0" fontId="37" fillId="16" borderId="55" xfId="23" applyFont="1" applyFill="1" applyBorder="1" applyAlignment="1">
      <alignment vertical="top" wrapText="1"/>
      <protection/>
    </xf>
    <xf numFmtId="165" fontId="37" fillId="0" borderId="13" xfId="23" applyNumberFormat="1" applyFont="1" applyFill="1" applyBorder="1">
      <alignment/>
      <protection/>
    </xf>
    <xf numFmtId="0" fontId="37" fillId="0" borderId="45" xfId="23" applyFont="1" applyFill="1" applyBorder="1" applyAlignment="1">
      <alignment vertical="top" wrapText="1"/>
      <protection/>
    </xf>
    <xf numFmtId="165" fontId="37" fillId="0" borderId="46" xfId="23" applyNumberFormat="1" applyFont="1" applyFill="1" applyBorder="1">
      <alignment/>
      <protection/>
    </xf>
    <xf numFmtId="165" fontId="37" fillId="0" borderId="48" xfId="23" applyNumberFormat="1" applyFont="1" applyFill="1" applyBorder="1">
      <alignment/>
      <protection/>
    </xf>
    <xf numFmtId="165" fontId="18" fillId="0" borderId="81" xfId="23" applyNumberFormat="1" applyFont="1" applyBorder="1">
      <alignment/>
      <protection/>
    </xf>
    <xf numFmtId="164" fontId="18" fillId="0" borderId="53" xfId="23" applyNumberFormat="1" applyFont="1" applyBorder="1">
      <alignment/>
      <protection/>
    </xf>
    <xf numFmtId="164" fontId="18" fillId="0" borderId="35" xfId="23" applyNumberFormat="1" applyFont="1" applyBorder="1">
      <alignment/>
      <protection/>
    </xf>
    <xf numFmtId="165" fontId="18" fillId="0" borderId="48" xfId="23" applyNumberFormat="1" applyFont="1" applyFill="1" applyBorder="1">
      <alignment/>
      <protection/>
    </xf>
    <xf numFmtId="0" fontId="17" fillId="0" borderId="45" xfId="23" applyFont="1" applyBorder="1" applyAlignment="1">
      <alignment vertical="top" wrapText="1"/>
      <protection/>
    </xf>
    <xf numFmtId="171" fontId="50" fillId="0" borderId="46" xfId="23" applyNumberFormat="1" applyFont="1" applyBorder="1" applyAlignment="1">
      <alignment horizontal="right"/>
      <protection/>
    </xf>
    <xf numFmtId="0" fontId="17" fillId="0" borderId="37" xfId="23" applyFont="1" applyBorder="1" applyAlignment="1">
      <alignment vertical="top" wrapText="1"/>
      <protection/>
    </xf>
    <xf numFmtId="171" fontId="50" fillId="0" borderId="48" xfId="23" applyNumberFormat="1" applyFont="1" applyBorder="1" applyAlignment="1">
      <alignment horizontal="right"/>
      <protection/>
    </xf>
    <xf numFmtId="0" fontId="37" fillId="0" borderId="37" xfId="23" applyFont="1" applyFill="1" applyBorder="1" applyAlignment="1">
      <alignment vertical="top" wrapText="1"/>
      <protection/>
    </xf>
    <xf numFmtId="165" fontId="37" fillId="0" borderId="48" xfId="23" applyNumberFormat="1" applyFont="1" applyBorder="1">
      <alignment/>
      <protection/>
    </xf>
    <xf numFmtId="165" fontId="37" fillId="0" borderId="81" xfId="23" applyNumberFormat="1" applyFont="1" applyBorder="1">
      <alignment/>
      <protection/>
    </xf>
    <xf numFmtId="165" fontId="37" fillId="0" borderId="46" xfId="23" applyNumberFormat="1" applyFont="1" applyBorder="1">
      <alignment/>
      <protection/>
    </xf>
    <xf numFmtId="165" fontId="50" fillId="0" borderId="45" xfId="23" applyNumberFormat="1" applyFont="1" applyBorder="1" applyAlignment="1">
      <alignment horizontal="right"/>
      <protection/>
    </xf>
    <xf numFmtId="165" fontId="50" fillId="0" borderId="48" xfId="23" applyNumberFormat="1" applyFont="1" applyBorder="1" applyAlignment="1">
      <alignment horizontal="right"/>
      <protection/>
    </xf>
    <xf numFmtId="0" fontId="3" fillId="0" borderId="39" xfId="23" applyFont="1" applyBorder="1" applyAlignment="1">
      <alignment vertical="top" wrapText="1"/>
      <protection/>
    </xf>
    <xf numFmtId="0" fontId="46" fillId="0" borderId="73" xfId="23" applyFont="1" applyBorder="1" applyAlignment="1">
      <alignment horizontal="left" vertical="top"/>
      <protection/>
    </xf>
    <xf numFmtId="0" fontId="46" fillId="0" borderId="22" xfId="23" applyFont="1" applyBorder="1" applyAlignment="1">
      <alignment horizontal="center" vertical="center"/>
      <protection/>
    </xf>
    <xf numFmtId="0" fontId="16" fillId="0" borderId="0" xfId="23" applyFont="1" applyAlignment="1">
      <alignment horizontal="right"/>
      <protection/>
    </xf>
    <xf numFmtId="0" fontId="46" fillId="0" borderId="47" xfId="23" applyFont="1" applyBorder="1" applyAlignment="1">
      <alignment horizontal="left" vertical="top"/>
      <protection/>
    </xf>
    <xf numFmtId="0" fontId="46" fillId="0" borderId="10" xfId="23" applyFont="1" applyBorder="1" applyAlignment="1">
      <alignment horizontal="center" vertical="top" wrapText="1"/>
      <protection/>
    </xf>
    <xf numFmtId="0" fontId="46" fillId="0" borderId="0" xfId="23" applyFont="1" applyBorder="1" applyAlignment="1">
      <alignment horizontal="center" vertical="top"/>
      <protection/>
    </xf>
    <xf numFmtId="0" fontId="46" fillId="0" borderId="39" xfId="23" applyFont="1" applyBorder="1" applyAlignment="1">
      <alignment horizontal="left" vertical="top"/>
      <protection/>
    </xf>
    <xf numFmtId="0" fontId="18" fillId="0" borderId="11" xfId="23" applyFont="1" applyBorder="1" applyAlignment="1">
      <alignment horizontal="center" vertical="top" wrapText="1"/>
      <protection/>
    </xf>
    <xf numFmtId="165" fontId="18" fillId="0" borderId="20" xfId="23" applyNumberFormat="1" applyFont="1" applyFill="1" applyBorder="1" applyAlignment="1">
      <alignment vertical="top"/>
      <protection/>
    </xf>
    <xf numFmtId="0" fontId="18" fillId="0" borderId="10" xfId="23" applyFont="1" applyBorder="1" applyAlignment="1">
      <alignment horizontal="left" vertical="top" wrapText="1"/>
      <protection/>
    </xf>
    <xf numFmtId="0" fontId="18" fillId="0" borderId="10" xfId="23" applyFont="1" applyBorder="1" applyAlignment="1">
      <alignment horizontal="left" vertical="top" wrapText="1" indent="1"/>
      <protection/>
    </xf>
    <xf numFmtId="0" fontId="46" fillId="0" borderId="14" xfId="23" applyFont="1" applyBorder="1" applyAlignment="1">
      <alignment vertical="top" wrapText="1"/>
      <protection/>
    </xf>
    <xf numFmtId="165" fontId="46" fillId="0" borderId="14" xfId="23" applyNumberFormat="1" applyFont="1" applyBorder="1" applyAlignment="1">
      <alignment vertical="top"/>
      <protection/>
    </xf>
    <xf numFmtId="0" fontId="48" fillId="0" borderId="44" xfId="23" applyFont="1" applyBorder="1" applyAlignment="1">
      <alignment horizontal="left" vertical="top"/>
      <protection/>
    </xf>
    <xf numFmtId="0" fontId="48" fillId="0" borderId="24" xfId="23" applyFont="1" applyBorder="1" applyAlignment="1">
      <alignment horizontal="center" vertical="center"/>
      <protection/>
    </xf>
    <xf numFmtId="0" fontId="48" fillId="0" borderId="13" xfId="23" applyFont="1" applyBorder="1" applyAlignment="1">
      <alignment horizontal="left" vertical="top"/>
      <protection/>
    </xf>
    <xf numFmtId="0" fontId="48" fillId="0" borderId="12" xfId="23" applyFont="1" applyBorder="1" applyAlignment="1">
      <alignment horizontal="center" vertical="top" wrapText="1"/>
      <protection/>
    </xf>
    <xf numFmtId="0" fontId="37" fillId="0" borderId="12" xfId="23" applyFont="1" applyBorder="1" applyAlignment="1">
      <alignment horizontal="center" vertical="top" wrapText="1"/>
      <protection/>
    </xf>
    <xf numFmtId="0" fontId="37" fillId="0" borderId="13" xfId="23" applyFont="1" applyBorder="1" applyAlignment="1">
      <alignment vertical="top" wrapText="1"/>
      <protection/>
    </xf>
    <xf numFmtId="165" fontId="37" fillId="0" borderId="12" xfId="23" applyNumberFormat="1" applyFont="1" applyFill="1" applyBorder="1" applyAlignment="1">
      <alignment vertical="top"/>
      <protection/>
    </xf>
    <xf numFmtId="0" fontId="37" fillId="0" borderId="13" xfId="23" applyFont="1" applyBorder="1">
      <alignment/>
      <protection/>
    </xf>
    <xf numFmtId="0" fontId="37" fillId="0" borderId="12" xfId="23" applyFont="1" applyBorder="1">
      <alignment/>
      <protection/>
    </xf>
    <xf numFmtId="0" fontId="48" fillId="0" borderId="25" xfId="23" applyFont="1" applyBorder="1" applyAlignment="1">
      <alignment vertical="top" wrapText="1"/>
      <protection/>
    </xf>
    <xf numFmtId="165" fontId="48" fillId="0" borderId="28" xfId="23" applyNumberFormat="1" applyFont="1" applyBorder="1" applyAlignment="1">
      <alignment vertical="top"/>
      <protection/>
    </xf>
    <xf numFmtId="0" fontId="55" fillId="0" borderId="0" xfId="23" applyFont="1" applyAlignment="1">
      <alignment vertical="top" wrapText="1"/>
      <protection/>
    </xf>
    <xf numFmtId="0" fontId="46" fillId="0" borderId="82" xfId="23" applyFont="1" applyBorder="1" applyAlignment="1">
      <alignment horizontal="center" vertical="top" wrapText="1"/>
      <protection/>
    </xf>
    <xf numFmtId="0" fontId="46" fillId="0" borderId="83" xfId="23" applyFont="1" applyBorder="1" applyAlignment="1">
      <alignment horizontal="center" vertical="top" wrapText="1"/>
      <protection/>
    </xf>
    <xf numFmtId="0" fontId="46" fillId="0" borderId="15" xfId="23" applyFont="1" applyBorder="1" applyAlignment="1">
      <alignment horizontal="center" vertical="top" wrapText="1"/>
      <protection/>
    </xf>
    <xf numFmtId="3" fontId="18" fillId="0" borderId="44" xfId="23" applyNumberFormat="1" applyFont="1" applyFill="1" applyBorder="1">
      <alignment/>
      <protection/>
    </xf>
    <xf numFmtId="3" fontId="18" fillId="0" borderId="23" xfId="23" applyNumberFormat="1" applyFont="1" applyFill="1" applyBorder="1">
      <alignment/>
      <protection/>
    </xf>
    <xf numFmtId="3" fontId="18" fillId="0" borderId="24" xfId="23" applyNumberFormat="1" applyFont="1" applyFill="1" applyBorder="1">
      <alignment/>
      <protection/>
    </xf>
    <xf numFmtId="0" fontId="18" fillId="0" borderId="10" xfId="23" applyFont="1" applyBorder="1">
      <alignment/>
      <protection/>
    </xf>
    <xf numFmtId="3" fontId="18" fillId="0" borderId="13" xfId="23" applyNumberFormat="1" applyFont="1" applyFill="1" applyBorder="1">
      <alignment/>
      <protection/>
    </xf>
    <xf numFmtId="3" fontId="18" fillId="0" borderId="45" xfId="23" applyNumberFormat="1" applyFont="1" applyFill="1" applyBorder="1">
      <alignment/>
      <protection/>
    </xf>
    <xf numFmtId="3" fontId="18" fillId="0" borderId="12" xfId="23" applyNumberFormat="1" applyFont="1" applyFill="1" applyBorder="1">
      <alignment/>
      <protection/>
    </xf>
    <xf numFmtId="0" fontId="18" fillId="0" borderId="55" xfId="23" applyFont="1" applyBorder="1">
      <alignment/>
      <protection/>
    </xf>
    <xf numFmtId="3" fontId="18" fillId="0" borderId="54" xfId="23" applyNumberFormat="1" applyFont="1" applyFill="1" applyBorder="1">
      <alignment/>
      <protection/>
    </xf>
    <xf numFmtId="3" fontId="18" fillId="0" borderId="52" xfId="23" applyNumberFormat="1" applyFont="1" applyFill="1" applyBorder="1">
      <alignment/>
      <protection/>
    </xf>
    <xf numFmtId="3" fontId="18" fillId="0" borderId="27" xfId="23" applyNumberFormat="1" applyFont="1" applyFill="1" applyBorder="1">
      <alignment/>
      <protection/>
    </xf>
    <xf numFmtId="168" fontId="18" fillId="0" borderId="44" xfId="24" applyNumberFormat="1" applyFont="1" applyBorder="1"/>
    <xf numFmtId="168" fontId="18" fillId="0" borderId="23" xfId="24" applyNumberFormat="1" applyFont="1" applyBorder="1"/>
    <xf numFmtId="168" fontId="18" fillId="0" borderId="24" xfId="24" applyNumberFormat="1" applyFont="1" applyBorder="1"/>
    <xf numFmtId="0" fontId="18" fillId="0" borderId="25" xfId="23" applyFont="1" applyBorder="1">
      <alignment/>
      <protection/>
    </xf>
    <xf numFmtId="0" fontId="18" fillId="0" borderId="29" xfId="23" applyFont="1" applyBorder="1">
      <alignment/>
      <protection/>
    </xf>
    <xf numFmtId="168" fontId="18" fillId="0" borderId="28" xfId="23" applyNumberFormat="1" applyFont="1" applyBorder="1">
      <alignment/>
      <protection/>
    </xf>
    <xf numFmtId="0" fontId="46" fillId="0" borderId="39" xfId="23" applyFont="1" applyBorder="1">
      <alignment/>
      <protection/>
    </xf>
    <xf numFmtId="0" fontId="18" fillId="0" borderId="41" xfId="23" applyFont="1" applyBorder="1">
      <alignment/>
      <protection/>
    </xf>
    <xf numFmtId="0" fontId="18" fillId="0" borderId="77" xfId="23" applyFont="1" applyBorder="1">
      <alignment/>
      <protection/>
    </xf>
    <xf numFmtId="164" fontId="46" fillId="0" borderId="17" xfId="23" applyNumberFormat="1" applyFont="1" applyBorder="1">
      <alignment/>
      <protection/>
    </xf>
    <xf numFmtId="164" fontId="3" fillId="0" borderId="44" xfId="23" applyNumberFormat="1" applyFont="1" applyBorder="1" applyAlignment="1">
      <alignment horizontal="right" vertical="top" wrapText="1"/>
      <protection/>
    </xf>
    <xf numFmtId="167" fontId="35" fillId="0" borderId="0" xfId="23" applyNumberFormat="1" applyFont="1" applyBorder="1">
      <alignment/>
      <protection/>
    </xf>
    <xf numFmtId="0" fontId="0" fillId="0" borderId="45" xfId="23" applyFont="1" applyBorder="1" applyAlignment="1">
      <alignment vertical="top" wrapText="1"/>
      <protection/>
    </xf>
    <xf numFmtId="164" fontId="0" fillId="0" borderId="45" xfId="23" applyNumberFormat="1" applyFont="1" applyBorder="1" applyAlignment="1">
      <alignment horizontal="right" vertical="top" wrapText="1"/>
      <protection/>
    </xf>
    <xf numFmtId="164" fontId="3" fillId="0" borderId="45" xfId="23" applyNumberFormat="1" applyFont="1" applyBorder="1" applyAlignment="1">
      <alignment horizontal="right" vertical="top" wrapText="1"/>
      <protection/>
    </xf>
    <xf numFmtId="0" fontId="16" fillId="0" borderId="45" xfId="23" applyFont="1" applyBorder="1" applyAlignment="1">
      <alignment horizontal="right" vertical="top" wrapText="1"/>
      <protection/>
    </xf>
    <xf numFmtId="164" fontId="16" fillId="0" borderId="45" xfId="23" applyNumberFormat="1" applyFont="1" applyBorder="1" applyAlignment="1">
      <alignment vertical="top"/>
      <protection/>
    </xf>
    <xf numFmtId="168" fontId="16" fillId="0" borderId="45" xfId="24" applyNumberFormat="1" applyFont="1" applyBorder="1" applyAlignment="1">
      <alignment vertical="top"/>
    </xf>
    <xf numFmtId="166" fontId="17" fillId="0" borderId="45" xfId="23" applyNumberFormat="1" applyFont="1" applyBorder="1" applyAlignment="1">
      <alignment horizontal="right" vertical="top" wrapText="1"/>
      <protection/>
    </xf>
    <xf numFmtId="164" fontId="17" fillId="0" borderId="45" xfId="23" applyNumberFormat="1" applyFont="1" applyBorder="1" applyAlignment="1">
      <alignment horizontal="right" vertical="top" wrapText="1"/>
      <protection/>
    </xf>
    <xf numFmtId="164" fontId="56" fillId="0" borderId="0" xfId="23" applyNumberFormat="1" applyFont="1" applyBorder="1" applyAlignment="1">
      <alignment horizontal="right" vertical="top" wrapText="1"/>
      <protection/>
    </xf>
    <xf numFmtId="0" fontId="18" fillId="0" borderId="73" xfId="23" applyFont="1" applyBorder="1" applyAlignment="1">
      <alignment horizontal="center"/>
      <protection/>
    </xf>
    <xf numFmtId="0" fontId="46" fillId="0" borderId="22" xfId="23" applyFont="1" applyBorder="1" applyAlignment="1">
      <alignment horizontal="center" wrapText="1"/>
      <protection/>
    </xf>
    <xf numFmtId="0" fontId="46" fillId="0" borderId="44" xfId="23" applyFont="1" applyBorder="1" applyAlignment="1">
      <alignment horizontal="center" vertical="top" wrapText="1"/>
      <protection/>
    </xf>
    <xf numFmtId="0" fontId="46" fillId="17" borderId="22" xfId="23" applyFont="1" applyFill="1" applyBorder="1" applyAlignment="1">
      <alignment horizontal="center" vertical="top" wrapText="1"/>
      <protection/>
    </xf>
    <xf numFmtId="0" fontId="46" fillId="17" borderId="22" xfId="23" applyFont="1" applyFill="1" applyBorder="1" applyAlignment="1">
      <alignment horizontal="center" wrapText="1"/>
      <protection/>
    </xf>
    <xf numFmtId="0" fontId="18" fillId="0" borderId="39" xfId="23" applyFont="1" applyBorder="1" applyAlignment="1">
      <alignment horizontal="center"/>
      <protection/>
    </xf>
    <xf numFmtId="0" fontId="46" fillId="0" borderId="25" xfId="23" applyFont="1" applyBorder="1" applyAlignment="1">
      <alignment horizontal="center"/>
      <protection/>
    </xf>
    <xf numFmtId="0" fontId="46" fillId="0" borderId="29" xfId="23" applyFont="1" applyBorder="1" applyAlignment="1">
      <alignment horizontal="center"/>
      <protection/>
    </xf>
    <xf numFmtId="0" fontId="46" fillId="0" borderId="28" xfId="23" applyFont="1" applyBorder="1" applyAlignment="1">
      <alignment horizontal="center"/>
      <protection/>
    </xf>
    <xf numFmtId="0" fontId="46" fillId="17" borderId="39" xfId="23" applyFont="1" applyFill="1" applyBorder="1" applyAlignment="1">
      <alignment horizontal="center"/>
      <protection/>
    </xf>
    <xf numFmtId="164" fontId="18" fillId="0" borderId="22" xfId="23" applyNumberFormat="1" applyFont="1" applyBorder="1">
      <alignment/>
      <protection/>
    </xf>
    <xf numFmtId="1" fontId="18" fillId="0" borderId="44" xfId="23" applyNumberFormat="1" applyFont="1" applyBorder="1">
      <alignment/>
      <protection/>
    </xf>
    <xf numFmtId="1" fontId="18" fillId="0" borderId="23" xfId="23" applyNumberFormat="1" applyFont="1" applyBorder="1">
      <alignment/>
      <protection/>
    </xf>
    <xf numFmtId="1" fontId="18" fillId="0" borderId="24" xfId="23" applyNumberFormat="1" applyFont="1" applyBorder="1">
      <alignment/>
      <protection/>
    </xf>
    <xf numFmtId="164" fontId="18" fillId="0" borderId="73" xfId="23" applyNumberFormat="1" applyFont="1" applyBorder="1">
      <alignment/>
      <protection/>
    </xf>
    <xf numFmtId="0" fontId="18" fillId="0" borderId="39" xfId="23" applyFont="1" applyBorder="1">
      <alignment/>
      <protection/>
    </xf>
    <xf numFmtId="164" fontId="18" fillId="0" borderId="11" xfId="23" applyNumberFormat="1" applyFont="1" applyBorder="1">
      <alignment/>
      <protection/>
    </xf>
    <xf numFmtId="1" fontId="18" fillId="0" borderId="25" xfId="23" applyNumberFormat="1" applyFont="1" applyBorder="1">
      <alignment/>
      <protection/>
    </xf>
    <xf numFmtId="1" fontId="18" fillId="0" borderId="29" xfId="23" applyNumberFormat="1" applyFont="1" applyBorder="1">
      <alignment/>
      <protection/>
    </xf>
    <xf numFmtId="1" fontId="18" fillId="0" borderId="28" xfId="23" applyNumberFormat="1" applyFont="1" applyBorder="1">
      <alignment/>
      <protection/>
    </xf>
    <xf numFmtId="164" fontId="18" fillId="0" borderId="14" xfId="23" applyNumberFormat="1" applyFont="1" applyBorder="1">
      <alignment/>
      <protection/>
    </xf>
    <xf numFmtId="0" fontId="18" fillId="0" borderId="17" xfId="23" applyFont="1" applyBorder="1">
      <alignment/>
      <protection/>
    </xf>
    <xf numFmtId="164" fontId="46" fillId="0" borderId="14" xfId="23" applyNumberFormat="1" applyFont="1" applyBorder="1">
      <alignment/>
      <protection/>
    </xf>
    <xf numFmtId="1" fontId="18" fillId="0" borderId="14" xfId="23" applyNumberFormat="1" applyFont="1" applyBorder="1">
      <alignment/>
      <protection/>
    </xf>
    <xf numFmtId="164" fontId="18" fillId="0" borderId="0" xfId="23" applyNumberFormat="1" applyFont="1" applyBorder="1">
      <alignment/>
      <protection/>
    </xf>
    <xf numFmtId="0" fontId="18" fillId="0" borderId="0" xfId="23" applyFont="1" applyBorder="1">
      <alignment/>
      <protection/>
    </xf>
    <xf numFmtId="164" fontId="46" fillId="0" borderId="0" xfId="23" applyNumberFormat="1" applyFont="1" applyBorder="1">
      <alignment/>
      <protection/>
    </xf>
    <xf numFmtId="1" fontId="18" fillId="0" borderId="0" xfId="23" applyNumberFormat="1" applyFont="1" applyBorder="1">
      <alignment/>
      <protection/>
    </xf>
    <xf numFmtId="0" fontId="18" fillId="0" borderId="73" xfId="23" applyFont="1" applyBorder="1">
      <alignment/>
      <protection/>
    </xf>
    <xf numFmtId="0" fontId="18" fillId="0" borderId="84" xfId="23" applyFont="1" applyBorder="1">
      <alignment/>
      <protection/>
    </xf>
    <xf numFmtId="0" fontId="18" fillId="0" borderId="84" xfId="55" applyFont="1" applyBorder="1">
      <alignment/>
      <protection/>
    </xf>
    <xf numFmtId="164" fontId="0" fillId="0" borderId="34" xfId="23" applyNumberFormat="1" applyFont="1" applyBorder="1">
      <alignment/>
      <protection/>
    </xf>
    <xf numFmtId="164" fontId="0" fillId="0" borderId="34" xfId="55" applyNumberFormat="1" applyFont="1" applyBorder="1">
      <alignment/>
      <protection/>
    </xf>
    <xf numFmtId="0" fontId="0" fillId="0" borderId="31" xfId="23" applyFont="1" applyBorder="1">
      <alignment/>
      <protection/>
    </xf>
    <xf numFmtId="164" fontId="0" fillId="0" borderId="31" xfId="55" applyNumberFormat="1" applyFont="1" applyBorder="1">
      <alignment/>
      <protection/>
    </xf>
    <xf numFmtId="0" fontId="0" fillId="0" borderId="19" xfId="23" applyFont="1" applyBorder="1">
      <alignment/>
      <protection/>
    </xf>
    <xf numFmtId="164" fontId="0" fillId="0" borderId="19" xfId="55" applyNumberFormat="1" applyFont="1" applyBorder="1">
      <alignment/>
      <protection/>
    </xf>
    <xf numFmtId="0" fontId="18" fillId="0" borderId="31" xfId="23" applyFont="1" applyBorder="1">
      <alignment/>
      <protection/>
    </xf>
    <xf numFmtId="164" fontId="18" fillId="0" borderId="31" xfId="55" applyNumberFormat="1" applyFont="1" applyBorder="1">
      <alignment/>
      <protection/>
    </xf>
    <xf numFmtId="0" fontId="18" fillId="0" borderId="19" xfId="23" applyFont="1" applyBorder="1">
      <alignment/>
      <protection/>
    </xf>
    <xf numFmtId="164" fontId="18" fillId="0" borderId="19" xfId="55" applyNumberFormat="1" applyFont="1" applyBorder="1">
      <alignment/>
      <protection/>
    </xf>
    <xf numFmtId="0" fontId="18" fillId="0" borderId="21" xfId="23" applyFont="1" applyBorder="1">
      <alignment/>
      <protection/>
    </xf>
    <xf numFmtId="164" fontId="18" fillId="0" borderId="21" xfId="55" applyNumberFormat="1" applyFont="1" applyBorder="1">
      <alignment/>
      <protection/>
    </xf>
    <xf numFmtId="164" fontId="0" fillId="0" borderId="22" xfId="55" applyNumberFormat="1" applyFont="1" applyBorder="1">
      <alignment/>
      <protection/>
    </xf>
    <xf numFmtId="164" fontId="0" fillId="0" borderId="10" xfId="55" applyNumberFormat="1" applyFont="1" applyBorder="1">
      <alignment/>
      <protection/>
    </xf>
    <xf numFmtId="164" fontId="0" fillId="0" borderId="11" xfId="55" applyNumberFormat="1" applyFont="1" applyBorder="1">
      <alignment/>
      <protection/>
    </xf>
    <xf numFmtId="164" fontId="3" fillId="0" borderId="14" xfId="55" applyNumberFormat="1" applyFont="1" applyBorder="1">
      <alignment/>
      <protection/>
    </xf>
    <xf numFmtId="164" fontId="18" fillId="0" borderId="73" xfId="55" applyNumberFormat="1" applyFont="1" applyBorder="1">
      <alignment/>
      <protection/>
    </xf>
    <xf numFmtId="0" fontId="18" fillId="0" borderId="10" xfId="23" applyFont="1" applyBorder="1" applyAlignment="1">
      <alignment horizontal="left"/>
      <protection/>
    </xf>
    <xf numFmtId="164" fontId="18" fillId="0" borderId="10" xfId="55" applyNumberFormat="1" applyFont="1" applyBorder="1">
      <alignment/>
      <protection/>
    </xf>
    <xf numFmtId="164" fontId="18" fillId="0" borderId="14" xfId="55" applyNumberFormat="1" applyFont="1" applyBorder="1">
      <alignment/>
      <protection/>
    </xf>
  </cellXfs>
  <cellStyles count="43">
    <cellStyle name="Normal" xfId="0"/>
    <cellStyle name="Percent" xfId="15"/>
    <cellStyle name="Currency" xfId="16"/>
    <cellStyle name="Currency [0]" xfId="17"/>
    <cellStyle name="Comma" xfId="18"/>
    <cellStyle name="Comma [0]" xfId="19"/>
    <cellStyle name="Overskrift 1" xfId="20"/>
    <cellStyle name="Link" xfId="21"/>
    <cellStyle name="Standard 2" xfId="22"/>
    <cellStyle name="Standard 2 2" xfId="23"/>
    <cellStyle name="Procent" xfId="24"/>
    <cellStyle name="Titel" xfId="25"/>
    <cellStyle name="Standard 5" xfId="26"/>
    <cellStyle name="Akzent1 2" xfId="27"/>
    <cellStyle name="Akzent2 2" xfId="28"/>
    <cellStyle name="Akzent3 2" xfId="29"/>
    <cellStyle name="Akzent4 2" xfId="30"/>
    <cellStyle name="Akzent5 2" xfId="31"/>
    <cellStyle name="Akzent6 2" xfId="32"/>
    <cellStyle name="Ausgabe 2" xfId="33"/>
    <cellStyle name="Berechnung 2" xfId="34"/>
    <cellStyle name="Eingabe 2" xfId="35"/>
    <cellStyle name="Ergebnis 2" xfId="36"/>
    <cellStyle name="Erklärender Text 2" xfId="37"/>
    <cellStyle name="Gut 2" xfId="38"/>
    <cellStyle name="Neutral 2" xfId="39"/>
    <cellStyle name="Notiz 2" xfId="40"/>
    <cellStyle name="Schlecht 2" xfId="41"/>
    <cellStyle name="Standard 2 3" xfId="42"/>
    <cellStyle name="Standard 3" xfId="43"/>
    <cellStyle name="Standard 4" xfId="44"/>
    <cellStyle name="Überschrift 1 2" xfId="45"/>
    <cellStyle name="Überschrift 2 2" xfId="46"/>
    <cellStyle name="Überschrift 3 2" xfId="47"/>
    <cellStyle name="Überschrift 4 2" xfId="48"/>
    <cellStyle name="Verknüpfte Zelle 2" xfId="49"/>
    <cellStyle name="Warnender Text 2" xfId="50"/>
    <cellStyle name="Zelle überprüfen 2" xfId="51"/>
    <cellStyle name="Standard 6" xfId="52"/>
    <cellStyle name="Standard 2 5" xfId="53"/>
    <cellStyle name="Standard 6 2" xfId="54"/>
    <cellStyle name="Standard 2 4" xfId="55"/>
    <cellStyle name="Normal 7" xfId="56"/>
  </cellStyles>
  <dxfs count="220">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dxf>
    <dxf>
      <font>
        <color rgb="FFC00000"/>
      </font>
    </dxf>
    <dxf>
      <font>
        <color rgb="FF006600"/>
      </font>
      <border/>
    </dxf>
    <dxf>
      <font>
        <color rgb="FFC00000"/>
      </font>
      <border/>
    </dxf>
    <dxf>
      <font>
        <color rgb="FF006600"/>
      </font>
      <border/>
    </dxf>
    <dxf>
      <font>
        <color rgb="FFC00000"/>
      </font>
      <border/>
    </dxf>
    <dxf>
      <font>
        <color rgb="FF006600"/>
      </font>
    </dxf>
    <dxf>
      <font>
        <color rgb="FFC00000"/>
      </font>
    </dxf>
    <dxf>
      <font>
        <color rgb="FF006600"/>
      </font>
      <border/>
    </dxf>
    <dxf>
      <font>
        <color rgb="FFC00000"/>
      </font>
      <border/>
    </dxf>
    <dxf>
      <font>
        <color rgb="FF006600"/>
      </font>
      <border/>
    </dxf>
    <dxf>
      <font>
        <color rgb="FFC00000"/>
      </font>
      <border/>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dxf>
    <dxf>
      <font>
        <color rgb="FFC00000"/>
      </font>
    </dxf>
    <dxf>
      <font>
        <color rgb="FF006600"/>
      </font>
    </dxf>
    <dxf>
      <font>
        <color rgb="FFC00000"/>
      </font>
    </dxf>
    <dxf>
      <font>
        <color rgb="FF006600"/>
      </font>
    </dxf>
    <dxf>
      <font>
        <color rgb="FFC00000"/>
      </font>
    </dxf>
    <dxf>
      <font>
        <color rgb="FF006600"/>
      </font>
    </dxf>
    <dxf>
      <font>
        <color rgb="FFC00000"/>
      </font>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dxf>
    <dxf>
      <font>
        <color rgb="FFC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vm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 Id="rId3"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vml" /><Relationship Id="rId3" Type="http://schemas.openxmlformats.org/officeDocument/2006/relationships/printerSettings" Target="../printerSettings/printerSettings39.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5.vml" /><Relationship Id="rId3" Type="http://schemas.openxmlformats.org/officeDocument/2006/relationships/printerSettings" Target="../printerSettings/printerSettings40.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20"/>
  <sheetViews>
    <sheetView showGridLines="0" tabSelected="1" zoomScale="90" zoomScaleNormal="90" workbookViewId="0" topLeftCell="A10">
      <selection activeCell="B20" sqref="B20:N20"/>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650" t="s">
        <v>384</v>
      </c>
      <c r="C10" s="651"/>
      <c r="D10" s="651"/>
      <c r="E10" s="651"/>
      <c r="F10" s="651"/>
      <c r="G10" s="651"/>
      <c r="H10" s="651"/>
      <c r="I10" s="651"/>
      <c r="J10" s="651"/>
      <c r="K10" s="651"/>
      <c r="L10" s="651"/>
      <c r="M10" s="651"/>
      <c r="N10" s="651"/>
    </row>
    <row r="12" spans="2:14" ht="24" customHeight="1">
      <c r="B12" s="654" t="s">
        <v>14</v>
      </c>
      <c r="C12" s="654"/>
      <c r="D12" s="654"/>
      <c r="E12" s="654"/>
      <c r="F12" s="654"/>
      <c r="G12" s="654"/>
      <c r="H12" s="654"/>
      <c r="I12" s="654"/>
      <c r="J12" s="654"/>
      <c r="K12" s="654"/>
      <c r="L12" s="654"/>
      <c r="M12" s="654"/>
      <c r="N12" s="654"/>
    </row>
    <row r="13" spans="2:14" ht="62.25" customHeight="1">
      <c r="B13" s="653" t="s">
        <v>385</v>
      </c>
      <c r="C13" s="653"/>
      <c r="D13" s="653"/>
      <c r="E13" s="653"/>
      <c r="F13" s="653"/>
      <c r="G13" s="653"/>
      <c r="H13" s="653"/>
      <c r="I13" s="653"/>
      <c r="J13" s="653"/>
      <c r="K13" s="653"/>
      <c r="L13" s="653"/>
      <c r="M13" s="653"/>
      <c r="N13" s="653"/>
    </row>
    <row r="14" spans="2:14" ht="15" customHeight="1">
      <c r="B14" s="653"/>
      <c r="C14" s="653"/>
      <c r="D14" s="653"/>
      <c r="E14" s="653"/>
      <c r="F14" s="653"/>
      <c r="G14" s="653"/>
      <c r="H14" s="653"/>
      <c r="I14" s="653"/>
      <c r="J14" s="653"/>
      <c r="K14" s="653"/>
      <c r="L14" s="653"/>
      <c r="M14" s="653"/>
      <c r="N14" s="653"/>
    </row>
    <row r="15" spans="2:14" ht="28.5" customHeight="1">
      <c r="B15" s="653" t="s">
        <v>18</v>
      </c>
      <c r="C15" s="653"/>
      <c r="D15" s="653"/>
      <c r="E15" s="653"/>
      <c r="F15" s="653"/>
      <c r="G15" s="653"/>
      <c r="H15" s="653"/>
      <c r="I15" s="653"/>
      <c r="J15" s="653"/>
      <c r="K15" s="653"/>
      <c r="L15" s="653"/>
      <c r="M15" s="653"/>
      <c r="N15" s="653"/>
    </row>
    <row r="16" spans="2:14" ht="24.75" customHeight="1">
      <c r="B16" s="653"/>
      <c r="C16" s="653"/>
      <c r="D16" s="653"/>
      <c r="E16" s="653"/>
      <c r="F16" s="653"/>
      <c r="G16" s="653"/>
      <c r="H16" s="653"/>
      <c r="I16" s="653"/>
      <c r="J16" s="653"/>
      <c r="K16" s="653"/>
      <c r="L16" s="653"/>
      <c r="M16" s="653"/>
      <c r="N16" s="653"/>
    </row>
    <row r="17" spans="2:14" ht="23.25" customHeight="1">
      <c r="B17" s="654" t="s">
        <v>15</v>
      </c>
      <c r="C17" s="654"/>
      <c r="D17" s="654"/>
      <c r="E17" s="654"/>
      <c r="F17" s="654"/>
      <c r="G17" s="654"/>
      <c r="H17" s="654"/>
      <c r="I17" s="654"/>
      <c r="J17" s="654"/>
      <c r="K17" s="654"/>
      <c r="L17" s="654"/>
      <c r="M17" s="654"/>
      <c r="N17" s="654"/>
    </row>
    <row r="18" spans="2:14" ht="131.25" customHeight="1">
      <c r="B18" s="653" t="s">
        <v>19</v>
      </c>
      <c r="C18" s="653"/>
      <c r="D18" s="653"/>
      <c r="E18" s="653"/>
      <c r="F18" s="653"/>
      <c r="G18" s="653"/>
      <c r="H18" s="653"/>
      <c r="I18" s="653"/>
      <c r="J18" s="653"/>
      <c r="K18" s="653"/>
      <c r="L18" s="653"/>
      <c r="M18" s="653"/>
      <c r="N18" s="653"/>
    </row>
    <row r="19" spans="2:14" ht="61.5" customHeight="1">
      <c r="B19" s="653"/>
      <c r="C19" s="653"/>
      <c r="D19" s="653"/>
      <c r="E19" s="653"/>
      <c r="F19" s="653"/>
      <c r="G19" s="653"/>
      <c r="H19" s="653"/>
      <c r="I19" s="653"/>
      <c r="J19" s="653"/>
      <c r="K19" s="653"/>
      <c r="L19" s="653"/>
      <c r="M19" s="653"/>
      <c r="N19" s="653"/>
    </row>
    <row r="20" spans="2:14" ht="174.75" customHeight="1">
      <c r="B20" s="652" t="s">
        <v>16</v>
      </c>
      <c r="C20" s="652"/>
      <c r="D20" s="652"/>
      <c r="E20" s="652"/>
      <c r="F20" s="652"/>
      <c r="G20" s="652"/>
      <c r="H20" s="652"/>
      <c r="I20" s="652"/>
      <c r="J20" s="652"/>
      <c r="K20" s="652"/>
      <c r="L20" s="652"/>
      <c r="M20" s="652"/>
      <c r="N20" s="652"/>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4"/>
  <sheetViews>
    <sheetView zoomScale="90" zoomScaleNormal="90" workbookViewId="0" topLeftCell="A1">
      <selection activeCell="F30" sqref="F30"/>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53</v>
      </c>
    </row>
    <row r="2" ht="4.5" customHeight="1"/>
    <row r="3" spans="2:3" ht="15">
      <c r="B3" s="7" t="s">
        <v>371</v>
      </c>
      <c r="C3" s="4" t="s">
        <v>54</v>
      </c>
    </row>
    <row r="4" spans="2:3" ht="15">
      <c r="B4" s="28" t="s">
        <v>311</v>
      </c>
      <c r="C4" s="4" t="s">
        <v>320</v>
      </c>
    </row>
    <row r="5" ht="14.25" customHeight="1">
      <c r="C5" s="4" t="s">
        <v>317</v>
      </c>
    </row>
    <row r="6" ht="14.25" customHeight="1" thickBot="1"/>
    <row r="7" spans="2:4" ht="16.5" customHeight="1" thickBot="1">
      <c r="B7" s="86"/>
      <c r="C7" s="87" t="s">
        <v>514</v>
      </c>
      <c r="D7" s="9"/>
    </row>
    <row r="8" spans="1:3" ht="15">
      <c r="A8" s="10">
        <v>1</v>
      </c>
      <c r="B8" s="84" t="s">
        <v>513</v>
      </c>
      <c r="C8" s="85">
        <v>1791.829839</v>
      </c>
    </row>
    <row r="9" spans="1:3" ht="15.75" thickBot="1">
      <c r="A9" s="10">
        <v>3</v>
      </c>
      <c r="B9" s="12" t="s">
        <v>2</v>
      </c>
      <c r="C9" s="31">
        <v>0</v>
      </c>
    </row>
    <row r="10" spans="2:3" ht="15.75" thickBot="1">
      <c r="B10" s="13" t="s">
        <v>515</v>
      </c>
      <c r="C10" s="33">
        <f>SUM(C3:C9)</f>
        <v>1791.829839</v>
      </c>
    </row>
    <row r="11" spans="2:3" ht="15">
      <c r="B11" s="14"/>
      <c r="C11" s="15"/>
    </row>
    <row r="12" spans="2:3" ht="15.75" thickBot="1">
      <c r="B12" s="16"/>
      <c r="C12" s="17"/>
    </row>
    <row r="13" spans="2:14" ht="16.5" customHeight="1">
      <c r="B13" s="657" t="s">
        <v>1</v>
      </c>
      <c r="C13" s="659" t="s">
        <v>514</v>
      </c>
      <c r="D13" s="677" t="s">
        <v>4</v>
      </c>
      <c r="E13" s="655" t="s">
        <v>5</v>
      </c>
      <c r="F13" s="656"/>
      <c r="G13" s="655" t="s">
        <v>6</v>
      </c>
      <c r="H13" s="656"/>
      <c r="I13" s="655" t="s">
        <v>12</v>
      </c>
      <c r="J13" s="656"/>
      <c r="K13" s="655" t="s">
        <v>7</v>
      </c>
      <c r="L13" s="656"/>
      <c r="N13" s="26"/>
    </row>
    <row r="14" spans="2:12" ht="15.75" thickBot="1">
      <c r="B14" s="658"/>
      <c r="C14" s="660"/>
      <c r="D14" s="678"/>
      <c r="E14" s="81" t="s">
        <v>10</v>
      </c>
      <c r="F14" s="82" t="s">
        <v>11</v>
      </c>
      <c r="G14" s="81" t="s">
        <v>10</v>
      </c>
      <c r="H14" s="82" t="s">
        <v>11</v>
      </c>
      <c r="I14" s="81" t="s">
        <v>10</v>
      </c>
      <c r="J14" s="82" t="s">
        <v>11</v>
      </c>
      <c r="K14" s="81" t="s">
        <v>10</v>
      </c>
      <c r="L14" s="83" t="s">
        <v>11</v>
      </c>
    </row>
    <row r="15" spans="1:12" ht="15.75" thickBot="1">
      <c r="A15" s="10">
        <v>17</v>
      </c>
      <c r="B15" s="22" t="s">
        <v>9</v>
      </c>
      <c r="C15" s="33">
        <f>C10</f>
        <v>1791.829839</v>
      </c>
      <c r="D15" s="23"/>
      <c r="E15" s="24">
        <f>C10</f>
        <v>1791.829839</v>
      </c>
      <c r="F15" s="25">
        <f>E15*C20/D20</f>
        <v>1748.839273986369</v>
      </c>
      <c r="G15" s="24">
        <v>0</v>
      </c>
      <c r="H15" s="25">
        <v>0</v>
      </c>
      <c r="I15" s="24">
        <v>0</v>
      </c>
      <c r="J15" s="25">
        <v>0</v>
      </c>
      <c r="K15" s="24">
        <f>E15+G15-I15</f>
        <v>1791.829839</v>
      </c>
      <c r="L15" s="25">
        <f>F15+H15-J15</f>
        <v>1748.839273986369</v>
      </c>
    </row>
    <row r="16" spans="3:12" ht="15">
      <c r="C16" s="14"/>
      <c r="E16" s="14"/>
      <c r="F16" s="14"/>
      <c r="G16" s="14"/>
      <c r="H16" s="14"/>
      <c r="I16" s="14"/>
      <c r="J16" s="14"/>
      <c r="K16" s="14"/>
      <c r="L16" s="14"/>
    </row>
    <row r="17" ht="15">
      <c r="B17" s="26"/>
    </row>
    <row r="18" ht="15.75" thickBot="1"/>
    <row r="19" spans="2:4" ht="15.75" thickBot="1">
      <c r="B19" s="86"/>
      <c r="C19" s="89">
        <v>2019</v>
      </c>
      <c r="D19" s="89">
        <v>2020</v>
      </c>
    </row>
    <row r="20" spans="2:4" ht="15">
      <c r="B20" s="181" t="s">
        <v>412</v>
      </c>
      <c r="C20" s="90">
        <v>100.13222193456973</v>
      </c>
      <c r="D20" s="90">
        <v>102.59370645236937</v>
      </c>
    </row>
    <row r="21" spans="2:4" ht="15.75" thickBot="1">
      <c r="B21" s="180" t="s">
        <v>413</v>
      </c>
      <c r="C21" s="27">
        <v>101.81345075510616</v>
      </c>
      <c r="D21" s="27">
        <v>100.79704329684706</v>
      </c>
    </row>
    <row r="24" ht="15">
      <c r="B24" s="166"/>
    </row>
  </sheetData>
  <mergeCells count="7">
    <mergeCell ref="K13:L13"/>
    <mergeCell ref="B13:B14"/>
    <mergeCell ref="C13:C14"/>
    <mergeCell ref="D13:D14"/>
    <mergeCell ref="E13:F13"/>
    <mergeCell ref="I13:J13"/>
    <mergeCell ref="G13:H13"/>
  </mergeCells>
  <conditionalFormatting sqref="C17">
    <cfRule type="cellIs" priority="13" dxfId="1" operator="equal">
      <formula>FALSE</formula>
    </cfRule>
    <cfRule type="cellIs" priority="14" dxfId="0" operator="equal">
      <formula>TRUE</formula>
    </cfRule>
  </conditionalFormatting>
  <conditionalFormatting sqref="E17">
    <cfRule type="cellIs" priority="11" dxfId="1" operator="equal">
      <formula>FALSE</formula>
    </cfRule>
    <cfRule type="cellIs" priority="12" dxfId="0" operator="equal">
      <formula>TRUE</formula>
    </cfRule>
  </conditionalFormatting>
  <conditionalFormatting sqref="F17">
    <cfRule type="cellIs" priority="9" dxfId="1" operator="equal">
      <formula>FALSE</formula>
    </cfRule>
    <cfRule type="cellIs" priority="10" dxfId="0" operator="equal">
      <formula>TRUE</formula>
    </cfRule>
  </conditionalFormatting>
  <conditionalFormatting sqref="K17">
    <cfRule type="cellIs" priority="7" dxfId="1" operator="equal">
      <formula>FALSE</formula>
    </cfRule>
    <cfRule type="cellIs" priority="8" dxfId="0" operator="equal">
      <formula>TRUE</formula>
    </cfRule>
  </conditionalFormatting>
  <conditionalFormatting sqref="L17">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5"/>
  <sheetViews>
    <sheetView zoomScale="110" zoomScaleNormal="110" workbookViewId="0" topLeftCell="A13">
      <selection activeCell="E38" sqref="E38"/>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55</v>
      </c>
    </row>
    <row r="2" ht="4.5" customHeight="1"/>
    <row r="3" spans="2:3" ht="15">
      <c r="B3" s="7" t="s">
        <v>368</v>
      </c>
      <c r="C3" s="4" t="s">
        <v>56</v>
      </c>
    </row>
    <row r="4" spans="2:6" ht="15">
      <c r="B4" s="8" t="s">
        <v>57</v>
      </c>
      <c r="C4" s="29" t="s">
        <v>321</v>
      </c>
      <c r="F4" s="602" t="s">
        <v>587</v>
      </c>
    </row>
    <row r="5" spans="3:4" ht="14.25" customHeight="1">
      <c r="C5" s="4" t="s">
        <v>317</v>
      </c>
      <c r="D5" s="16">
        <v>23.7</v>
      </c>
    </row>
    <row r="6" ht="14.25" customHeight="1" thickBot="1"/>
    <row r="7" spans="2:4" ht="16.5" customHeight="1" thickBot="1">
      <c r="B7" s="86"/>
      <c r="C7" s="87" t="s">
        <v>3</v>
      </c>
      <c r="D7" s="9"/>
    </row>
    <row r="8" spans="1:3" ht="15">
      <c r="A8" s="10">
        <v>1</v>
      </c>
      <c r="B8" s="84" t="s">
        <v>0</v>
      </c>
      <c r="C8" s="85">
        <v>0</v>
      </c>
    </row>
    <row r="9" spans="1:3" ht="15">
      <c r="A9" s="10">
        <v>2</v>
      </c>
      <c r="B9" s="11" t="s">
        <v>8</v>
      </c>
      <c r="C9" s="30" t="s">
        <v>315</v>
      </c>
    </row>
    <row r="10" spans="1:3" ht="15">
      <c r="A10" s="10">
        <v>3</v>
      </c>
      <c r="B10" s="12" t="s">
        <v>2</v>
      </c>
      <c r="C10" s="31">
        <v>0</v>
      </c>
    </row>
    <row r="11" spans="1:3" ht="15">
      <c r="A11" s="10">
        <v>6</v>
      </c>
      <c r="B11" s="11" t="s">
        <v>29</v>
      </c>
      <c r="C11" s="30" t="s">
        <v>315</v>
      </c>
    </row>
    <row r="12" spans="2:3" ht="15.75" thickBot="1">
      <c r="B12" s="13" t="s">
        <v>30</v>
      </c>
      <c r="C12" s="36">
        <f>IF(ISNUMBER(C11)=TRUE,C10-C11,C10)</f>
        <v>0</v>
      </c>
    </row>
    <row r="13" spans="2:3" ht="15">
      <c r="B13" s="14"/>
      <c r="C13" s="15"/>
    </row>
    <row r="14" spans="2:3" ht="15.75" thickBot="1">
      <c r="B14" s="16"/>
      <c r="C14" s="17"/>
    </row>
    <row r="15" spans="2:14" ht="16.5" customHeight="1">
      <c r="B15" s="657" t="s">
        <v>1</v>
      </c>
      <c r="C15" s="659" t="s">
        <v>3</v>
      </c>
      <c r="D15" s="677" t="s">
        <v>4</v>
      </c>
      <c r="E15" s="663" t="s">
        <v>5</v>
      </c>
      <c r="F15" s="664"/>
      <c r="G15" s="663" t="s">
        <v>6</v>
      </c>
      <c r="H15" s="664"/>
      <c r="I15" s="663" t="s">
        <v>12</v>
      </c>
      <c r="J15" s="664"/>
      <c r="K15" s="655" t="s">
        <v>7</v>
      </c>
      <c r="L15" s="656"/>
      <c r="N15" s="26"/>
    </row>
    <row r="16" spans="2:12" ht="15.75" thickBot="1">
      <c r="B16" s="658"/>
      <c r="C16" s="660"/>
      <c r="D16" s="678"/>
      <c r="E16" s="81" t="s">
        <v>10</v>
      </c>
      <c r="F16" s="82" t="s">
        <v>11</v>
      </c>
      <c r="G16" s="81" t="s">
        <v>10</v>
      </c>
      <c r="H16" s="82" t="s">
        <v>11</v>
      </c>
      <c r="I16" s="81" t="s">
        <v>10</v>
      </c>
      <c r="J16" s="82" t="s">
        <v>11</v>
      </c>
      <c r="K16" s="81" t="s">
        <v>10</v>
      </c>
      <c r="L16" s="83" t="s">
        <v>11</v>
      </c>
    </row>
    <row r="17" spans="1:14" ht="15">
      <c r="A17" s="10">
        <v>7</v>
      </c>
      <c r="B17" s="76" t="s">
        <v>31</v>
      </c>
      <c r="C17" s="77" t="s">
        <v>315</v>
      </c>
      <c r="D17" s="78" t="s">
        <v>315</v>
      </c>
      <c r="E17" s="79" t="s">
        <v>315</v>
      </c>
      <c r="F17" s="80"/>
      <c r="G17" s="79"/>
      <c r="H17" s="80"/>
      <c r="I17" s="79"/>
      <c r="J17" s="80"/>
      <c r="K17" s="79"/>
      <c r="L17" s="80"/>
      <c r="N17" s="28"/>
    </row>
    <row r="18" spans="1:14" ht="15">
      <c r="A18" s="10">
        <v>8</v>
      </c>
      <c r="B18" s="18" t="s">
        <v>32</v>
      </c>
      <c r="C18" s="32" t="s">
        <v>315</v>
      </c>
      <c r="D18" s="19"/>
      <c r="E18" s="20"/>
      <c r="F18" s="21"/>
      <c r="G18" s="20"/>
      <c r="H18" s="21"/>
      <c r="I18" s="20"/>
      <c r="J18" s="21"/>
      <c r="K18" s="20"/>
      <c r="L18" s="21"/>
      <c r="N18" s="28"/>
    </row>
    <row r="19" spans="1:14" ht="15">
      <c r="A19" s="10">
        <v>10</v>
      </c>
      <c r="B19" s="18" t="s">
        <v>33</v>
      </c>
      <c r="C19" s="32" t="s">
        <v>315</v>
      </c>
      <c r="D19" s="19" t="s">
        <v>315</v>
      </c>
      <c r="E19" s="20" t="s">
        <v>315</v>
      </c>
      <c r="F19" s="21"/>
      <c r="G19" s="20"/>
      <c r="H19" s="21"/>
      <c r="I19" s="20"/>
      <c r="J19" s="21"/>
      <c r="K19" s="20"/>
      <c r="L19" s="21"/>
      <c r="N19" s="28"/>
    </row>
    <row r="20" spans="1:14" ht="15">
      <c r="A20" s="10">
        <v>11</v>
      </c>
      <c r="B20" s="18" t="s">
        <v>34</v>
      </c>
      <c r="C20" s="32" t="s">
        <v>315</v>
      </c>
      <c r="D20" s="19" t="s">
        <v>315</v>
      </c>
      <c r="E20" s="20" t="s">
        <v>315</v>
      </c>
      <c r="F20" s="21"/>
      <c r="G20" s="20"/>
      <c r="H20" s="21"/>
      <c r="I20" s="20"/>
      <c r="J20" s="21"/>
      <c r="K20" s="20"/>
      <c r="L20" s="21"/>
      <c r="N20" s="28"/>
    </row>
    <row r="21" spans="1:14" ht="15">
      <c r="A21" s="10" t="s">
        <v>35</v>
      </c>
      <c r="B21" s="18" t="s">
        <v>36</v>
      </c>
      <c r="C21" s="32" t="s">
        <v>315</v>
      </c>
      <c r="D21" s="19" t="s">
        <v>315</v>
      </c>
      <c r="E21" s="20" t="s">
        <v>315</v>
      </c>
      <c r="F21" s="21"/>
      <c r="G21" s="20"/>
      <c r="H21" s="21"/>
      <c r="I21" s="20"/>
      <c r="J21" s="21"/>
      <c r="K21" s="20"/>
      <c r="L21" s="21"/>
      <c r="N21" s="28"/>
    </row>
    <row r="22" spans="1:14" ht="15">
      <c r="A22" s="10" t="s">
        <v>37</v>
      </c>
      <c r="B22" s="18" t="s">
        <v>38</v>
      </c>
      <c r="C22" s="32" t="s">
        <v>315</v>
      </c>
      <c r="D22" s="19" t="s">
        <v>315</v>
      </c>
      <c r="E22" s="20" t="s">
        <v>315</v>
      </c>
      <c r="F22" s="21"/>
      <c r="G22" s="20"/>
      <c r="H22" s="21"/>
      <c r="I22" s="20"/>
      <c r="J22" s="21"/>
      <c r="K22" s="20"/>
      <c r="L22" s="21"/>
      <c r="N22" s="28"/>
    </row>
    <row r="23" spans="1:14" ht="15">
      <c r="A23" s="10" t="s">
        <v>39</v>
      </c>
      <c r="B23" s="18" t="s">
        <v>40</v>
      </c>
      <c r="C23" s="32" t="s">
        <v>315</v>
      </c>
      <c r="D23" s="19" t="s">
        <v>315</v>
      </c>
      <c r="E23" s="20" t="s">
        <v>315</v>
      </c>
      <c r="F23" s="21"/>
      <c r="G23" s="20"/>
      <c r="H23" s="21"/>
      <c r="I23" s="20"/>
      <c r="J23" s="21"/>
      <c r="K23" s="20"/>
      <c r="L23" s="21"/>
      <c r="N23" s="28"/>
    </row>
    <row r="24" spans="1:14" ht="15">
      <c r="A24" s="10">
        <v>13</v>
      </c>
      <c r="B24" s="18" t="s">
        <v>41</v>
      </c>
      <c r="C24" s="32">
        <v>0</v>
      </c>
      <c r="D24" s="19">
        <v>0</v>
      </c>
      <c r="E24" s="20">
        <v>0</v>
      </c>
      <c r="F24" s="21"/>
      <c r="G24" s="20"/>
      <c r="H24" s="21"/>
      <c r="I24" s="20"/>
      <c r="J24" s="21"/>
      <c r="K24" s="20"/>
      <c r="L24" s="21"/>
      <c r="N24" s="28"/>
    </row>
    <row r="25" spans="1:14" ht="15.75" thickBot="1">
      <c r="A25" s="10">
        <v>16</v>
      </c>
      <c r="B25" s="18" t="s">
        <v>25</v>
      </c>
      <c r="C25" s="32" t="s">
        <v>315</v>
      </c>
      <c r="D25" s="19" t="s">
        <v>315</v>
      </c>
      <c r="E25" s="20" t="s">
        <v>315</v>
      </c>
      <c r="F25" s="21"/>
      <c r="G25" s="20"/>
      <c r="H25" s="21"/>
      <c r="I25" s="20"/>
      <c r="J25" s="21"/>
      <c r="K25" s="20"/>
      <c r="L25" s="21"/>
      <c r="N25" s="28"/>
    </row>
    <row r="26" spans="1:12" ht="15.75" thickBot="1">
      <c r="A26" s="10">
        <v>17</v>
      </c>
      <c r="B26" s="22" t="s">
        <v>9</v>
      </c>
      <c r="C26" s="33">
        <f>SUM(C17:C25)</f>
        <v>0</v>
      </c>
      <c r="D26" s="23"/>
      <c r="E26" s="24">
        <f>D5</f>
        <v>23.7</v>
      </c>
      <c r="F26" s="25">
        <v>22.599408791837515</v>
      </c>
      <c r="G26" s="24">
        <v>0</v>
      </c>
      <c r="H26" s="25">
        <v>0</v>
      </c>
      <c r="I26" s="24">
        <v>0</v>
      </c>
      <c r="J26" s="25">
        <v>0</v>
      </c>
      <c r="K26" s="24">
        <f>E26+G26-I26</f>
        <v>23.7</v>
      </c>
      <c r="L26" s="25">
        <f>F26+H26-J26</f>
        <v>22.599408791837515</v>
      </c>
    </row>
    <row r="27" spans="3:12" ht="15">
      <c r="C27" s="14"/>
      <c r="E27" s="14"/>
      <c r="F27" s="14"/>
      <c r="G27" s="14"/>
      <c r="H27" s="14"/>
      <c r="I27" s="14"/>
      <c r="J27" s="14"/>
      <c r="K27" s="14"/>
      <c r="L27" s="14"/>
    </row>
    <row r="28" ht="15">
      <c r="B28" s="26"/>
    </row>
    <row r="29" ht="15.75" thickBot="1"/>
    <row r="30" spans="2:4" ht="15.75" thickBot="1">
      <c r="B30" s="86"/>
      <c r="C30" s="89">
        <v>2019</v>
      </c>
      <c r="D30" s="89">
        <v>2020</v>
      </c>
    </row>
    <row r="31" spans="2:4" ht="15">
      <c r="B31" s="181" t="s">
        <v>412</v>
      </c>
      <c r="C31" s="90">
        <v>106.01787957941362</v>
      </c>
      <c r="D31" s="90">
        <v>111.18095031493105</v>
      </c>
    </row>
    <row r="32" spans="2:4" ht="15.75" thickBot="1">
      <c r="B32" s="407" t="s">
        <v>413</v>
      </c>
      <c r="C32" s="27"/>
      <c r="D32" s="27"/>
    </row>
    <row r="33" ht="15.75" thickBot="1"/>
    <row r="34" spans="2:5" ht="15.75" thickBot="1">
      <c r="B34" s="301"/>
      <c r="C34" s="302">
        <v>2020</v>
      </c>
      <c r="D34" s="169"/>
      <c r="E34" s="169"/>
    </row>
    <row r="35" spans="2:5" ht="15">
      <c r="B35" s="303" t="s">
        <v>589</v>
      </c>
      <c r="C35" s="304">
        <f>K26/D31*C31</f>
        <v>22.599408791837515</v>
      </c>
      <c r="D35" s="169"/>
      <c r="E35" s="169" t="s">
        <v>588</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4"/>
  <sheetViews>
    <sheetView zoomScale="90" zoomScaleNormal="90" workbookViewId="0" topLeftCell="A1">
      <selection activeCell="D37" sqref="D37"/>
    </sheetView>
  </sheetViews>
  <sheetFormatPr defaultColWidth="8.8515625" defaultRowHeight="15"/>
  <cols>
    <col min="1" max="1" width="5.00390625" style="5" bestFit="1" customWidth="1"/>
    <col min="2" max="2" width="42.8515625" style="5" bestFit="1" customWidth="1"/>
    <col min="3" max="3" width="18.140625" style="5" customWidth="1"/>
    <col min="4" max="4" width="14.00390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58</v>
      </c>
    </row>
    <row r="2" ht="4.5" customHeight="1"/>
    <row r="3" spans="2:3" ht="15">
      <c r="B3" s="7" t="s">
        <v>367</v>
      </c>
      <c r="C3" s="4" t="s">
        <v>27</v>
      </c>
    </row>
    <row r="4" spans="2:3" ht="15">
      <c r="B4" s="8" t="s">
        <v>59</v>
      </c>
      <c r="C4" s="4" t="s">
        <v>316</v>
      </c>
    </row>
    <row r="5" ht="14.25" customHeight="1">
      <c r="C5" s="4" t="s">
        <v>317</v>
      </c>
    </row>
    <row r="6" ht="14.25" customHeight="1" thickBot="1"/>
    <row r="7" spans="2:4" ht="16.5" customHeight="1" thickBot="1">
      <c r="B7" s="86"/>
      <c r="C7" s="87" t="s">
        <v>3</v>
      </c>
      <c r="D7" s="9"/>
    </row>
    <row r="8" spans="1:3" ht="15">
      <c r="A8" s="10">
        <v>1</v>
      </c>
      <c r="B8" s="84" t="s">
        <v>523</v>
      </c>
      <c r="C8" s="85">
        <f>2762900/1000</f>
        <v>2762.9</v>
      </c>
    </row>
    <row r="9" spans="1:3" ht="15">
      <c r="A9" s="10">
        <v>2</v>
      </c>
      <c r="B9" s="11" t="s">
        <v>8</v>
      </c>
      <c r="C9" s="30">
        <f>C8*0.85</f>
        <v>2348.465</v>
      </c>
    </row>
    <row r="10" spans="1:3" s="169" customFormat="1" ht="15">
      <c r="A10" s="10"/>
      <c r="B10" s="168" t="s">
        <v>524</v>
      </c>
      <c r="C10" s="30">
        <f>322442.915/1000</f>
        <v>322.44291499999997</v>
      </c>
    </row>
    <row r="11" spans="1:4" ht="15">
      <c r="A11" s="10">
        <v>3</v>
      </c>
      <c r="B11" s="12" t="s">
        <v>2</v>
      </c>
      <c r="C11" s="31">
        <f>C9+C10</f>
        <v>2670.9079150000002</v>
      </c>
      <c r="D11" s="15"/>
    </row>
    <row r="12" spans="1:3" ht="15">
      <c r="A12" s="10">
        <v>6</v>
      </c>
      <c r="B12" s="11" t="s">
        <v>29</v>
      </c>
      <c r="C12" s="30">
        <v>0</v>
      </c>
    </row>
    <row r="13" spans="2:3" ht="15.75" thickBot="1">
      <c r="B13" s="13" t="s">
        <v>30</v>
      </c>
      <c r="C13" s="36">
        <f>IF(ISNUMBER(C12)=TRUE,C11-C12,C11)</f>
        <v>2670.9079150000002</v>
      </c>
    </row>
    <row r="14" spans="2:3" ht="15">
      <c r="B14" s="14"/>
      <c r="C14" s="15"/>
    </row>
    <row r="15" spans="2:17" ht="15.75" thickBot="1">
      <c r="B15" s="16"/>
      <c r="C15" s="17"/>
      <c r="N15" s="327"/>
      <c r="O15" s="327"/>
      <c r="P15" s="327"/>
      <c r="Q15" s="327"/>
    </row>
    <row r="16" spans="2:17" ht="16.5" customHeight="1">
      <c r="B16" s="657" t="s">
        <v>1</v>
      </c>
      <c r="C16" s="659" t="s">
        <v>3</v>
      </c>
      <c r="D16" s="661" t="s">
        <v>408</v>
      </c>
      <c r="E16" s="663" t="s">
        <v>5</v>
      </c>
      <c r="F16" s="664"/>
      <c r="G16" s="663" t="s">
        <v>6</v>
      </c>
      <c r="H16" s="664"/>
      <c r="I16" s="663" t="s">
        <v>12</v>
      </c>
      <c r="J16" s="664"/>
      <c r="K16" s="655" t="s">
        <v>7</v>
      </c>
      <c r="L16" s="656"/>
      <c r="N16" s="328"/>
      <c r="O16" s="327"/>
      <c r="P16" s="327"/>
      <c r="Q16" s="327"/>
    </row>
    <row r="17" spans="2:17" ht="15.75" thickBot="1">
      <c r="B17" s="658"/>
      <c r="C17" s="660"/>
      <c r="D17" s="662"/>
      <c r="E17" s="81" t="s">
        <v>10</v>
      </c>
      <c r="F17" s="82" t="s">
        <v>11</v>
      </c>
      <c r="G17" s="81" t="s">
        <v>10</v>
      </c>
      <c r="H17" s="82" t="s">
        <v>11</v>
      </c>
      <c r="I17" s="81" t="s">
        <v>10</v>
      </c>
      <c r="J17" s="82" t="s">
        <v>11</v>
      </c>
      <c r="K17" s="81" t="s">
        <v>10</v>
      </c>
      <c r="L17" s="83" t="s">
        <v>11</v>
      </c>
      <c r="N17" s="35"/>
      <c r="O17" s="327"/>
      <c r="P17" s="327"/>
      <c r="Q17" s="327"/>
    </row>
    <row r="18" spans="1:17" ht="15">
      <c r="A18" s="10">
        <v>7</v>
      </c>
      <c r="B18" s="200" t="s">
        <v>525</v>
      </c>
      <c r="C18" s="77">
        <f>351178.972/1000</f>
        <v>351.178972</v>
      </c>
      <c r="D18" s="78">
        <v>98.08716992314677</v>
      </c>
      <c r="E18" s="79">
        <f>SUM(D18*C18/100)</f>
        <v>344.461515</v>
      </c>
      <c r="F18" s="80"/>
      <c r="G18" s="79"/>
      <c r="H18" s="80"/>
      <c r="I18" s="79"/>
      <c r="J18" s="80"/>
      <c r="K18" s="79"/>
      <c r="L18" s="80"/>
      <c r="N18" s="329"/>
      <c r="O18" s="327"/>
      <c r="P18" s="327"/>
      <c r="Q18" s="327"/>
    </row>
    <row r="19" spans="1:17" ht="15">
      <c r="A19" s="10">
        <v>10</v>
      </c>
      <c r="B19" s="237" t="s">
        <v>521</v>
      </c>
      <c r="C19" s="32">
        <v>1900.2</v>
      </c>
      <c r="D19" s="19">
        <v>72.0525378486475</v>
      </c>
      <c r="E19" s="79">
        <f aca="true" t="shared" si="0" ref="E19:E21">SUM(D19*C19/100)</f>
        <v>1369.1423241999998</v>
      </c>
      <c r="F19" s="21"/>
      <c r="G19" s="20"/>
      <c r="H19" s="21"/>
      <c r="I19" s="20"/>
      <c r="J19" s="21"/>
      <c r="K19" s="20"/>
      <c r="L19" s="21"/>
      <c r="N19" s="329"/>
      <c r="O19" s="327"/>
      <c r="P19" s="327"/>
      <c r="Q19" s="327"/>
    </row>
    <row r="20" spans="1:17" ht="15">
      <c r="A20" s="10">
        <v>11</v>
      </c>
      <c r="B20" s="237" t="s">
        <v>520</v>
      </c>
      <c r="C20" s="77">
        <f>51119/1000</f>
        <v>51.119</v>
      </c>
      <c r="D20" s="78">
        <v>199</v>
      </c>
      <c r="E20" s="79">
        <f t="shared" si="0"/>
        <v>101.72681</v>
      </c>
      <c r="F20" s="21"/>
      <c r="G20" s="20"/>
      <c r="H20" s="21"/>
      <c r="I20" s="20"/>
      <c r="J20" s="21"/>
      <c r="K20" s="20"/>
      <c r="L20" s="21"/>
      <c r="N20" s="329"/>
      <c r="O20" s="327"/>
      <c r="P20" s="327"/>
      <c r="Q20" s="327"/>
    </row>
    <row r="21" spans="1:17" s="169" customFormat="1" ht="15">
      <c r="A21" s="10"/>
      <c r="B21" s="237" t="s">
        <v>522</v>
      </c>
      <c r="C21" s="77">
        <v>269.8</v>
      </c>
      <c r="D21" s="78">
        <v>84.97186949147516</v>
      </c>
      <c r="E21" s="79">
        <f t="shared" si="0"/>
        <v>229.254103888</v>
      </c>
      <c r="F21" s="206"/>
      <c r="G21" s="50"/>
      <c r="H21" s="206"/>
      <c r="I21" s="50"/>
      <c r="J21" s="206"/>
      <c r="K21" s="50"/>
      <c r="L21" s="206"/>
      <c r="N21" s="329"/>
      <c r="O21" s="327"/>
      <c r="P21" s="327"/>
      <c r="Q21" s="327"/>
    </row>
    <row r="22" spans="1:17" s="169" customFormat="1" ht="15">
      <c r="A22" s="10"/>
      <c r="B22" s="237"/>
      <c r="C22" s="77"/>
      <c r="D22" s="78"/>
      <c r="E22" s="79"/>
      <c r="F22" s="206"/>
      <c r="G22" s="50"/>
      <c r="H22" s="206"/>
      <c r="I22" s="50"/>
      <c r="J22" s="206"/>
      <c r="K22" s="50"/>
      <c r="L22" s="206"/>
      <c r="N22" s="329"/>
      <c r="O22" s="327"/>
      <c r="P22" s="327"/>
      <c r="Q22" s="327"/>
    </row>
    <row r="23" spans="1:14" ht="15">
      <c r="A23" s="10" t="s">
        <v>35</v>
      </c>
      <c r="B23" s="280" t="s">
        <v>519</v>
      </c>
      <c r="C23" s="330">
        <f>SUM(C18:C21)</f>
        <v>2572.2979720000003</v>
      </c>
      <c r="D23" s="331"/>
      <c r="E23" s="332">
        <f>SUM(E18:E21)</f>
        <v>2044.5847530879996</v>
      </c>
      <c r="F23" s="21"/>
      <c r="G23" s="20"/>
      <c r="H23" s="21"/>
      <c r="I23" s="20"/>
      <c r="J23" s="21"/>
      <c r="K23" s="20"/>
      <c r="L23" s="21"/>
      <c r="N23" s="28"/>
    </row>
    <row r="24" spans="1:14" ht="15">
      <c r="A24" s="10" t="s">
        <v>37</v>
      </c>
      <c r="B24" s="200" t="s">
        <v>406</v>
      </c>
      <c r="C24" s="77">
        <f>C13-C23</f>
        <v>98.60994299999993</v>
      </c>
      <c r="D24" s="78">
        <v>0</v>
      </c>
      <c r="E24" s="79">
        <v>0</v>
      </c>
      <c r="F24" s="21"/>
      <c r="G24" s="20"/>
      <c r="H24" s="21"/>
      <c r="I24" s="20"/>
      <c r="J24" s="21"/>
      <c r="K24" s="20"/>
      <c r="L24" s="21"/>
      <c r="N24" s="28"/>
    </row>
    <row r="25" spans="1:14" ht="15">
      <c r="A25" s="10" t="s">
        <v>39</v>
      </c>
      <c r="B25" s="18"/>
      <c r="C25" s="32" t="s">
        <v>315</v>
      </c>
      <c r="D25" s="19" t="s">
        <v>315</v>
      </c>
      <c r="E25" s="20" t="s">
        <v>315</v>
      </c>
      <c r="F25" s="21"/>
      <c r="G25" s="20"/>
      <c r="H25" s="21"/>
      <c r="I25" s="20"/>
      <c r="J25" s="21"/>
      <c r="K25" s="20"/>
      <c r="L25" s="21"/>
      <c r="N25" s="28"/>
    </row>
    <row r="26" spans="1:14" ht="15">
      <c r="A26" s="10">
        <v>13</v>
      </c>
      <c r="B26" s="18"/>
      <c r="C26" s="32" t="s">
        <v>315</v>
      </c>
      <c r="D26" s="19" t="s">
        <v>315</v>
      </c>
      <c r="E26" s="20" t="s">
        <v>315</v>
      </c>
      <c r="F26" s="21"/>
      <c r="G26" s="20"/>
      <c r="H26" s="21"/>
      <c r="I26" s="20"/>
      <c r="J26" s="21"/>
      <c r="K26" s="20"/>
      <c r="L26" s="21"/>
      <c r="N26" s="28"/>
    </row>
    <row r="27" spans="1:14" ht="15.75" thickBot="1">
      <c r="A27" s="10">
        <v>16</v>
      </c>
      <c r="B27" s="18"/>
      <c r="C27" s="77">
        <v>0</v>
      </c>
      <c r="D27" s="78">
        <v>0</v>
      </c>
      <c r="E27" s="79">
        <v>0</v>
      </c>
      <c r="F27" s="21"/>
      <c r="G27" s="20"/>
      <c r="H27" s="21"/>
      <c r="I27" s="20"/>
      <c r="J27" s="21"/>
      <c r="K27" s="20"/>
      <c r="L27" s="21"/>
      <c r="N27" s="28"/>
    </row>
    <row r="28" spans="1:12" ht="15.75" thickBot="1">
      <c r="A28" s="10">
        <v>17</v>
      </c>
      <c r="B28" s="22" t="s">
        <v>9</v>
      </c>
      <c r="C28" s="33">
        <f>SUM(C23:C24)</f>
        <v>2670.9079150000002</v>
      </c>
      <c r="D28" s="23"/>
      <c r="E28" s="24">
        <f>E23</f>
        <v>2044.5847530879996</v>
      </c>
      <c r="F28" s="25">
        <f>E28*C33/D33</f>
        <v>2018.4261698409698</v>
      </c>
      <c r="G28" s="24">
        <v>0</v>
      </c>
      <c r="H28" s="25">
        <v>0</v>
      </c>
      <c r="I28" s="24">
        <v>0</v>
      </c>
      <c r="J28" s="25">
        <v>0</v>
      </c>
      <c r="K28" s="24">
        <f>E28+G28-I28</f>
        <v>2044.5847530879996</v>
      </c>
      <c r="L28" s="25">
        <f>F28+H28-J28</f>
        <v>2018.4261698409698</v>
      </c>
    </row>
    <row r="29" spans="3:12" ht="15">
      <c r="C29" s="14"/>
      <c r="E29" s="14"/>
      <c r="F29" s="14"/>
      <c r="G29" s="14"/>
      <c r="H29" s="14"/>
      <c r="I29" s="14"/>
      <c r="J29" s="14"/>
      <c r="K29" s="14"/>
      <c r="L29" s="14"/>
    </row>
    <row r="30" ht="15">
      <c r="B30" s="26"/>
    </row>
    <row r="31" ht="15.75" thickBot="1"/>
    <row r="32" spans="2:4" ht="15.75" thickBot="1">
      <c r="B32" s="86"/>
      <c r="C32" s="89">
        <v>2019</v>
      </c>
      <c r="D32" s="89">
        <v>2020</v>
      </c>
    </row>
    <row r="33" spans="2:4" ht="15">
      <c r="B33" s="181" t="s">
        <v>412</v>
      </c>
      <c r="C33" s="90">
        <v>103.32939474884803</v>
      </c>
      <c r="D33" s="90">
        <v>104.6685324467188</v>
      </c>
    </row>
    <row r="34" spans="2:4" ht="15.75" thickBot="1">
      <c r="B34" s="180" t="s">
        <v>413</v>
      </c>
      <c r="C34" s="27">
        <v>128.128316469253</v>
      </c>
      <c r="D34" s="27">
        <v>146.00159575512345</v>
      </c>
    </row>
  </sheetData>
  <mergeCells count="7">
    <mergeCell ref="K16:L16"/>
    <mergeCell ref="B16:B17"/>
    <mergeCell ref="C16:C17"/>
    <mergeCell ref="D16:D17"/>
    <mergeCell ref="E16:F16"/>
    <mergeCell ref="G16:H16"/>
    <mergeCell ref="I16:J16"/>
  </mergeCells>
  <conditionalFormatting sqref="C30 N18:N27">
    <cfRule type="cellIs" priority="13" dxfId="1" operator="equal">
      <formula>FALSE</formula>
    </cfRule>
    <cfRule type="cellIs" priority="14" dxfId="0" operator="equal">
      <formula>TRUE</formula>
    </cfRule>
  </conditionalFormatting>
  <conditionalFormatting sqref="E30">
    <cfRule type="cellIs" priority="11" dxfId="1" operator="equal">
      <formula>FALSE</formula>
    </cfRule>
    <cfRule type="cellIs" priority="12" dxfId="0" operator="equal">
      <formula>TRUE</formula>
    </cfRule>
  </conditionalFormatting>
  <conditionalFormatting sqref="F30">
    <cfRule type="cellIs" priority="9" dxfId="1" operator="equal">
      <formula>FALSE</formula>
    </cfRule>
    <cfRule type="cellIs" priority="10" dxfId="0" operator="equal">
      <formula>TRUE</formula>
    </cfRule>
  </conditionalFormatting>
  <conditionalFormatting sqref="K30">
    <cfRule type="cellIs" priority="7" dxfId="1" operator="equal">
      <formula>FALSE</formula>
    </cfRule>
    <cfRule type="cellIs" priority="8" dxfId="0" operator="equal">
      <formula>TRUE</formula>
    </cfRule>
  </conditionalFormatting>
  <conditionalFormatting sqref="L30">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5"/>
  <sheetViews>
    <sheetView zoomScale="90" zoomScaleNormal="90" workbookViewId="0" topLeftCell="A1">
      <selection activeCell="D31" sqref="D31"/>
    </sheetView>
  </sheetViews>
  <sheetFormatPr defaultColWidth="8.8515625" defaultRowHeight="15"/>
  <cols>
    <col min="1" max="1" width="5.00390625" style="5" bestFit="1" customWidth="1"/>
    <col min="2" max="2" width="42.8515625" style="5" bestFit="1" customWidth="1"/>
    <col min="3" max="3" width="16.421875" style="5" customWidth="1"/>
    <col min="4" max="4" width="13.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60</v>
      </c>
    </row>
    <row r="2" ht="4.5" customHeight="1"/>
    <row r="3" spans="2:3" ht="15">
      <c r="B3" s="7" t="s">
        <v>526</v>
      </c>
      <c r="C3" s="4" t="s">
        <v>27</v>
      </c>
    </row>
    <row r="4" spans="2:3" ht="15">
      <c r="B4" s="8" t="s">
        <v>61</v>
      </c>
      <c r="C4" s="4" t="s">
        <v>316</v>
      </c>
    </row>
    <row r="5" ht="14.25" customHeight="1">
      <c r="C5" s="4" t="s">
        <v>317</v>
      </c>
    </row>
    <row r="6" ht="14.25" customHeight="1" thickBot="1"/>
    <row r="7" spans="2:4" ht="16.5" customHeight="1" thickBot="1">
      <c r="B7" s="86"/>
      <c r="C7" s="87" t="s">
        <v>3</v>
      </c>
      <c r="D7" s="9"/>
    </row>
    <row r="8" spans="1:3" ht="15">
      <c r="A8" s="10">
        <v>1</v>
      </c>
      <c r="B8" s="84" t="s">
        <v>0</v>
      </c>
      <c r="C8" s="85">
        <f>40023.5/1000</f>
        <v>40.0235</v>
      </c>
    </row>
    <row r="9" spans="1:3" ht="15">
      <c r="A9" s="10">
        <v>2</v>
      </c>
      <c r="B9" s="11" t="s">
        <v>8</v>
      </c>
      <c r="C9" s="30">
        <v>0</v>
      </c>
    </row>
    <row r="10" spans="1:4" ht="15">
      <c r="A10" s="10">
        <v>3</v>
      </c>
      <c r="B10" s="12" t="s">
        <v>2</v>
      </c>
      <c r="C10" s="31">
        <f>C8</f>
        <v>40.0235</v>
      </c>
      <c r="D10" s="15"/>
    </row>
    <row r="11" spans="1:3" ht="15">
      <c r="A11" s="10">
        <v>6</v>
      </c>
      <c r="B11" s="11" t="s">
        <v>29</v>
      </c>
      <c r="C11" s="30" t="s">
        <v>315</v>
      </c>
    </row>
    <row r="12" spans="2:3" ht="15.75" thickBot="1">
      <c r="B12" s="13" t="s">
        <v>30</v>
      </c>
      <c r="C12" s="36">
        <f>IF(ISNUMBER(C11)=TRUE,C10-C11,C10)</f>
        <v>40.0235</v>
      </c>
    </row>
    <row r="13" spans="2:3" ht="15">
      <c r="B13" s="14"/>
      <c r="C13" s="15"/>
    </row>
    <row r="14" spans="2:3" ht="15.75" thickBot="1">
      <c r="B14" s="16"/>
      <c r="C14" s="17"/>
    </row>
    <row r="15" spans="2:14" ht="16.5" customHeight="1">
      <c r="B15" s="657" t="s">
        <v>1</v>
      </c>
      <c r="C15" s="659" t="s">
        <v>3</v>
      </c>
      <c r="D15" s="661" t="s">
        <v>408</v>
      </c>
      <c r="E15" s="663" t="s">
        <v>5</v>
      </c>
      <c r="F15" s="664"/>
      <c r="G15" s="663" t="s">
        <v>6</v>
      </c>
      <c r="H15" s="664"/>
      <c r="I15" s="663" t="s">
        <v>12</v>
      </c>
      <c r="J15" s="664"/>
      <c r="K15" s="655" t="s">
        <v>7</v>
      </c>
      <c r="L15" s="656"/>
      <c r="N15" s="26"/>
    </row>
    <row r="16" spans="2:12" ht="15.75" thickBot="1">
      <c r="B16" s="658"/>
      <c r="C16" s="660"/>
      <c r="D16" s="662"/>
      <c r="E16" s="81" t="s">
        <v>10</v>
      </c>
      <c r="F16" s="82" t="s">
        <v>11</v>
      </c>
      <c r="G16" s="81" t="s">
        <v>10</v>
      </c>
      <c r="H16" s="82" t="s">
        <v>11</v>
      </c>
      <c r="I16" s="81" t="s">
        <v>10</v>
      </c>
      <c r="J16" s="82" t="s">
        <v>11</v>
      </c>
      <c r="K16" s="81" t="s">
        <v>10</v>
      </c>
      <c r="L16" s="83" t="s">
        <v>11</v>
      </c>
    </row>
    <row r="17" spans="1:14" ht="15">
      <c r="A17" s="10">
        <v>7</v>
      </c>
      <c r="B17" s="76" t="s">
        <v>511</v>
      </c>
      <c r="C17" s="77">
        <f>C12</f>
        <v>40.0235</v>
      </c>
      <c r="D17" s="78">
        <v>467.27</v>
      </c>
      <c r="E17" s="79">
        <f>SUM(C17*D17/100)</f>
        <v>187.01780844999996</v>
      </c>
      <c r="F17" s="80">
        <f>E17*C24/D24</f>
        <v>130.32118875378364</v>
      </c>
      <c r="G17" s="79"/>
      <c r="H17" s="80"/>
      <c r="I17" s="79"/>
      <c r="J17" s="80"/>
      <c r="K17" s="79"/>
      <c r="L17" s="80"/>
      <c r="N17" s="28"/>
    </row>
    <row r="18" spans="1:14" ht="15.75" thickBot="1">
      <c r="A18" s="10">
        <v>16</v>
      </c>
      <c r="B18" s="18" t="s">
        <v>25</v>
      </c>
      <c r="C18" s="32" t="s">
        <v>315</v>
      </c>
      <c r="D18" s="19" t="s">
        <v>315</v>
      </c>
      <c r="E18" s="20" t="s">
        <v>315</v>
      </c>
      <c r="F18" s="21"/>
      <c r="G18" s="20"/>
      <c r="H18" s="21"/>
      <c r="I18" s="20"/>
      <c r="J18" s="21"/>
      <c r="K18" s="20"/>
      <c r="L18" s="21"/>
      <c r="N18" s="28"/>
    </row>
    <row r="19" spans="1:12" ht="15.75" thickBot="1">
      <c r="A19" s="10">
        <v>17</v>
      </c>
      <c r="B19" s="22" t="s">
        <v>9</v>
      </c>
      <c r="C19" s="33">
        <f>SUM(C17:C18)</f>
        <v>40.0235</v>
      </c>
      <c r="D19" s="23"/>
      <c r="E19" s="24">
        <f>E17</f>
        <v>187.01780844999996</v>
      </c>
      <c r="F19" s="25">
        <f>F17</f>
        <v>130.32118875378364</v>
      </c>
      <c r="G19" s="24">
        <v>0</v>
      </c>
      <c r="H19" s="25">
        <v>0</v>
      </c>
      <c r="I19" s="24">
        <v>0</v>
      </c>
      <c r="J19" s="25">
        <v>0</v>
      </c>
      <c r="K19" s="24">
        <f>E19+G19-I19</f>
        <v>187.01780844999996</v>
      </c>
      <c r="L19" s="25">
        <f>F19+H19-J19</f>
        <v>130.32118875378364</v>
      </c>
    </row>
    <row r="20" spans="3:12" ht="15">
      <c r="C20" s="14"/>
      <c r="E20" s="14"/>
      <c r="F20" s="14"/>
      <c r="G20" s="14"/>
      <c r="H20" s="14"/>
      <c r="I20" s="14"/>
      <c r="J20" s="14"/>
      <c r="K20" s="14"/>
      <c r="L20" s="14"/>
    </row>
    <row r="21" ht="15">
      <c r="B21" s="26"/>
    </row>
    <row r="22" ht="15.75" thickBot="1"/>
    <row r="23" spans="2:5" ht="15.75" thickBot="1">
      <c r="B23" s="86"/>
      <c r="C23" s="89">
        <v>2019</v>
      </c>
      <c r="D23" s="89">
        <v>2020</v>
      </c>
      <c r="E23" s="169"/>
    </row>
    <row r="24" spans="2:5" ht="15">
      <c r="B24" s="181" t="s">
        <v>412</v>
      </c>
      <c r="C24" s="90">
        <v>101.2541378562195</v>
      </c>
      <c r="D24" s="90">
        <v>145.3050508474169</v>
      </c>
      <c r="E24" s="169"/>
    </row>
    <row r="25" spans="2:5" ht="15.75" thickBot="1">
      <c r="B25" s="180" t="s">
        <v>413</v>
      </c>
      <c r="C25" s="27"/>
      <c r="D25" s="27"/>
      <c r="E25" s="169" t="s">
        <v>527</v>
      </c>
    </row>
  </sheetData>
  <mergeCells count="7">
    <mergeCell ref="K15:L15"/>
    <mergeCell ref="B15:B16"/>
    <mergeCell ref="C15:C16"/>
    <mergeCell ref="D15:D16"/>
    <mergeCell ref="E15:F15"/>
    <mergeCell ref="G15:H15"/>
    <mergeCell ref="I15:J15"/>
  </mergeCells>
  <conditionalFormatting sqref="C21 N17:N18">
    <cfRule type="cellIs" priority="13" dxfId="1" operator="equal">
      <formula>FALSE</formula>
    </cfRule>
    <cfRule type="cellIs" priority="14" dxfId="0" operator="equal">
      <formula>TRUE</formula>
    </cfRule>
  </conditionalFormatting>
  <conditionalFormatting sqref="E21">
    <cfRule type="cellIs" priority="11" dxfId="1" operator="equal">
      <formula>FALSE</formula>
    </cfRule>
    <cfRule type="cellIs" priority="12" dxfId="0" operator="equal">
      <formula>TRUE</formula>
    </cfRule>
  </conditionalFormatting>
  <conditionalFormatting sqref="F21">
    <cfRule type="cellIs" priority="9" dxfId="1" operator="equal">
      <formula>FALSE</formula>
    </cfRule>
    <cfRule type="cellIs" priority="10" dxfId="0" operator="equal">
      <formula>TRUE</formula>
    </cfRule>
  </conditionalFormatting>
  <conditionalFormatting sqref="K21">
    <cfRule type="cellIs" priority="7" dxfId="1" operator="equal">
      <formula>FALSE</formula>
    </cfRule>
    <cfRule type="cellIs" priority="8" dxfId="0" operator="equal">
      <formula>TRUE</formula>
    </cfRule>
  </conditionalFormatting>
  <conditionalFormatting sqref="L21">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F4" sqref="F4"/>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62</v>
      </c>
    </row>
    <row r="2" ht="4.5" customHeight="1"/>
    <row r="3" spans="2:3" ht="15">
      <c r="B3" s="7" t="s">
        <v>366</v>
      </c>
      <c r="C3" s="29" t="s">
        <v>64</v>
      </c>
    </row>
    <row r="4" spans="2:6" ht="15.75">
      <c r="B4" s="28" t="s">
        <v>63</v>
      </c>
      <c r="C4" s="29" t="s">
        <v>322</v>
      </c>
      <c r="F4" s="198" t="s">
        <v>503</v>
      </c>
    </row>
    <row r="5" ht="14.25" customHeight="1">
      <c r="C5" s="4" t="s">
        <v>317</v>
      </c>
    </row>
    <row r="6" ht="14.25" customHeight="1" thickBot="1"/>
    <row r="7" spans="2:4" ht="16.5" customHeight="1" thickBot="1">
      <c r="B7" s="86"/>
      <c r="C7" s="87" t="s">
        <v>3</v>
      </c>
      <c r="D7" s="9"/>
    </row>
    <row r="8" spans="1:3" ht="15">
      <c r="A8" s="10">
        <v>1</v>
      </c>
      <c r="B8" s="84" t="s">
        <v>0</v>
      </c>
      <c r="C8" s="85">
        <v>0</v>
      </c>
    </row>
    <row r="9" spans="1:3" ht="15">
      <c r="A9" s="10">
        <v>2</v>
      </c>
      <c r="B9" s="11" t="s">
        <v>8</v>
      </c>
      <c r="C9" s="30">
        <v>0</v>
      </c>
    </row>
    <row r="10" spans="1:4" ht="15">
      <c r="A10" s="10">
        <v>3</v>
      </c>
      <c r="B10" s="12" t="s">
        <v>2</v>
      </c>
      <c r="C10" s="31">
        <v>0</v>
      </c>
      <c r="D10" s="15"/>
    </row>
    <row r="11" spans="1:3" ht="15">
      <c r="A11" s="10">
        <v>6</v>
      </c>
      <c r="B11" s="11" t="s">
        <v>29</v>
      </c>
      <c r="C11" s="30" t="s">
        <v>315</v>
      </c>
    </row>
    <row r="12" spans="2:3" ht="15.75" thickBot="1">
      <c r="B12" s="13" t="s">
        <v>30</v>
      </c>
      <c r="C12" s="36">
        <f>IF(ISNUMBER(C11)=TRUE,C10-C11,C10)</f>
        <v>0</v>
      </c>
    </row>
    <row r="13" spans="2:3" ht="15">
      <c r="B13" s="14"/>
      <c r="C13" s="15"/>
    </row>
    <row r="14" spans="2:3" ht="15.75" thickBot="1">
      <c r="B14" s="16"/>
      <c r="C14" s="17"/>
    </row>
    <row r="15" spans="2:14" ht="16.5" customHeight="1">
      <c r="B15" s="657" t="s">
        <v>1</v>
      </c>
      <c r="C15" s="659" t="s">
        <v>3</v>
      </c>
      <c r="D15" s="677" t="s">
        <v>4</v>
      </c>
      <c r="E15" s="663" t="s">
        <v>5</v>
      </c>
      <c r="F15" s="664"/>
      <c r="G15" s="663" t="s">
        <v>6</v>
      </c>
      <c r="H15" s="664"/>
      <c r="I15" s="663" t="s">
        <v>12</v>
      </c>
      <c r="J15" s="664"/>
      <c r="K15" s="655" t="s">
        <v>7</v>
      </c>
      <c r="L15" s="656"/>
      <c r="N15" s="26"/>
    </row>
    <row r="16" spans="2:12" ht="15.75" thickBot="1">
      <c r="B16" s="658"/>
      <c r="C16" s="660"/>
      <c r="D16" s="678"/>
      <c r="E16" s="81" t="s">
        <v>10</v>
      </c>
      <c r="F16" s="82" t="s">
        <v>11</v>
      </c>
      <c r="G16" s="81" t="s">
        <v>10</v>
      </c>
      <c r="H16" s="82" t="s">
        <v>11</v>
      </c>
      <c r="I16" s="81" t="s">
        <v>10</v>
      </c>
      <c r="J16" s="82" t="s">
        <v>11</v>
      </c>
      <c r="K16" s="81" t="s">
        <v>10</v>
      </c>
      <c r="L16" s="83" t="s">
        <v>11</v>
      </c>
    </row>
    <row r="17" spans="1:14" ht="15">
      <c r="A17" s="10">
        <v>7</v>
      </c>
      <c r="B17" s="76" t="s">
        <v>31</v>
      </c>
      <c r="C17" s="77" t="s">
        <v>315</v>
      </c>
      <c r="D17" s="78" t="s">
        <v>315</v>
      </c>
      <c r="E17" s="79" t="s">
        <v>315</v>
      </c>
      <c r="F17" s="80"/>
      <c r="G17" s="79"/>
      <c r="H17" s="80"/>
      <c r="I17" s="79"/>
      <c r="J17" s="80"/>
      <c r="K17" s="79"/>
      <c r="L17" s="80"/>
      <c r="N17" s="28"/>
    </row>
    <row r="18" spans="1:14" ht="15">
      <c r="A18" s="10">
        <v>8</v>
      </c>
      <c r="B18" s="18" t="s">
        <v>32</v>
      </c>
      <c r="C18" s="32" t="s">
        <v>315</v>
      </c>
      <c r="D18" s="19"/>
      <c r="E18" s="20"/>
      <c r="F18" s="21"/>
      <c r="G18" s="20"/>
      <c r="H18" s="21"/>
      <c r="I18" s="20"/>
      <c r="J18" s="21"/>
      <c r="K18" s="20"/>
      <c r="L18" s="21"/>
      <c r="N18" s="28"/>
    </row>
    <row r="19" spans="1:14" ht="15">
      <c r="A19" s="10">
        <v>10</v>
      </c>
      <c r="B19" s="18" t="s">
        <v>33</v>
      </c>
      <c r="C19" s="32" t="s">
        <v>315</v>
      </c>
      <c r="D19" s="19" t="s">
        <v>315</v>
      </c>
      <c r="E19" s="20" t="s">
        <v>315</v>
      </c>
      <c r="F19" s="21"/>
      <c r="G19" s="20"/>
      <c r="H19" s="21"/>
      <c r="I19" s="20"/>
      <c r="J19" s="21"/>
      <c r="K19" s="20"/>
      <c r="L19" s="21"/>
      <c r="N19" s="28"/>
    </row>
    <row r="20" spans="1:14" ht="15">
      <c r="A20" s="10">
        <v>11</v>
      </c>
      <c r="B20" s="18" t="s">
        <v>34</v>
      </c>
      <c r="C20" s="32">
        <v>0</v>
      </c>
      <c r="D20" s="19">
        <v>0</v>
      </c>
      <c r="E20" s="20">
        <v>0</v>
      </c>
      <c r="F20" s="21"/>
      <c r="G20" s="20"/>
      <c r="H20" s="21"/>
      <c r="I20" s="20"/>
      <c r="J20" s="21"/>
      <c r="K20" s="20"/>
      <c r="L20" s="21"/>
      <c r="N20" s="28"/>
    </row>
    <row r="21" spans="1:14" ht="15">
      <c r="A21" s="10" t="s">
        <v>35</v>
      </c>
      <c r="B21" s="18" t="s">
        <v>36</v>
      </c>
      <c r="C21" s="32" t="s">
        <v>315</v>
      </c>
      <c r="D21" s="19" t="s">
        <v>315</v>
      </c>
      <c r="E21" s="20" t="s">
        <v>315</v>
      </c>
      <c r="F21" s="21"/>
      <c r="G21" s="20"/>
      <c r="H21" s="21"/>
      <c r="I21" s="20"/>
      <c r="J21" s="21"/>
      <c r="K21" s="20"/>
      <c r="L21" s="21"/>
      <c r="N21" s="28"/>
    </row>
    <row r="22" spans="1:14" ht="15">
      <c r="A22" s="10" t="s">
        <v>37</v>
      </c>
      <c r="B22" s="18" t="s">
        <v>38</v>
      </c>
      <c r="C22" s="32">
        <v>0</v>
      </c>
      <c r="D22" s="19">
        <v>0</v>
      </c>
      <c r="E22" s="20">
        <v>0</v>
      </c>
      <c r="F22" s="21"/>
      <c r="G22" s="20"/>
      <c r="H22" s="21"/>
      <c r="I22" s="20"/>
      <c r="J22" s="21"/>
      <c r="K22" s="20"/>
      <c r="L22" s="21"/>
      <c r="N22" s="28"/>
    </row>
    <row r="23" spans="1:14" ht="15">
      <c r="A23" s="10" t="s">
        <v>39</v>
      </c>
      <c r="B23" s="18" t="s">
        <v>40</v>
      </c>
      <c r="C23" s="32" t="s">
        <v>315</v>
      </c>
      <c r="D23" s="19" t="s">
        <v>315</v>
      </c>
      <c r="E23" s="20" t="s">
        <v>315</v>
      </c>
      <c r="F23" s="21"/>
      <c r="G23" s="20"/>
      <c r="H23" s="21"/>
      <c r="I23" s="20"/>
      <c r="J23" s="21"/>
      <c r="K23" s="20"/>
      <c r="L23" s="21"/>
      <c r="N23" s="28"/>
    </row>
    <row r="24" spans="1:14" ht="15">
      <c r="A24" s="10">
        <v>13</v>
      </c>
      <c r="B24" s="18" t="s">
        <v>41</v>
      </c>
      <c r="C24" s="32" t="s">
        <v>315</v>
      </c>
      <c r="D24" s="19" t="s">
        <v>315</v>
      </c>
      <c r="E24" s="20" t="s">
        <v>315</v>
      </c>
      <c r="F24" s="21"/>
      <c r="G24" s="20"/>
      <c r="H24" s="21"/>
      <c r="I24" s="20"/>
      <c r="J24" s="21"/>
      <c r="K24" s="20"/>
      <c r="L24" s="21"/>
      <c r="N24" s="28"/>
    </row>
    <row r="25" spans="1:14" ht="15.75" thickBot="1">
      <c r="A25" s="10">
        <v>16</v>
      </c>
      <c r="B25" s="18" t="s">
        <v>25</v>
      </c>
      <c r="C25" s="32">
        <v>0</v>
      </c>
      <c r="D25" s="19">
        <v>0</v>
      </c>
      <c r="E25" s="20">
        <v>0</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86"/>
      <c r="C30" s="89">
        <v>2020</v>
      </c>
    </row>
    <row r="31" spans="2:3" ht="15">
      <c r="B31" s="170" t="s">
        <v>318</v>
      </c>
      <c r="C31" s="90">
        <v>0</v>
      </c>
    </row>
    <row r="32" spans="2:3" ht="15.75" thickBot="1">
      <c r="B32" s="171" t="s">
        <v>319</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H39" sqref="H3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65</v>
      </c>
    </row>
    <row r="2" ht="4.5" customHeight="1"/>
    <row r="3" spans="2:3" ht="15">
      <c r="B3" s="7" t="s">
        <v>365</v>
      </c>
      <c r="C3" s="29" t="s">
        <v>67</v>
      </c>
    </row>
    <row r="4" spans="2:6" ht="15.75">
      <c r="B4" s="28" t="s">
        <v>66</v>
      </c>
      <c r="C4" s="29" t="s">
        <v>316</v>
      </c>
      <c r="F4" s="198" t="s">
        <v>503</v>
      </c>
    </row>
    <row r="5" ht="14.25" customHeight="1">
      <c r="C5" s="4" t="s">
        <v>317</v>
      </c>
    </row>
    <row r="6" ht="14.25" customHeight="1" thickBot="1"/>
    <row r="7" spans="2:4" ht="16.5" customHeight="1" thickBot="1">
      <c r="B7" s="86"/>
      <c r="C7" s="87" t="s">
        <v>3</v>
      </c>
      <c r="D7" s="9"/>
    </row>
    <row r="8" spans="1:3" ht="15">
      <c r="A8" s="10">
        <v>1</v>
      </c>
      <c r="B8" s="84" t="s">
        <v>0</v>
      </c>
      <c r="C8" s="85">
        <v>0</v>
      </c>
    </row>
    <row r="9" spans="1:3" ht="15">
      <c r="A9" s="10">
        <v>2</v>
      </c>
      <c r="B9" s="11" t="s">
        <v>8</v>
      </c>
      <c r="C9" s="30" t="s">
        <v>315</v>
      </c>
    </row>
    <row r="10" spans="1:3" ht="15">
      <c r="A10" s="10">
        <v>3</v>
      </c>
      <c r="B10" s="12" t="s">
        <v>2</v>
      </c>
      <c r="C10" s="31">
        <v>0</v>
      </c>
    </row>
    <row r="11" spans="1:3" ht="15">
      <c r="A11" s="10">
        <v>6</v>
      </c>
      <c r="B11" s="11" t="s">
        <v>29</v>
      </c>
      <c r="C11" s="30" t="s">
        <v>315</v>
      </c>
    </row>
    <row r="12" spans="2:3" ht="15.75" thickBot="1">
      <c r="B12" s="13" t="s">
        <v>30</v>
      </c>
      <c r="C12" s="36">
        <f>IF(ISNUMBER(C11)=TRUE,C10-C11,C10)</f>
        <v>0</v>
      </c>
    </row>
    <row r="13" spans="2:3" ht="15">
      <c r="B13" s="14"/>
      <c r="C13" s="15"/>
    </row>
    <row r="14" spans="2:3" ht="15.75" thickBot="1">
      <c r="B14" s="16"/>
      <c r="C14" s="17"/>
    </row>
    <row r="15" spans="2:14" ht="16.5" customHeight="1">
      <c r="B15" s="657" t="s">
        <v>1</v>
      </c>
      <c r="C15" s="659" t="s">
        <v>3</v>
      </c>
      <c r="D15" s="677" t="s">
        <v>4</v>
      </c>
      <c r="E15" s="663" t="s">
        <v>5</v>
      </c>
      <c r="F15" s="664"/>
      <c r="G15" s="663" t="s">
        <v>6</v>
      </c>
      <c r="H15" s="664"/>
      <c r="I15" s="663" t="s">
        <v>12</v>
      </c>
      <c r="J15" s="664"/>
      <c r="K15" s="655" t="s">
        <v>7</v>
      </c>
      <c r="L15" s="656"/>
      <c r="N15" s="26"/>
    </row>
    <row r="16" spans="2:12" ht="15.75" thickBot="1">
      <c r="B16" s="658"/>
      <c r="C16" s="660"/>
      <c r="D16" s="678"/>
      <c r="E16" s="81" t="s">
        <v>10</v>
      </c>
      <c r="F16" s="82" t="s">
        <v>11</v>
      </c>
      <c r="G16" s="81" t="s">
        <v>10</v>
      </c>
      <c r="H16" s="82" t="s">
        <v>11</v>
      </c>
      <c r="I16" s="81" t="s">
        <v>10</v>
      </c>
      <c r="J16" s="82" t="s">
        <v>11</v>
      </c>
      <c r="K16" s="81" t="s">
        <v>10</v>
      </c>
      <c r="L16" s="83" t="s">
        <v>11</v>
      </c>
    </row>
    <row r="17" spans="1:14" ht="15">
      <c r="A17" s="10">
        <v>7</v>
      </c>
      <c r="B17" s="76" t="s">
        <v>31</v>
      </c>
      <c r="C17" s="77" t="s">
        <v>315</v>
      </c>
      <c r="D17" s="78" t="s">
        <v>315</v>
      </c>
      <c r="E17" s="79" t="s">
        <v>315</v>
      </c>
      <c r="F17" s="80"/>
      <c r="G17" s="79"/>
      <c r="H17" s="80"/>
      <c r="I17" s="79"/>
      <c r="J17" s="80"/>
      <c r="K17" s="79"/>
      <c r="L17" s="80"/>
      <c r="N17" s="28"/>
    </row>
    <row r="18" spans="1:14" ht="15">
      <c r="A18" s="10">
        <v>8</v>
      </c>
      <c r="B18" s="18" t="s">
        <v>32</v>
      </c>
      <c r="C18" s="32" t="s">
        <v>315</v>
      </c>
      <c r="D18" s="19"/>
      <c r="E18" s="20"/>
      <c r="F18" s="21"/>
      <c r="G18" s="20"/>
      <c r="H18" s="21"/>
      <c r="I18" s="20"/>
      <c r="J18" s="21"/>
      <c r="K18" s="20"/>
      <c r="L18" s="21"/>
      <c r="N18" s="28"/>
    </row>
    <row r="19" spans="1:14" ht="15">
      <c r="A19" s="10">
        <v>10</v>
      </c>
      <c r="B19" s="18" t="s">
        <v>33</v>
      </c>
      <c r="C19" s="32" t="s">
        <v>315</v>
      </c>
      <c r="D19" s="19" t="s">
        <v>315</v>
      </c>
      <c r="E19" s="20" t="s">
        <v>315</v>
      </c>
      <c r="F19" s="21"/>
      <c r="G19" s="20"/>
      <c r="H19" s="21"/>
      <c r="I19" s="20"/>
      <c r="J19" s="21"/>
      <c r="K19" s="20"/>
      <c r="L19" s="21"/>
      <c r="N19" s="28"/>
    </row>
    <row r="20" spans="1:14" ht="15">
      <c r="A20" s="10">
        <v>11</v>
      </c>
      <c r="B20" s="18" t="s">
        <v>34</v>
      </c>
      <c r="C20" s="32" t="s">
        <v>315</v>
      </c>
      <c r="D20" s="19" t="s">
        <v>315</v>
      </c>
      <c r="E20" s="20" t="s">
        <v>315</v>
      </c>
      <c r="F20" s="21"/>
      <c r="G20" s="20"/>
      <c r="H20" s="21"/>
      <c r="I20" s="20"/>
      <c r="J20" s="21"/>
      <c r="K20" s="20"/>
      <c r="L20" s="21"/>
      <c r="N20" s="28"/>
    </row>
    <row r="21" spans="1:14" ht="15">
      <c r="A21" s="10" t="s">
        <v>35</v>
      </c>
      <c r="B21" s="18" t="s">
        <v>36</v>
      </c>
      <c r="C21" s="32" t="s">
        <v>315</v>
      </c>
      <c r="D21" s="19" t="s">
        <v>315</v>
      </c>
      <c r="E21" s="20" t="s">
        <v>315</v>
      </c>
      <c r="F21" s="21"/>
      <c r="G21" s="20"/>
      <c r="H21" s="21"/>
      <c r="I21" s="20"/>
      <c r="J21" s="21"/>
      <c r="K21" s="20"/>
      <c r="L21" s="21"/>
      <c r="N21" s="28"/>
    </row>
    <row r="22" spans="1:14" ht="15">
      <c r="A22" s="10" t="s">
        <v>37</v>
      </c>
      <c r="B22" s="18" t="s">
        <v>38</v>
      </c>
      <c r="C22" s="32">
        <v>0</v>
      </c>
      <c r="D22" s="19">
        <v>0</v>
      </c>
      <c r="E22" s="20">
        <v>0</v>
      </c>
      <c r="F22" s="21"/>
      <c r="G22" s="20"/>
      <c r="H22" s="21"/>
      <c r="I22" s="20"/>
      <c r="J22" s="21"/>
      <c r="K22" s="20"/>
      <c r="L22" s="21"/>
      <c r="N22" s="28"/>
    </row>
    <row r="23" spans="1:14" ht="15">
      <c r="A23" s="10" t="s">
        <v>39</v>
      </c>
      <c r="B23" s="18" t="s">
        <v>40</v>
      </c>
      <c r="C23" s="32" t="s">
        <v>315</v>
      </c>
      <c r="D23" s="19" t="s">
        <v>315</v>
      </c>
      <c r="E23" s="20" t="s">
        <v>315</v>
      </c>
      <c r="F23" s="21"/>
      <c r="G23" s="20"/>
      <c r="H23" s="21"/>
      <c r="I23" s="20"/>
      <c r="J23" s="21"/>
      <c r="K23" s="20"/>
      <c r="L23" s="21"/>
      <c r="N23" s="28"/>
    </row>
    <row r="24" spans="1:14" ht="15">
      <c r="A24" s="10">
        <v>13</v>
      </c>
      <c r="B24" s="18" t="s">
        <v>41</v>
      </c>
      <c r="C24" s="32" t="s">
        <v>315</v>
      </c>
      <c r="D24" s="19" t="s">
        <v>315</v>
      </c>
      <c r="E24" s="20" t="s">
        <v>315</v>
      </c>
      <c r="F24" s="21"/>
      <c r="G24" s="20"/>
      <c r="H24" s="21"/>
      <c r="I24" s="20"/>
      <c r="J24" s="21"/>
      <c r="K24" s="20"/>
      <c r="L24" s="21"/>
      <c r="N24" s="28"/>
    </row>
    <row r="25" spans="1:14" ht="15.75" thickBot="1">
      <c r="A25" s="10">
        <v>16</v>
      </c>
      <c r="B25" s="18" t="s">
        <v>25</v>
      </c>
      <c r="C25" s="32" t="s">
        <v>315</v>
      </c>
      <c r="D25" s="19" t="s">
        <v>315</v>
      </c>
      <c r="E25" s="20" t="s">
        <v>315</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86"/>
      <c r="C30" s="89">
        <v>2020</v>
      </c>
    </row>
    <row r="31" spans="2:3" ht="15">
      <c r="B31" s="170" t="s">
        <v>318</v>
      </c>
      <c r="C31" s="90">
        <v>0</v>
      </c>
    </row>
    <row r="32" spans="2:3" ht="15.75" thickBot="1">
      <c r="B32" s="171" t="s">
        <v>319</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60"/>
  <sheetViews>
    <sheetView workbookViewId="0" topLeftCell="A40">
      <selection activeCell="B36" sqref="B36"/>
    </sheetView>
  </sheetViews>
  <sheetFormatPr defaultColWidth="9.140625" defaultRowHeight="15"/>
  <cols>
    <col min="1" max="1" width="2.28125" style="0" customWidth="1"/>
    <col min="2" max="2" width="56.421875" style="0" customWidth="1"/>
    <col min="3" max="3" width="28.7109375" style="0" bestFit="1" customWidth="1"/>
    <col min="4" max="4" width="22.8515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ht="18.75">
      <c r="B1" s="1" t="s">
        <v>418</v>
      </c>
    </row>
    <row r="2" ht="15">
      <c r="B2" s="217"/>
    </row>
    <row r="3" spans="2:3" ht="15">
      <c r="B3" s="218" t="s">
        <v>452</v>
      </c>
      <c r="C3" t="s">
        <v>419</v>
      </c>
    </row>
    <row r="4" spans="2:3" ht="15">
      <c r="B4" s="219"/>
      <c r="C4" t="s">
        <v>420</v>
      </c>
    </row>
    <row r="5" ht="14.25" customHeight="1">
      <c r="C5" t="s">
        <v>421</v>
      </c>
    </row>
    <row r="6" ht="14.25" customHeight="1"/>
    <row r="7" spans="3:4" ht="16.5" customHeight="1">
      <c r="C7" s="220"/>
      <c r="D7" s="220"/>
    </row>
    <row r="8" spans="2:9" ht="15">
      <c r="B8" s="196" t="s">
        <v>422</v>
      </c>
      <c r="C8" s="221"/>
      <c r="F8" s="196"/>
      <c r="G8" s="196"/>
      <c r="H8" s="196"/>
      <c r="I8" s="196"/>
    </row>
    <row r="9" ht="15">
      <c r="C9" s="222"/>
    </row>
    <row r="10" spans="2:4" ht="15">
      <c r="B10" s="223" t="s">
        <v>423</v>
      </c>
      <c r="C10" s="224"/>
      <c r="D10" s="224"/>
    </row>
    <row r="11" spans="2:4" ht="15">
      <c r="B11" s="225" t="s">
        <v>424</v>
      </c>
      <c r="C11" s="224"/>
      <c r="D11" s="224"/>
    </row>
    <row r="12" spans="2:4" ht="15">
      <c r="B12" s="225" t="s">
        <v>425</v>
      </c>
      <c r="C12" s="221"/>
      <c r="D12" s="221"/>
    </row>
    <row r="13" spans="2:4" ht="9" customHeight="1">
      <c r="B13" s="223"/>
      <c r="C13" s="224"/>
      <c r="D13" s="224"/>
    </row>
    <row r="14" spans="2:9" ht="15">
      <c r="B14" s="225" t="s">
        <v>426</v>
      </c>
      <c r="C14" s="221"/>
      <c r="D14" s="221"/>
      <c r="F14" s="196"/>
      <c r="G14" s="196"/>
      <c r="H14" s="196"/>
      <c r="I14" s="196"/>
    </row>
    <row r="15" spans="2:4" ht="15">
      <c r="B15" s="225" t="s">
        <v>427</v>
      </c>
      <c r="C15" s="221"/>
      <c r="D15" s="221"/>
    </row>
    <row r="16" spans="2:4" ht="15">
      <c r="B16" s="225" t="s">
        <v>428</v>
      </c>
      <c r="C16" s="225"/>
      <c r="D16" s="225"/>
    </row>
    <row r="17" spans="2:4" ht="15">
      <c r="B17" s="225" t="s">
        <v>429</v>
      </c>
      <c r="C17" s="224"/>
      <c r="D17" s="224"/>
    </row>
    <row r="18" spans="2:4" ht="15">
      <c r="B18" s="225" t="s">
        <v>430</v>
      </c>
      <c r="C18" s="221"/>
      <c r="D18" s="221"/>
    </row>
    <row r="19" spans="2:4" ht="15">
      <c r="B19" s="225" t="s">
        <v>431</v>
      </c>
      <c r="C19" s="221"/>
      <c r="D19" s="221"/>
    </row>
    <row r="20" spans="2:4" ht="15">
      <c r="B20" s="225" t="s">
        <v>432</v>
      </c>
      <c r="C20" s="221"/>
      <c r="D20" s="221"/>
    </row>
    <row r="21" spans="2:4" ht="15">
      <c r="B21" s="225" t="s">
        <v>433</v>
      </c>
      <c r="C21" s="221"/>
      <c r="D21" s="221"/>
    </row>
    <row r="22" spans="2:3" ht="15">
      <c r="B22" s="225"/>
      <c r="C22" s="221"/>
    </row>
    <row r="23" spans="2:3" ht="15">
      <c r="B23" s="223" t="s">
        <v>434</v>
      </c>
      <c r="C23" s="221"/>
    </row>
    <row r="24" spans="2:3" ht="15">
      <c r="B24" s="225" t="s">
        <v>435</v>
      </c>
      <c r="C24" s="221"/>
    </row>
    <row r="25" spans="2:3" ht="15">
      <c r="B25" s="225" t="s">
        <v>436</v>
      </c>
      <c r="C25" s="226"/>
    </row>
    <row r="26" spans="2:4" ht="15">
      <c r="B26" s="225" t="s">
        <v>437</v>
      </c>
      <c r="C26" s="221"/>
      <c r="D26" s="221"/>
    </row>
    <row r="27" spans="2:3" ht="15">
      <c r="B27" s="225" t="s">
        <v>431</v>
      </c>
      <c r="C27" s="221"/>
    </row>
    <row r="28" spans="2:4" ht="15">
      <c r="B28" s="225" t="s">
        <v>432</v>
      </c>
      <c r="C28" s="224"/>
      <c r="D28" s="221"/>
    </row>
    <row r="29" spans="2:4" ht="15">
      <c r="B29" s="225" t="s">
        <v>438</v>
      </c>
      <c r="C29" s="224"/>
      <c r="D29" s="221"/>
    </row>
    <row r="30" spans="2:4" ht="15">
      <c r="B30" s="225"/>
      <c r="C30" s="224"/>
      <c r="D30" s="221"/>
    </row>
    <row r="31" spans="2:4" ht="15">
      <c r="B31" s="223" t="s">
        <v>439</v>
      </c>
      <c r="C31" s="224"/>
      <c r="D31" s="221"/>
    </row>
    <row r="32" spans="2:3" ht="15">
      <c r="B32" s="223"/>
      <c r="C32" s="221"/>
    </row>
    <row r="33" spans="2:3" ht="15">
      <c r="B33" s="223" t="s">
        <v>440</v>
      </c>
      <c r="C33" s="221"/>
    </row>
    <row r="34" spans="2:3" ht="15">
      <c r="B34" s="223" t="s">
        <v>441</v>
      </c>
      <c r="C34" s="221"/>
    </row>
    <row r="35" spans="2:3" ht="15">
      <c r="B35" s="223" t="s">
        <v>442</v>
      </c>
      <c r="C35" s="221"/>
    </row>
    <row r="36" spans="2:3" ht="15">
      <c r="B36" s="223" t="s">
        <v>443</v>
      </c>
      <c r="C36" s="221"/>
    </row>
    <row r="37" spans="2:3" ht="15">
      <c r="B37" s="223"/>
      <c r="C37" s="221"/>
    </row>
    <row r="38" ht="15">
      <c r="C38" s="224"/>
    </row>
    <row r="39" spans="2:3" ht="15">
      <c r="B39" s="196"/>
      <c r="C39" s="224"/>
    </row>
    <row r="40" spans="2:3" ht="15">
      <c r="B40" s="227" t="s">
        <v>681</v>
      </c>
      <c r="C40" s="224"/>
    </row>
    <row r="41" spans="2:7" ht="15">
      <c r="B41" t="s">
        <v>682</v>
      </c>
      <c r="D41" s="228"/>
      <c r="E41" s="228"/>
      <c r="F41" s="228"/>
      <c r="G41" s="228"/>
    </row>
    <row r="42" spans="2:5" ht="15.75" thickBot="1">
      <c r="B42" s="196"/>
      <c r="C42" s="224"/>
      <c r="E42" t="s">
        <v>444</v>
      </c>
    </row>
    <row r="43" spans="2:10" ht="16.5" customHeight="1">
      <c r="B43" s="681" t="s">
        <v>1</v>
      </c>
      <c r="C43" s="683" t="s">
        <v>445</v>
      </c>
      <c r="D43" s="685" t="s">
        <v>446</v>
      </c>
      <c r="E43" s="687" t="s">
        <v>5</v>
      </c>
      <c r="F43" s="688"/>
      <c r="G43" s="689" t="s">
        <v>6</v>
      </c>
      <c r="H43" s="691" t="s">
        <v>12</v>
      </c>
      <c r="I43" s="679" t="s">
        <v>7</v>
      </c>
      <c r="J43" s="680"/>
    </row>
    <row r="44" spans="2:10" ht="32.25" customHeight="1">
      <c r="B44" s="682"/>
      <c r="C44" s="684"/>
      <c r="D44" s="686"/>
      <c r="E44" s="290" t="s">
        <v>10</v>
      </c>
      <c r="F44" s="291" t="s">
        <v>11</v>
      </c>
      <c r="G44" s="690"/>
      <c r="H44" s="692"/>
      <c r="I44" s="290" t="s">
        <v>10</v>
      </c>
      <c r="J44" s="294" t="s">
        <v>11</v>
      </c>
    </row>
    <row r="45" spans="2:10" ht="15">
      <c r="B45" s="288" t="s">
        <v>447</v>
      </c>
      <c r="C45" s="285">
        <v>80623</v>
      </c>
      <c r="D45" s="248"/>
      <c r="E45" s="286">
        <v>359.16879455612184</v>
      </c>
      <c r="F45" s="250"/>
      <c r="G45" s="295">
        <v>0</v>
      </c>
      <c r="H45" s="235">
        <v>0</v>
      </c>
      <c r="I45" s="286">
        <v>359.16879455612184</v>
      </c>
      <c r="J45" s="260"/>
    </row>
    <row r="46" spans="2:10" ht="15">
      <c r="B46" s="288" t="s">
        <v>448</v>
      </c>
      <c r="C46" s="286">
        <v>448142</v>
      </c>
      <c r="D46" s="252"/>
      <c r="E46" s="286">
        <v>2501.925420549316</v>
      </c>
      <c r="F46" s="253"/>
      <c r="G46" s="288">
        <v>245</v>
      </c>
      <c r="H46" s="239">
        <v>0</v>
      </c>
      <c r="I46" s="286">
        <v>2501.925420549316</v>
      </c>
      <c r="J46" s="250"/>
    </row>
    <row r="47" spans="2:10" ht="15">
      <c r="B47" s="288" t="s">
        <v>449</v>
      </c>
      <c r="C47" s="286">
        <v>3500</v>
      </c>
      <c r="D47" s="252"/>
      <c r="E47" s="286">
        <v>11.50831032399815</v>
      </c>
      <c r="F47" s="253"/>
      <c r="G47" s="247"/>
      <c r="H47" s="239"/>
      <c r="I47" s="286">
        <v>11.50831032399815</v>
      </c>
      <c r="J47" s="250"/>
    </row>
    <row r="48" spans="2:10" ht="15">
      <c r="B48" s="288" t="s">
        <v>450</v>
      </c>
      <c r="C48" s="286" t="s">
        <v>451</v>
      </c>
      <c r="D48" s="252"/>
      <c r="E48" s="254"/>
      <c r="F48" s="253"/>
      <c r="G48" s="288">
        <v>0</v>
      </c>
      <c r="H48" s="239">
        <v>0</v>
      </c>
      <c r="I48" s="261"/>
      <c r="J48" s="250"/>
    </row>
    <row r="49" spans="2:10" ht="15.75" thickBot="1">
      <c r="B49" s="289" t="s">
        <v>440</v>
      </c>
      <c r="C49" s="255"/>
      <c r="D49" s="256"/>
      <c r="E49" s="300">
        <v>-30.08342390989</v>
      </c>
      <c r="F49" s="258"/>
      <c r="G49" s="251"/>
      <c r="H49" s="235"/>
      <c r="I49" s="300">
        <v>-30.08342390989</v>
      </c>
      <c r="J49" s="262"/>
    </row>
    <row r="50" spans="2:10" ht="15.75" thickBot="1">
      <c r="B50" s="287" t="s">
        <v>9</v>
      </c>
      <c r="C50" s="287">
        <f>C45+C46+C47</f>
        <v>532265</v>
      </c>
      <c r="D50" s="259"/>
      <c r="E50" s="292">
        <f>SUM(E45:E49)</f>
        <v>2842.519101519546</v>
      </c>
      <c r="F50" s="298">
        <f>E50*D55/E55</f>
        <v>2851.639394326106</v>
      </c>
      <c r="G50" s="293">
        <f>G46</f>
        <v>245</v>
      </c>
      <c r="H50" s="243">
        <v>0</v>
      </c>
      <c r="I50" s="287">
        <f>E50+G50-H50</f>
        <v>3087.519101519546</v>
      </c>
      <c r="J50" s="299">
        <f>I50*D55/E55</f>
        <v>3097.4254828827006</v>
      </c>
    </row>
    <row r="51" spans="2:10" ht="15">
      <c r="B51" s="271"/>
      <c r="C51" s="271"/>
      <c r="D51" s="272"/>
      <c r="E51" s="273"/>
      <c r="F51" s="273"/>
      <c r="G51" s="274"/>
      <c r="H51" s="307"/>
      <c r="I51" s="271"/>
      <c r="J51" s="271"/>
    </row>
    <row r="52" spans="3:10" ht="15">
      <c r="C52" s="225"/>
      <c r="E52" s="244"/>
      <c r="F52" s="244"/>
      <c r="H52" s="225"/>
      <c r="I52" s="225"/>
      <c r="J52" s="225"/>
    </row>
    <row r="53" spans="3:10" ht="15">
      <c r="C53" s="225"/>
      <c r="E53" s="244"/>
      <c r="F53" s="244"/>
      <c r="H53" s="225"/>
      <c r="I53" s="225"/>
      <c r="J53" s="225"/>
    </row>
    <row r="54" spans="2:10" s="268" customFormat="1" ht="15">
      <c r="B54" s="296"/>
      <c r="C54" s="283">
        <v>2015</v>
      </c>
      <c r="D54" s="283">
        <v>2019</v>
      </c>
      <c r="E54" s="283">
        <v>2020</v>
      </c>
      <c r="F54" s="275"/>
      <c r="H54" s="270"/>
      <c r="I54" s="270"/>
      <c r="J54" s="270"/>
    </row>
    <row r="55" spans="2:10" s="268" customFormat="1" ht="15">
      <c r="B55" s="297" t="s">
        <v>453</v>
      </c>
      <c r="C55" s="284">
        <v>100</v>
      </c>
      <c r="D55" s="284">
        <v>91.5646708720836</v>
      </c>
      <c r="E55" s="284">
        <v>91.27182297176658</v>
      </c>
      <c r="F55" s="275"/>
      <c r="H55" s="270"/>
      <c r="I55" s="270"/>
      <c r="J55" s="270"/>
    </row>
    <row r="56" spans="3:10" s="268" customFormat="1" ht="15">
      <c r="C56" s="270"/>
      <c r="E56" s="275"/>
      <c r="F56" s="275"/>
      <c r="H56" s="270"/>
      <c r="I56" s="270"/>
      <c r="J56" s="270"/>
    </row>
    <row r="57" s="268" customFormat="1" ht="15.75" thickBot="1"/>
    <row r="58" spans="2:3" s="268" customFormat="1" ht="15.75" thickBot="1">
      <c r="B58" s="301"/>
      <c r="C58" s="302">
        <v>2020</v>
      </c>
    </row>
    <row r="59" spans="2:3" s="268" customFormat="1" ht="15">
      <c r="B59" s="303" t="s">
        <v>453</v>
      </c>
      <c r="C59" s="304">
        <v>91.3</v>
      </c>
    </row>
    <row r="60" spans="2:3" s="268" customFormat="1" ht="15.75" thickBot="1">
      <c r="B60" s="305" t="s">
        <v>454</v>
      </c>
      <c r="C60" s="306">
        <v>103.0615172922888</v>
      </c>
    </row>
    <row r="61" s="268" customFormat="1" ht="15"/>
  </sheetData>
  <mergeCells count="7">
    <mergeCell ref="I43:J43"/>
    <mergeCell ref="B43:B44"/>
    <mergeCell ref="C43:C44"/>
    <mergeCell ref="D43:D44"/>
    <mergeCell ref="E43:F43"/>
    <mergeCell ref="G43:G44"/>
    <mergeCell ref="H43:H4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4"/>
  <sheetViews>
    <sheetView workbookViewId="0" topLeftCell="A16">
      <selection activeCell="B25" sqref="B25"/>
    </sheetView>
  </sheetViews>
  <sheetFormatPr defaultColWidth="9.140625" defaultRowHeight="15"/>
  <cols>
    <col min="1" max="1" width="2.28125" style="0" customWidth="1"/>
    <col min="2" max="2" width="56.421875" style="0" customWidth="1"/>
    <col min="3" max="3" width="28.7109375" style="0" bestFit="1" customWidth="1"/>
    <col min="4" max="4" width="11.00390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ht="18.75">
      <c r="B1" s="1" t="s">
        <v>70</v>
      </c>
    </row>
    <row r="2" ht="15">
      <c r="B2" s="217"/>
    </row>
    <row r="3" spans="2:3" ht="15">
      <c r="B3" s="218" t="s">
        <v>468</v>
      </c>
      <c r="C3" t="s">
        <v>455</v>
      </c>
    </row>
    <row r="4" spans="2:3" ht="15">
      <c r="B4" s="219"/>
      <c r="C4" t="s">
        <v>456</v>
      </c>
    </row>
    <row r="5" ht="14.25" customHeight="1">
      <c r="C5" t="s">
        <v>421</v>
      </c>
    </row>
    <row r="6" ht="14.25" customHeight="1"/>
    <row r="7" spans="3:4" ht="16.5" customHeight="1">
      <c r="C7" s="220"/>
      <c r="D7" s="220"/>
    </row>
    <row r="8" spans="2:9" ht="15">
      <c r="B8" s="196" t="s">
        <v>0</v>
      </c>
      <c r="C8" s="221"/>
      <c r="F8" s="196"/>
      <c r="G8" s="196"/>
      <c r="H8" s="196"/>
      <c r="I8" s="196"/>
    </row>
    <row r="9" spans="2:3" ht="15">
      <c r="B9" s="225" t="s">
        <v>457</v>
      </c>
      <c r="C9" s="221"/>
    </row>
    <row r="10" spans="2:3" ht="15">
      <c r="B10" s="225" t="s">
        <v>458</v>
      </c>
      <c r="C10" s="221"/>
    </row>
    <row r="11" spans="2:3" ht="15">
      <c r="B11" s="225"/>
      <c r="C11" s="221"/>
    </row>
    <row r="12" spans="2:9" ht="15">
      <c r="B12" s="225" t="s">
        <v>459</v>
      </c>
      <c r="C12" s="221"/>
      <c r="F12" s="196"/>
      <c r="G12" s="196"/>
      <c r="H12" s="196"/>
      <c r="I12" s="196"/>
    </row>
    <row r="13" spans="2:3" ht="15">
      <c r="B13" s="225" t="s">
        <v>488</v>
      </c>
      <c r="C13" s="221"/>
    </row>
    <row r="14" spans="2:3" ht="15">
      <c r="B14" s="225" t="s">
        <v>460</v>
      </c>
      <c r="C14" s="221"/>
    </row>
    <row r="15" spans="2:3" ht="15">
      <c r="B15" s="225" t="s">
        <v>461</v>
      </c>
      <c r="C15" s="221"/>
    </row>
    <row r="16" spans="2:3" ht="15">
      <c r="B16" s="225" t="s">
        <v>462</v>
      </c>
      <c r="C16" s="221"/>
    </row>
    <row r="17" spans="2:3" ht="15">
      <c r="B17" s="225" t="s">
        <v>463</v>
      </c>
      <c r="C17" s="221"/>
    </row>
    <row r="18" spans="2:3" ht="15">
      <c r="B18" s="225"/>
      <c r="C18" s="221"/>
    </row>
    <row r="19" spans="2:3" ht="15">
      <c r="B19" s="225"/>
      <c r="C19" s="221"/>
    </row>
    <row r="20" spans="2:3" ht="15">
      <c r="B20" s="223" t="s">
        <v>439</v>
      </c>
      <c r="C20" s="221"/>
    </row>
    <row r="21" spans="2:3" ht="15">
      <c r="B21" s="223" t="s">
        <v>464</v>
      </c>
      <c r="C21" s="221"/>
    </row>
    <row r="22" spans="2:3" ht="15">
      <c r="B22" s="196"/>
      <c r="C22" s="224"/>
    </row>
    <row r="23" spans="2:3" ht="15">
      <c r="B23" s="196"/>
      <c r="C23" s="224"/>
    </row>
    <row r="24" spans="2:3" ht="15">
      <c r="B24" s="227" t="s">
        <v>683</v>
      </c>
      <c r="C24" s="224"/>
    </row>
    <row r="25" spans="2:3" ht="15">
      <c r="B25" t="s">
        <v>682</v>
      </c>
      <c r="C25" s="224"/>
    </row>
    <row r="26" spans="2:5" ht="15.75" thickBot="1">
      <c r="B26" s="196"/>
      <c r="C26" s="224"/>
      <c r="E26" t="s">
        <v>444</v>
      </c>
    </row>
    <row r="27" spans="2:10" ht="16.5" customHeight="1">
      <c r="B27" s="681" t="s">
        <v>1</v>
      </c>
      <c r="C27" s="683" t="s">
        <v>465</v>
      </c>
      <c r="D27" s="685" t="s">
        <v>446</v>
      </c>
      <c r="E27" s="687" t="s">
        <v>5</v>
      </c>
      <c r="F27" s="688"/>
      <c r="G27" s="689" t="s">
        <v>6</v>
      </c>
      <c r="H27" s="693" t="s">
        <v>12</v>
      </c>
      <c r="I27" s="679" t="s">
        <v>7</v>
      </c>
      <c r="J27" s="680"/>
    </row>
    <row r="28" spans="2:10" ht="15">
      <c r="B28" s="682"/>
      <c r="C28" s="684"/>
      <c r="D28" s="686"/>
      <c r="E28" s="311" t="s">
        <v>10</v>
      </c>
      <c r="F28" s="291" t="s">
        <v>11</v>
      </c>
      <c r="G28" s="690"/>
      <c r="H28" s="694"/>
      <c r="I28" s="311" t="s">
        <v>10</v>
      </c>
      <c r="J28" s="294" t="s">
        <v>11</v>
      </c>
    </row>
    <row r="29" spans="2:10" ht="15">
      <c r="B29" s="288" t="s">
        <v>466</v>
      </c>
      <c r="C29" s="285">
        <v>15035.87</v>
      </c>
      <c r="D29" s="248"/>
      <c r="E29" s="286">
        <v>6811.572865259762</v>
      </c>
      <c r="F29" s="250"/>
      <c r="G29" s="295">
        <v>0</v>
      </c>
      <c r="H29" s="308">
        <v>0</v>
      </c>
      <c r="I29" s="286">
        <f>E29</f>
        <v>6811.572865259762</v>
      </c>
      <c r="J29" s="260"/>
    </row>
    <row r="30" spans="2:10" ht="15">
      <c r="B30" s="288" t="s">
        <v>448</v>
      </c>
      <c r="C30" s="286">
        <v>17278.94358</v>
      </c>
      <c r="D30" s="252"/>
      <c r="E30" s="312">
        <v>20867.6</v>
      </c>
      <c r="F30" s="253"/>
      <c r="G30" s="288">
        <v>0</v>
      </c>
      <c r="H30" s="309">
        <v>0</v>
      </c>
      <c r="I30" s="286">
        <f>E30</f>
        <v>20867.6</v>
      </c>
      <c r="J30" s="250"/>
    </row>
    <row r="31" spans="2:10" ht="15">
      <c r="B31" s="604" t="s">
        <v>449</v>
      </c>
      <c r="C31" s="286">
        <v>3</v>
      </c>
      <c r="D31" s="252"/>
      <c r="E31" s="312">
        <v>2.663760183299389</v>
      </c>
      <c r="F31" s="253"/>
      <c r="G31" s="288">
        <v>0</v>
      </c>
      <c r="H31" s="309">
        <v>0</v>
      </c>
      <c r="I31" s="312">
        <v>2.663760183299389</v>
      </c>
      <c r="J31" s="250"/>
    </row>
    <row r="32" spans="2:10" ht="15">
      <c r="B32" s="288" t="s">
        <v>462</v>
      </c>
      <c r="C32" s="286">
        <v>32.59312358</v>
      </c>
      <c r="D32" s="252"/>
      <c r="E32" s="312">
        <v>-2.2306338955544645</v>
      </c>
      <c r="F32" s="253"/>
      <c r="G32" s="288">
        <v>0</v>
      </c>
      <c r="H32" s="309">
        <v>0</v>
      </c>
      <c r="I32" s="286">
        <v>-2.2306338955544645</v>
      </c>
      <c r="J32" s="250"/>
    </row>
    <row r="33" spans="2:10" ht="15">
      <c r="B33" s="605" t="s">
        <v>450</v>
      </c>
      <c r="C33" s="286" t="s">
        <v>451</v>
      </c>
      <c r="D33" s="252"/>
      <c r="E33" s="266"/>
      <c r="F33" s="253"/>
      <c r="G33" s="288">
        <v>0</v>
      </c>
      <c r="H33" s="309">
        <v>0</v>
      </c>
      <c r="I33" s="269"/>
      <c r="J33" s="250"/>
    </row>
    <row r="34" spans="2:10" ht="15.75" thickBot="1">
      <c r="B34" s="607" t="s">
        <v>467</v>
      </c>
      <c r="C34" s="255"/>
      <c r="D34" s="256"/>
      <c r="E34" s="300">
        <v>334.11603333333335</v>
      </c>
      <c r="F34" s="258"/>
      <c r="G34" s="295"/>
      <c r="H34" s="308"/>
      <c r="I34" s="300">
        <v>334.11603333333335</v>
      </c>
      <c r="J34" s="262"/>
    </row>
    <row r="35" spans="2:10" ht="16.5" thickBot="1" thickTop="1">
      <c r="B35" s="606" t="s">
        <v>9</v>
      </c>
      <c r="C35" s="287">
        <f>C29+C30+C31+C32</f>
        <v>32350.406703580004</v>
      </c>
      <c r="D35" s="259"/>
      <c r="E35" s="292">
        <f>E29+E30+E31+E32+E33</f>
        <v>27679.605991547505</v>
      </c>
      <c r="F35" s="298">
        <f>E35*D40/E40</f>
        <v>26323.998120674103</v>
      </c>
      <c r="G35" s="293">
        <v>0</v>
      </c>
      <c r="H35" s="310">
        <v>0</v>
      </c>
      <c r="I35" s="287">
        <f>E35+G35-H35</f>
        <v>27679.605991547505</v>
      </c>
      <c r="J35" s="299">
        <f>I35*D40/E40</f>
        <v>26323.998120674103</v>
      </c>
    </row>
    <row r="36" spans="2:10" ht="15">
      <c r="B36" s="268"/>
      <c r="C36" s="270"/>
      <c r="D36" s="268"/>
      <c r="E36" s="270"/>
      <c r="F36" s="270"/>
      <c r="G36" s="268"/>
      <c r="H36" s="270"/>
      <c r="I36" s="270"/>
      <c r="J36" s="270"/>
    </row>
    <row r="37" spans="2:10" ht="15">
      <c r="B37" s="268"/>
      <c r="C37" s="268"/>
      <c r="D37" s="268"/>
      <c r="E37" s="268"/>
      <c r="F37" s="268"/>
      <c r="G37" s="268"/>
      <c r="H37" s="268"/>
      <c r="I37" s="268"/>
      <c r="J37" s="268"/>
    </row>
    <row r="39" spans="2:5" ht="15">
      <c r="B39" s="245"/>
      <c r="C39" s="283">
        <v>2015</v>
      </c>
      <c r="D39" s="283">
        <v>2019</v>
      </c>
      <c r="E39" s="283">
        <v>2020</v>
      </c>
    </row>
    <row r="40" spans="2:5" ht="15">
      <c r="B40" s="246" t="s">
        <v>469</v>
      </c>
      <c r="C40" s="284">
        <v>100</v>
      </c>
      <c r="D40" s="284">
        <v>120.38043478260869</v>
      </c>
      <c r="E40" s="284">
        <v>126.57967032967032</v>
      </c>
    </row>
    <row r="41" ht="15.75" thickBot="1">
      <c r="B41" s="196"/>
    </row>
    <row r="42" spans="2:3" ht="15.75" thickBot="1">
      <c r="B42" s="86"/>
      <c r="C42" s="89">
        <v>2020</v>
      </c>
    </row>
    <row r="43" spans="2:3" ht="15">
      <c r="B43" s="170" t="s">
        <v>604</v>
      </c>
      <c r="C43" s="90">
        <v>126.57967032967032</v>
      </c>
    </row>
    <row r="44" spans="2:3" ht="15.75" thickBot="1">
      <c r="B44" s="171" t="s">
        <v>605</v>
      </c>
      <c r="C44" s="27">
        <v>100.90153745295176</v>
      </c>
    </row>
  </sheetData>
  <mergeCells count="7">
    <mergeCell ref="I27:J27"/>
    <mergeCell ref="B27:B28"/>
    <mergeCell ref="C27:C28"/>
    <mergeCell ref="D27:D28"/>
    <mergeCell ref="E27:F27"/>
    <mergeCell ref="G27:G28"/>
    <mergeCell ref="H27:H2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2"/>
  <sheetViews>
    <sheetView workbookViewId="0" topLeftCell="A7">
      <selection activeCell="B23" sqref="B23"/>
    </sheetView>
  </sheetViews>
  <sheetFormatPr defaultColWidth="9.140625" defaultRowHeight="15"/>
  <cols>
    <col min="1" max="1" width="2.28125" style="0" customWidth="1"/>
    <col min="2" max="2" width="67.7109375" style="0" customWidth="1"/>
    <col min="3" max="3" width="31.7109375" style="0" bestFit="1" customWidth="1"/>
    <col min="4" max="4" width="11.00390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ht="18.75">
      <c r="B1" s="1" t="s">
        <v>486</v>
      </c>
    </row>
    <row r="2" ht="15">
      <c r="B2" s="217"/>
    </row>
    <row r="3" spans="2:3" ht="15">
      <c r="B3" s="218" t="s">
        <v>487</v>
      </c>
      <c r="C3" t="s">
        <v>455</v>
      </c>
    </row>
    <row r="4" spans="2:3" ht="15">
      <c r="B4" s="219"/>
      <c r="C4" t="s">
        <v>456</v>
      </c>
    </row>
    <row r="5" ht="14.25" customHeight="1">
      <c r="C5" t="s">
        <v>421</v>
      </c>
    </row>
    <row r="6" ht="14.25" customHeight="1"/>
    <row r="7" spans="3:4" ht="16.5" customHeight="1">
      <c r="C7" s="220"/>
      <c r="D7" s="220"/>
    </row>
    <row r="8" spans="2:9" ht="15">
      <c r="B8" s="196" t="s">
        <v>0</v>
      </c>
      <c r="C8" t="s">
        <v>421</v>
      </c>
      <c r="F8" s="196"/>
      <c r="G8" s="196"/>
      <c r="H8" s="196"/>
      <c r="I8" s="196"/>
    </row>
    <row r="9" spans="2:3" ht="15">
      <c r="B9" s="225" t="s">
        <v>458</v>
      </c>
      <c r="C9" s="633">
        <v>335.90132534717</v>
      </c>
    </row>
    <row r="10" spans="2:3" ht="15">
      <c r="B10" s="225" t="s">
        <v>599</v>
      </c>
      <c r="C10" s="633">
        <v>247.98416274545448</v>
      </c>
    </row>
    <row r="11" spans="2:9" ht="15">
      <c r="B11" s="631" t="s">
        <v>489</v>
      </c>
      <c r="C11" s="632">
        <v>1442.8537575364758</v>
      </c>
      <c r="F11" s="196"/>
      <c r="G11" s="196"/>
      <c r="H11" s="196"/>
      <c r="I11" s="196"/>
    </row>
    <row r="12" spans="2:3" ht="15">
      <c r="B12" s="225" t="s">
        <v>498</v>
      </c>
      <c r="C12" s="630">
        <v>1417.0606089519874</v>
      </c>
    </row>
    <row r="13" spans="2:3" ht="15">
      <c r="B13" s="225" t="s">
        <v>499</v>
      </c>
      <c r="C13" s="630">
        <v>0.04986279141104293</v>
      </c>
    </row>
    <row r="14" spans="2:3" ht="15">
      <c r="B14" s="225" t="s">
        <v>597</v>
      </c>
      <c r="C14" s="630">
        <v>24.892959246923077</v>
      </c>
    </row>
    <row r="15" spans="2:3" ht="15">
      <c r="B15" s="225" t="s">
        <v>497</v>
      </c>
      <c r="C15" s="630">
        <v>0.5524186246153846</v>
      </c>
    </row>
    <row r="16" spans="2:3" ht="15">
      <c r="B16" s="225" t="s">
        <v>496</v>
      </c>
      <c r="C16" s="630">
        <v>0.2979079215384616</v>
      </c>
    </row>
    <row r="17" spans="2:3" ht="15">
      <c r="B17" s="225"/>
      <c r="C17" s="630"/>
    </row>
    <row r="18" spans="2:3" ht="15">
      <c r="B18" s="225" t="s">
        <v>492</v>
      </c>
      <c r="C18" s="630">
        <v>1.5256090712202697</v>
      </c>
    </row>
    <row r="19" ht="15">
      <c r="C19" s="221"/>
    </row>
    <row r="20" spans="2:7" ht="15">
      <c r="B20" s="225" t="s">
        <v>598</v>
      </c>
      <c r="C20" s="632">
        <v>2028.2648547003205</v>
      </c>
      <c r="G20" s="630"/>
    </row>
    <row r="21" spans="2:3" ht="15">
      <c r="B21" s="196"/>
      <c r="C21" s="224"/>
    </row>
    <row r="22" spans="2:3" ht="15">
      <c r="B22" s="227" t="s">
        <v>684</v>
      </c>
      <c r="C22" s="224"/>
    </row>
    <row r="23" spans="2:3" ht="15">
      <c r="B23" t="s">
        <v>682</v>
      </c>
      <c r="C23" s="224"/>
    </row>
    <row r="24" spans="2:5" ht="15.75" thickBot="1">
      <c r="B24" s="196"/>
      <c r="C24" s="224"/>
      <c r="E24" t="s">
        <v>444</v>
      </c>
    </row>
    <row r="25" spans="2:10" ht="16.5" customHeight="1">
      <c r="B25" s="681" t="s">
        <v>1</v>
      </c>
      <c r="C25" s="683" t="s">
        <v>465</v>
      </c>
      <c r="D25" s="685" t="s">
        <v>446</v>
      </c>
      <c r="E25" s="687" t="s">
        <v>5</v>
      </c>
      <c r="F25" s="688"/>
      <c r="G25" s="689" t="s">
        <v>6</v>
      </c>
      <c r="H25" s="693" t="s">
        <v>12</v>
      </c>
      <c r="I25" s="679" t="s">
        <v>7</v>
      </c>
      <c r="J25" s="680"/>
    </row>
    <row r="26" spans="2:10" ht="15">
      <c r="B26" s="682"/>
      <c r="C26" s="684"/>
      <c r="D26" s="686"/>
      <c r="E26" s="311" t="s">
        <v>10</v>
      </c>
      <c r="F26" s="291" t="s">
        <v>11</v>
      </c>
      <c r="G26" s="690"/>
      <c r="H26" s="694"/>
      <c r="I26" s="311" t="s">
        <v>10</v>
      </c>
      <c r="J26" s="294" t="s">
        <v>11</v>
      </c>
    </row>
    <row r="27" spans="2:10" ht="15">
      <c r="B27" s="247" t="s">
        <v>466</v>
      </c>
      <c r="C27" s="285"/>
      <c r="D27" s="248"/>
      <c r="E27" s="286"/>
      <c r="F27" s="250"/>
      <c r="G27" s="295">
        <v>0</v>
      </c>
      <c r="H27" s="308">
        <v>0</v>
      </c>
      <c r="I27" s="312">
        <f aca="true" t="shared" si="0" ref="I27:I28">E27</f>
        <v>0</v>
      </c>
      <c r="J27" s="260"/>
    </row>
    <row r="28" spans="2:10" ht="15">
      <c r="B28" s="247" t="s">
        <v>448</v>
      </c>
      <c r="C28" s="285"/>
      <c r="D28" s="252"/>
      <c r="E28" s="312"/>
      <c r="F28" s="253"/>
      <c r="G28" s="288">
        <v>0</v>
      </c>
      <c r="H28" s="309">
        <v>0</v>
      </c>
      <c r="I28" s="312">
        <f t="shared" si="0"/>
        <v>0</v>
      </c>
      <c r="J28" s="250"/>
    </row>
    <row r="29" spans="2:10" ht="15">
      <c r="B29" s="247" t="s">
        <v>491</v>
      </c>
      <c r="C29" s="286"/>
      <c r="D29" s="252"/>
      <c r="E29" s="312"/>
      <c r="F29" s="253"/>
      <c r="G29" s="288">
        <v>0</v>
      </c>
      <c r="H29" s="309">
        <v>0</v>
      </c>
      <c r="I29" s="312">
        <f>E29</f>
        <v>0</v>
      </c>
      <c r="J29" s="250"/>
    </row>
    <row r="30" spans="2:10" ht="15">
      <c r="B30" s="288"/>
      <c r="C30" s="249"/>
      <c r="D30" s="252"/>
      <c r="E30" s="266"/>
      <c r="F30" s="253"/>
      <c r="G30" s="288">
        <v>0</v>
      </c>
      <c r="H30" s="309">
        <v>0</v>
      </c>
      <c r="I30" s="249"/>
      <c r="J30" s="250"/>
    </row>
    <row r="31" spans="2:10" ht="15">
      <c r="B31" s="288" t="s">
        <v>450</v>
      </c>
      <c r="C31" s="286" t="s">
        <v>451</v>
      </c>
      <c r="D31" s="252"/>
      <c r="E31" s="266"/>
      <c r="F31" s="253"/>
      <c r="G31" s="288">
        <v>0</v>
      </c>
      <c r="H31" s="309">
        <v>0</v>
      </c>
      <c r="I31" s="269"/>
      <c r="J31" s="250"/>
    </row>
    <row r="32" spans="2:10" ht="15.75" thickBot="1">
      <c r="B32" s="607" t="s">
        <v>493</v>
      </c>
      <c r="C32" s="255"/>
      <c r="D32" s="256"/>
      <c r="E32" s="300">
        <v>0</v>
      </c>
      <c r="F32" s="258"/>
      <c r="G32" s="295"/>
      <c r="H32" s="308"/>
      <c r="I32" s="257"/>
      <c r="J32" s="262"/>
    </row>
    <row r="33" spans="2:10" ht="16.5" thickBot="1" thickTop="1">
      <c r="B33" s="606" t="s">
        <v>9</v>
      </c>
      <c r="C33" s="287">
        <f>C27+C28+C29+C30</f>
        <v>0</v>
      </c>
      <c r="D33" s="317"/>
      <c r="E33" s="292">
        <v>2028.2648547003205</v>
      </c>
      <c r="F33" s="298">
        <f>E33*D38/E38</f>
        <v>2111.0174963887816</v>
      </c>
      <c r="G33" s="293">
        <v>0</v>
      </c>
      <c r="H33" s="310">
        <v>0</v>
      </c>
      <c r="I33" s="287">
        <f>E33+G33-H33</f>
        <v>2028.2648547003205</v>
      </c>
      <c r="J33" s="299">
        <f>I33*D38/E38</f>
        <v>2111.0174963887816</v>
      </c>
    </row>
    <row r="34" spans="2:10" ht="15">
      <c r="B34" s="318"/>
      <c r="C34" s="270"/>
      <c r="D34" s="268"/>
      <c r="E34" s="270"/>
      <c r="F34" s="270"/>
      <c r="G34" s="268"/>
      <c r="H34" s="270"/>
      <c r="I34" s="270"/>
      <c r="J34" s="270"/>
    </row>
    <row r="35" spans="2:10" ht="15">
      <c r="B35" s="268"/>
      <c r="C35" s="268"/>
      <c r="D35" s="268"/>
      <c r="E35" s="268"/>
      <c r="F35" s="319"/>
      <c r="G35" s="268"/>
      <c r="H35" s="268"/>
      <c r="I35" s="268"/>
      <c r="J35" s="268"/>
    </row>
    <row r="37" spans="2:5" ht="15">
      <c r="B37" s="245"/>
      <c r="C37" s="283">
        <v>2015</v>
      </c>
      <c r="D37" s="283">
        <v>2019</v>
      </c>
      <c r="E37" s="283">
        <v>2020</v>
      </c>
    </row>
    <row r="38" spans="2:5" ht="15">
      <c r="B38" s="246" t="s">
        <v>490</v>
      </c>
      <c r="C38" s="284">
        <v>100</v>
      </c>
      <c r="D38" s="284">
        <v>98.22028866450357</v>
      </c>
      <c r="E38" s="284">
        <v>94.37001818200163</v>
      </c>
    </row>
    <row r="39" ht="15.75" thickBot="1">
      <c r="B39" s="196"/>
    </row>
    <row r="40" spans="2:3" ht="15.75" thickBot="1">
      <c r="B40" s="86"/>
      <c r="C40" s="89">
        <v>2020</v>
      </c>
    </row>
    <row r="41" spans="2:3" ht="15">
      <c r="B41" s="170" t="s">
        <v>412</v>
      </c>
      <c r="C41" s="90">
        <v>94.37001818200163</v>
      </c>
    </row>
    <row r="42" spans="2:3" ht="15.75" thickBot="1">
      <c r="B42" s="171" t="s">
        <v>413</v>
      </c>
      <c r="C42" s="27">
        <v>107.74684408531094</v>
      </c>
    </row>
  </sheetData>
  <mergeCells count="7">
    <mergeCell ref="I25:J25"/>
    <mergeCell ref="B25:B26"/>
    <mergeCell ref="C25:C26"/>
    <mergeCell ref="D25:D26"/>
    <mergeCell ref="E25:F25"/>
    <mergeCell ref="G25:G26"/>
    <mergeCell ref="H25:H2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35"/>
  <sheetViews>
    <sheetView workbookViewId="0" topLeftCell="A1">
      <selection activeCell="B16" sqref="B16"/>
    </sheetView>
  </sheetViews>
  <sheetFormatPr defaultColWidth="9.140625" defaultRowHeight="15"/>
  <cols>
    <col min="1" max="1" width="2.28125" style="0" customWidth="1"/>
    <col min="2" max="2" width="56.421875" style="0" customWidth="1"/>
    <col min="3" max="3" width="31.7109375" style="0" bestFit="1" customWidth="1"/>
    <col min="4" max="4" width="11.00390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ht="18.75">
      <c r="B1" s="1" t="s">
        <v>590</v>
      </c>
    </row>
    <row r="2" ht="15">
      <c r="B2" s="217"/>
    </row>
    <row r="3" spans="2:3" ht="15">
      <c r="B3" s="218" t="s">
        <v>591</v>
      </c>
      <c r="C3" t="s">
        <v>455</v>
      </c>
    </row>
    <row r="4" spans="2:3" ht="15">
      <c r="B4" s="219"/>
      <c r="C4" t="s">
        <v>456</v>
      </c>
    </row>
    <row r="5" ht="14.25" customHeight="1">
      <c r="C5" t="s">
        <v>421</v>
      </c>
    </row>
    <row r="6" ht="14.25" customHeight="1"/>
    <row r="7" spans="3:4" ht="16.5" customHeight="1">
      <c r="C7" s="220"/>
      <c r="D7" s="220"/>
    </row>
    <row r="8" spans="2:9" ht="15">
      <c r="B8" s="196" t="s">
        <v>0</v>
      </c>
      <c r="C8" s="221"/>
      <c r="F8" s="196"/>
      <c r="G8" s="196"/>
      <c r="H8" s="196"/>
      <c r="I8" s="196"/>
    </row>
    <row r="9" spans="2:3" ht="15">
      <c r="B9" s="225"/>
      <c r="C9" t="s">
        <v>421</v>
      </c>
    </row>
    <row r="10" spans="2:9" ht="15">
      <c r="B10" s="225" t="s">
        <v>489</v>
      </c>
      <c r="C10" s="630">
        <f>37625.9719046025/1000</f>
        <v>37.6259719046025</v>
      </c>
      <c r="F10" s="196"/>
      <c r="G10" s="196"/>
      <c r="H10" s="196"/>
      <c r="I10" s="196"/>
    </row>
    <row r="11" spans="2:3" ht="15">
      <c r="B11" s="225" t="s">
        <v>407</v>
      </c>
      <c r="C11" s="630">
        <f>C12-C10</f>
        <v>0.3766064043444999</v>
      </c>
    </row>
    <row r="12" spans="2:3" ht="15">
      <c r="B12" s="225" t="s">
        <v>600</v>
      </c>
      <c r="C12" s="630">
        <f>38002.578308947/1000</f>
        <v>38.002578308947</v>
      </c>
    </row>
    <row r="13" spans="2:3" ht="15">
      <c r="B13" s="196"/>
      <c r="C13" s="224"/>
    </row>
    <row r="14" spans="2:3" ht="15">
      <c r="B14" s="196"/>
      <c r="C14" s="224"/>
    </row>
    <row r="15" spans="2:3" ht="15">
      <c r="B15" s="169" t="s">
        <v>685</v>
      </c>
      <c r="C15" s="224"/>
    </row>
    <row r="16" spans="2:3" ht="15">
      <c r="B16" t="s">
        <v>686</v>
      </c>
      <c r="C16" s="224"/>
    </row>
    <row r="17" spans="2:5" ht="15.75" thickBot="1">
      <c r="B17" s="196"/>
      <c r="C17" s="224"/>
      <c r="E17" t="s">
        <v>444</v>
      </c>
    </row>
    <row r="18" spans="2:10" ht="16.5" customHeight="1">
      <c r="B18" s="681" t="s">
        <v>1</v>
      </c>
      <c r="C18" s="683" t="s">
        <v>465</v>
      </c>
      <c r="D18" s="685" t="s">
        <v>446</v>
      </c>
      <c r="E18" s="687" t="s">
        <v>5</v>
      </c>
      <c r="F18" s="688"/>
      <c r="G18" s="689" t="s">
        <v>6</v>
      </c>
      <c r="H18" s="693" t="s">
        <v>12</v>
      </c>
      <c r="I18" s="679" t="s">
        <v>7</v>
      </c>
      <c r="J18" s="680"/>
    </row>
    <row r="19" spans="2:10" ht="15">
      <c r="B19" s="682"/>
      <c r="C19" s="684"/>
      <c r="D19" s="686"/>
      <c r="E19" s="311" t="s">
        <v>10</v>
      </c>
      <c r="F19" s="291" t="s">
        <v>11</v>
      </c>
      <c r="G19" s="690"/>
      <c r="H19" s="694"/>
      <c r="I19" s="311" t="s">
        <v>10</v>
      </c>
      <c r="J19" s="294" t="s">
        <v>11</v>
      </c>
    </row>
    <row r="20" spans="2:10" ht="15">
      <c r="B20" s="288" t="s">
        <v>466</v>
      </c>
      <c r="C20" s="608"/>
      <c r="D20" s="248"/>
      <c r="E20" s="286"/>
      <c r="F20" s="250"/>
      <c r="G20" s="295">
        <v>0</v>
      </c>
      <c r="H20" s="308">
        <v>0</v>
      </c>
      <c r="I20" s="312">
        <f aca="true" t="shared" si="0" ref="I20:I21">E20</f>
        <v>0</v>
      </c>
      <c r="J20" s="260"/>
    </row>
    <row r="21" spans="2:10" ht="15">
      <c r="B21" s="288" t="s">
        <v>448</v>
      </c>
      <c r="C21" s="608"/>
      <c r="D21" s="252"/>
      <c r="E21" s="312"/>
      <c r="F21" s="253"/>
      <c r="G21" s="288">
        <v>0</v>
      </c>
      <c r="H21" s="309">
        <v>0</v>
      </c>
      <c r="I21" s="312">
        <f t="shared" si="0"/>
        <v>0</v>
      </c>
      <c r="J21" s="250"/>
    </row>
    <row r="22" spans="2:10" ht="15">
      <c r="B22" s="288" t="s">
        <v>491</v>
      </c>
      <c r="C22" s="286" t="s">
        <v>451</v>
      </c>
      <c r="D22" s="252"/>
      <c r="E22" s="312"/>
      <c r="F22" s="253"/>
      <c r="G22" s="288">
        <v>0</v>
      </c>
      <c r="H22" s="309">
        <v>0</v>
      </c>
      <c r="I22" s="312">
        <f>E22</f>
        <v>0</v>
      </c>
      <c r="J22" s="250"/>
    </row>
    <row r="23" spans="2:10" ht="15">
      <c r="B23" s="288"/>
      <c r="C23" s="249"/>
      <c r="D23" s="252"/>
      <c r="E23" s="266"/>
      <c r="F23" s="253"/>
      <c r="G23" s="288">
        <v>0</v>
      </c>
      <c r="H23" s="309">
        <v>0</v>
      </c>
      <c r="I23" s="249"/>
      <c r="J23" s="250"/>
    </row>
    <row r="24" spans="2:10" ht="15">
      <c r="B24" s="288" t="s">
        <v>450</v>
      </c>
      <c r="C24" s="286" t="s">
        <v>451</v>
      </c>
      <c r="D24" s="252"/>
      <c r="E24" s="266"/>
      <c r="F24" s="253"/>
      <c r="G24" s="288">
        <v>0</v>
      </c>
      <c r="H24" s="309">
        <v>0</v>
      </c>
      <c r="I24" s="269"/>
      <c r="J24" s="250"/>
    </row>
    <row r="25" spans="2:10" ht="15.75" thickBot="1">
      <c r="B25" s="607" t="s">
        <v>592</v>
      </c>
      <c r="C25" s="255"/>
      <c r="D25" s="256"/>
      <c r="E25" s="300">
        <v>0</v>
      </c>
      <c r="F25" s="258"/>
      <c r="G25" s="295"/>
      <c r="H25" s="308"/>
      <c r="I25" s="257"/>
      <c r="J25" s="262"/>
    </row>
    <row r="26" spans="2:10" ht="16.5" thickBot="1" thickTop="1">
      <c r="B26" s="606" t="s">
        <v>9</v>
      </c>
      <c r="C26" s="609"/>
      <c r="D26" s="317"/>
      <c r="E26" s="292">
        <f>C12</f>
        <v>38.002578308947</v>
      </c>
      <c r="F26" s="298">
        <f>E26*D31/E31</f>
        <v>34.42080844005473</v>
      </c>
      <c r="G26" s="293">
        <v>0</v>
      </c>
      <c r="H26" s="310">
        <v>0</v>
      </c>
      <c r="I26" s="287">
        <f>E26+G26-H26</f>
        <v>38.002578308947</v>
      </c>
      <c r="J26" s="299">
        <f>I26*D31/E31</f>
        <v>34.42080844005473</v>
      </c>
    </row>
    <row r="27" spans="2:10" ht="15">
      <c r="B27" s="318"/>
      <c r="C27" s="270"/>
      <c r="D27" s="268"/>
      <c r="E27" s="270"/>
      <c r="F27" s="270"/>
      <c r="G27" s="268"/>
      <c r="H27" s="270"/>
      <c r="I27" s="270"/>
      <c r="J27" s="270"/>
    </row>
    <row r="28" spans="2:10" ht="15">
      <c r="B28" s="268"/>
      <c r="C28" s="268"/>
      <c r="D28" s="268"/>
      <c r="E28" s="268"/>
      <c r="F28" s="319"/>
      <c r="G28" s="268"/>
      <c r="H28" s="268"/>
      <c r="I28" s="268"/>
      <c r="J28" s="268"/>
    </row>
    <row r="30" spans="2:5" ht="15">
      <c r="B30" s="245"/>
      <c r="C30" s="283">
        <v>2015</v>
      </c>
      <c r="D30" s="283">
        <v>2019</v>
      </c>
      <c r="E30" s="283">
        <v>2020</v>
      </c>
    </row>
    <row r="31" spans="2:5" ht="15">
      <c r="B31" s="246" t="s">
        <v>593</v>
      </c>
      <c r="C31" s="284">
        <v>100</v>
      </c>
      <c r="D31" s="284">
        <v>96.1</v>
      </c>
      <c r="E31" s="284">
        <v>106.1</v>
      </c>
    </row>
    <row r="32" ht="15.75" thickBot="1">
      <c r="B32" s="196"/>
    </row>
    <row r="33" spans="2:3" ht="15.75" thickBot="1">
      <c r="B33" s="86"/>
      <c r="C33" s="89">
        <v>2020</v>
      </c>
    </row>
    <row r="34" spans="2:3" ht="15">
      <c r="B34" s="170" t="s">
        <v>412</v>
      </c>
      <c r="C34" s="304">
        <v>106.1</v>
      </c>
    </row>
    <row r="35" spans="2:3" ht="15.75" thickBot="1">
      <c r="B35" s="171" t="s">
        <v>413</v>
      </c>
      <c r="C35" s="27">
        <v>81.6720471978743</v>
      </c>
    </row>
  </sheetData>
  <mergeCells count="7">
    <mergeCell ref="I18:J18"/>
    <mergeCell ref="B18:B19"/>
    <mergeCell ref="C18:C19"/>
    <mergeCell ref="D18:D19"/>
    <mergeCell ref="E18:F18"/>
    <mergeCell ref="G18:G19"/>
    <mergeCell ref="H18:H1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topLeftCell="A1">
      <selection activeCell="C14" sqref="C14"/>
    </sheetView>
  </sheetViews>
  <sheetFormatPr defaultColWidth="8.8515625" defaultRowHeight="15"/>
  <cols>
    <col min="2" max="2" width="15.28125" style="0" customWidth="1"/>
    <col min="3" max="3" width="46.28125" style="0" customWidth="1"/>
  </cols>
  <sheetData>
    <row r="2" spans="2:3" ht="18.75">
      <c r="B2" s="1" t="s">
        <v>17</v>
      </c>
      <c r="C2" t="s">
        <v>516</v>
      </c>
    </row>
    <row r="6" spans="2:3" ht="18.75">
      <c r="B6" s="1" t="s">
        <v>13</v>
      </c>
      <c r="C6" t="s">
        <v>517</v>
      </c>
    </row>
    <row r="7" ht="15">
      <c r="C7" t="s">
        <v>518</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35"/>
  <sheetViews>
    <sheetView workbookViewId="0" topLeftCell="A1">
      <selection activeCell="B17" sqref="B17"/>
    </sheetView>
  </sheetViews>
  <sheetFormatPr defaultColWidth="9.140625" defaultRowHeight="15"/>
  <cols>
    <col min="1" max="1" width="2.28125" style="0" customWidth="1"/>
    <col min="2" max="2" width="56.421875" style="0" customWidth="1"/>
    <col min="3" max="3" width="31.7109375" style="0" bestFit="1" customWidth="1"/>
    <col min="4" max="4" width="11.00390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s="169" customFormat="1" ht="18.75">
      <c r="B1" s="6" t="s">
        <v>72</v>
      </c>
    </row>
    <row r="2" spans="2:6" ht="15">
      <c r="B2" s="7" t="s">
        <v>364</v>
      </c>
      <c r="C2" s="29" t="s">
        <v>74</v>
      </c>
      <c r="D2" s="169"/>
      <c r="E2" s="169" t="s">
        <v>480</v>
      </c>
      <c r="F2" s="169"/>
    </row>
    <row r="3" spans="2:6" ht="15">
      <c r="B3" s="28" t="s">
        <v>73</v>
      </c>
      <c r="C3" s="4" t="s">
        <v>316</v>
      </c>
      <c r="D3" s="169"/>
      <c r="E3" s="169"/>
      <c r="F3" s="169"/>
    </row>
    <row r="4" spans="2:6" ht="15">
      <c r="B4" s="169"/>
      <c r="C4" s="4" t="s">
        <v>317</v>
      </c>
      <c r="D4" s="169"/>
      <c r="E4" s="169"/>
      <c r="F4" s="169"/>
    </row>
    <row r="5" ht="14.25" customHeight="1"/>
    <row r="6" ht="14.25" customHeight="1">
      <c r="B6" t="s">
        <v>601</v>
      </c>
    </row>
    <row r="7" spans="3:4" ht="16.5" customHeight="1">
      <c r="C7" s="220"/>
      <c r="D7" s="220"/>
    </row>
    <row r="8" spans="2:9" ht="15">
      <c r="B8" s="196" t="s">
        <v>602</v>
      </c>
      <c r="C8" s="630">
        <f>3122.6966/1000</f>
        <v>3.1226966000000003</v>
      </c>
      <c r="F8" s="196"/>
      <c r="G8" s="196"/>
      <c r="H8" s="196"/>
      <c r="I8" s="196"/>
    </row>
    <row r="9" spans="2:3" ht="15">
      <c r="B9" s="225"/>
      <c r="C9" s="221"/>
    </row>
    <row r="10" spans="2:9" ht="15">
      <c r="B10" s="225"/>
      <c r="C10" s="221"/>
      <c r="F10" s="196"/>
      <c r="G10" s="196"/>
      <c r="H10" s="196"/>
      <c r="I10" s="196"/>
    </row>
    <row r="11" spans="2:3" ht="15">
      <c r="B11" s="225"/>
      <c r="C11" s="221"/>
    </row>
    <row r="12" ht="15">
      <c r="C12" s="221"/>
    </row>
    <row r="13" spans="2:3" ht="15">
      <c r="B13" s="196"/>
      <c r="C13" s="224"/>
    </row>
    <row r="14" spans="2:3" ht="15">
      <c r="B14" s="196"/>
      <c r="C14" s="224"/>
    </row>
    <row r="15" spans="2:3" ht="15">
      <c r="B15" s="169" t="s">
        <v>685</v>
      </c>
      <c r="C15" s="224"/>
    </row>
    <row r="16" spans="2:3" ht="15">
      <c r="B16" t="s">
        <v>687</v>
      </c>
      <c r="C16" s="224"/>
    </row>
    <row r="17" spans="2:5" ht="15.75" thickBot="1">
      <c r="B17" s="196"/>
      <c r="C17" s="224"/>
      <c r="E17" t="s">
        <v>444</v>
      </c>
    </row>
    <row r="18" spans="2:10" ht="16.5" customHeight="1">
      <c r="B18" s="681" t="s">
        <v>1</v>
      </c>
      <c r="C18" s="683" t="s">
        <v>603</v>
      </c>
      <c r="D18" s="685" t="s">
        <v>446</v>
      </c>
      <c r="E18" s="687" t="s">
        <v>5</v>
      </c>
      <c r="F18" s="688"/>
      <c r="G18" s="689" t="s">
        <v>6</v>
      </c>
      <c r="H18" s="693" t="s">
        <v>12</v>
      </c>
      <c r="I18" s="679" t="s">
        <v>7</v>
      </c>
      <c r="J18" s="680"/>
    </row>
    <row r="19" spans="2:10" ht="15">
      <c r="B19" s="682"/>
      <c r="C19" s="684"/>
      <c r="D19" s="686"/>
      <c r="E19" s="311" t="s">
        <v>10</v>
      </c>
      <c r="F19" s="291" t="s">
        <v>11</v>
      </c>
      <c r="G19" s="690"/>
      <c r="H19" s="694"/>
      <c r="I19" s="311" t="s">
        <v>10</v>
      </c>
      <c r="J19" s="294" t="s">
        <v>11</v>
      </c>
    </row>
    <row r="20" spans="2:10" ht="15">
      <c r="B20" s="288"/>
      <c r="C20" s="285"/>
      <c r="D20" s="248"/>
      <c r="E20" s="286"/>
      <c r="F20" s="250"/>
      <c r="G20" s="295">
        <v>0</v>
      </c>
      <c r="H20" s="308">
        <v>0</v>
      </c>
      <c r="I20" s="312">
        <f aca="true" t="shared" si="0" ref="I20:I21">E20</f>
        <v>0</v>
      </c>
      <c r="J20" s="260"/>
    </row>
    <row r="21" spans="2:10" ht="15">
      <c r="B21" s="196" t="s">
        <v>602</v>
      </c>
      <c r="C21" s="285">
        <f>C8</f>
        <v>3.1226966000000003</v>
      </c>
      <c r="D21" s="634">
        <v>13.746229515535612</v>
      </c>
      <c r="E21" s="312">
        <f>C21*D21</f>
        <v>42.925304170982706</v>
      </c>
      <c r="F21" s="253"/>
      <c r="G21" s="288">
        <v>0</v>
      </c>
      <c r="H21" s="309">
        <v>0</v>
      </c>
      <c r="I21" s="312">
        <f t="shared" si="0"/>
        <v>42.925304170982706</v>
      </c>
      <c r="J21" s="250"/>
    </row>
    <row r="22" spans="2:10" ht="15">
      <c r="B22" s="288"/>
      <c r="C22" s="286"/>
      <c r="D22" s="252"/>
      <c r="E22" s="312"/>
      <c r="F22" s="253"/>
      <c r="G22" s="288">
        <v>0</v>
      </c>
      <c r="H22" s="309">
        <v>0</v>
      </c>
      <c r="I22" s="312">
        <f>E22</f>
        <v>0</v>
      </c>
      <c r="J22" s="250"/>
    </row>
    <row r="23" spans="2:10" ht="15">
      <c r="B23" s="288"/>
      <c r="C23" s="249"/>
      <c r="D23" s="252"/>
      <c r="E23" s="266"/>
      <c r="F23" s="253"/>
      <c r="G23" s="288">
        <v>0</v>
      </c>
      <c r="H23" s="309">
        <v>0</v>
      </c>
      <c r="I23" s="249"/>
      <c r="J23" s="250"/>
    </row>
    <row r="24" spans="2:10" ht="15">
      <c r="B24" s="288" t="s">
        <v>450</v>
      </c>
      <c r="C24" s="286" t="s">
        <v>451</v>
      </c>
      <c r="D24" s="252"/>
      <c r="E24" s="266"/>
      <c r="F24" s="253"/>
      <c r="G24" s="288">
        <v>0</v>
      </c>
      <c r="H24" s="309">
        <v>0</v>
      </c>
      <c r="I24" s="269"/>
      <c r="J24" s="250"/>
    </row>
    <row r="25" spans="2:10" ht="15.75" thickBot="1">
      <c r="B25" s="607" t="s">
        <v>592</v>
      </c>
      <c r="C25" s="255"/>
      <c r="D25" s="256"/>
      <c r="E25" s="300">
        <v>0</v>
      </c>
      <c r="F25" s="258"/>
      <c r="G25" s="295"/>
      <c r="H25" s="308"/>
      <c r="I25" s="257"/>
      <c r="J25" s="262"/>
    </row>
    <row r="26" spans="2:10" ht="16.5" thickBot="1" thickTop="1">
      <c r="B26" s="606" t="s">
        <v>9</v>
      </c>
      <c r="C26" s="287">
        <f>C21+C22+C23</f>
        <v>3.1226966000000003</v>
      </c>
      <c r="D26" s="317"/>
      <c r="E26" s="292">
        <f>E21</f>
        <v>42.925304170982706</v>
      </c>
      <c r="F26" s="298">
        <f>E26*D31/E31</f>
        <v>43.210206632294536</v>
      </c>
      <c r="G26" s="293">
        <v>0</v>
      </c>
      <c r="H26" s="310">
        <v>0</v>
      </c>
      <c r="I26" s="287">
        <f>E26+G26-H26</f>
        <v>42.925304170982706</v>
      </c>
      <c r="J26" s="299">
        <f>I26*D31/E31</f>
        <v>43.210206632294536</v>
      </c>
    </row>
    <row r="27" spans="2:10" ht="15">
      <c r="B27" s="318"/>
      <c r="C27" s="270"/>
      <c r="D27" s="268"/>
      <c r="E27" s="270"/>
      <c r="F27" s="270"/>
      <c r="G27" s="268"/>
      <c r="H27" s="270"/>
      <c r="I27" s="270"/>
      <c r="J27" s="270"/>
    </row>
    <row r="28" spans="2:10" ht="15">
      <c r="B28" s="268"/>
      <c r="C28" s="268"/>
      <c r="D28" s="268"/>
      <c r="E28" s="268"/>
      <c r="F28" s="319"/>
      <c r="G28" s="268"/>
      <c r="H28" s="268"/>
      <c r="I28" s="268"/>
      <c r="J28" s="268"/>
    </row>
    <row r="30" spans="2:5" ht="15">
      <c r="B30" s="245"/>
      <c r="C30" s="283">
        <v>2015</v>
      </c>
      <c r="D30" s="283">
        <v>2019</v>
      </c>
      <c r="E30" s="283">
        <v>2020</v>
      </c>
    </row>
    <row r="31" spans="2:5" ht="15">
      <c r="B31" s="246" t="s">
        <v>490</v>
      </c>
      <c r="C31" s="284">
        <v>100</v>
      </c>
      <c r="D31" s="284">
        <v>91</v>
      </c>
      <c r="E31" s="284">
        <v>90.4</v>
      </c>
    </row>
    <row r="32" ht="15.75" thickBot="1">
      <c r="B32" s="196"/>
    </row>
    <row r="33" spans="2:3" ht="15.75" thickBot="1">
      <c r="B33" s="86"/>
      <c r="C33" s="89">
        <v>2020</v>
      </c>
    </row>
    <row r="34" spans="2:3" ht="15">
      <c r="B34" s="170" t="s">
        <v>412</v>
      </c>
      <c r="C34" s="90">
        <v>90.4</v>
      </c>
    </row>
    <row r="35" spans="2:3" ht="15.75" thickBot="1">
      <c r="B35" s="171" t="s">
        <v>413</v>
      </c>
      <c r="C35" s="27">
        <v>92.8</v>
      </c>
    </row>
  </sheetData>
  <mergeCells count="7">
    <mergeCell ref="I18:J18"/>
    <mergeCell ref="B18:B19"/>
    <mergeCell ref="C18:C19"/>
    <mergeCell ref="D18:D19"/>
    <mergeCell ref="E18:F18"/>
    <mergeCell ref="G18:G19"/>
    <mergeCell ref="H18:H19"/>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36"/>
  <sheetViews>
    <sheetView workbookViewId="0" topLeftCell="A1">
      <selection activeCell="B17" sqref="B17"/>
    </sheetView>
  </sheetViews>
  <sheetFormatPr defaultColWidth="9.140625" defaultRowHeight="15"/>
  <cols>
    <col min="1" max="1" width="2.28125" style="0" customWidth="1"/>
    <col min="2" max="2" width="36.421875" style="0" customWidth="1"/>
    <col min="3" max="3" width="28.7109375" style="0" bestFit="1" customWidth="1"/>
    <col min="4" max="4" width="11.00390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ht="18.75">
      <c r="B1" s="1" t="s">
        <v>71</v>
      </c>
    </row>
    <row r="2" ht="15">
      <c r="B2" s="217"/>
    </row>
    <row r="3" spans="2:3" ht="15">
      <c r="B3" s="218" t="s">
        <v>478</v>
      </c>
      <c r="C3" t="s">
        <v>470</v>
      </c>
    </row>
    <row r="4" spans="2:3" ht="15">
      <c r="B4" s="219"/>
      <c r="C4" t="s">
        <v>420</v>
      </c>
    </row>
    <row r="5" ht="14.25" customHeight="1">
      <c r="C5" t="s">
        <v>421</v>
      </c>
    </row>
    <row r="6" ht="14.25" customHeight="1"/>
    <row r="7" spans="3:4" ht="16.5" customHeight="1">
      <c r="C7" s="220" t="s">
        <v>3</v>
      </c>
      <c r="D7" s="220"/>
    </row>
    <row r="8" spans="2:3" ht="15">
      <c r="B8" t="s">
        <v>471</v>
      </c>
      <c r="C8" s="221">
        <f>C9+C10+C11</f>
        <v>5666.494311142857</v>
      </c>
    </row>
    <row r="9" spans="2:3" ht="15">
      <c r="B9" s="276"/>
      <c r="C9" s="277"/>
    </row>
    <row r="10" spans="2:3" ht="15">
      <c r="B10" s="225"/>
      <c r="C10" s="221"/>
    </row>
    <row r="11" spans="2:3" ht="15">
      <c r="B11" s="225" t="s">
        <v>472</v>
      </c>
      <c r="C11" s="221">
        <v>5666.494311142857</v>
      </c>
    </row>
    <row r="12" spans="2:3" ht="15">
      <c r="B12" s="225" t="s">
        <v>439</v>
      </c>
      <c r="C12" s="221" t="s">
        <v>451</v>
      </c>
    </row>
    <row r="13" spans="2:3" ht="15">
      <c r="B13" s="225" t="s">
        <v>473</v>
      </c>
      <c r="C13" s="221" t="s">
        <v>451</v>
      </c>
    </row>
    <row r="14" spans="2:9" ht="15">
      <c r="B14" s="225" t="s">
        <v>402</v>
      </c>
      <c r="C14" s="221" t="s">
        <v>451</v>
      </c>
      <c r="E14" s="228"/>
      <c r="F14" s="228"/>
      <c r="G14" s="228"/>
      <c r="H14" s="228"/>
      <c r="I14" s="228"/>
    </row>
    <row r="15" spans="2:3" ht="15">
      <c r="B15" s="196" t="s">
        <v>2</v>
      </c>
      <c r="C15" s="224">
        <f>C11+C10</f>
        <v>5666.494311142857</v>
      </c>
    </row>
    <row r="16" spans="2:3" ht="15">
      <c r="B16" s="196"/>
      <c r="C16" s="224"/>
    </row>
    <row r="17" spans="2:3" ht="15.75">
      <c r="B17" s="278" t="s">
        <v>474</v>
      </c>
      <c r="C17" s="224"/>
    </row>
    <row r="19" spans="2:5" ht="15.75" thickBot="1">
      <c r="B19" s="196"/>
      <c r="C19" s="224"/>
      <c r="E19" t="s">
        <v>444</v>
      </c>
    </row>
    <row r="20" spans="2:10" ht="16.5" customHeight="1">
      <c r="B20" s="697" t="s">
        <v>1</v>
      </c>
      <c r="C20" s="699" t="s">
        <v>3</v>
      </c>
      <c r="D20" s="701" t="s">
        <v>446</v>
      </c>
      <c r="E20" s="703" t="s">
        <v>5</v>
      </c>
      <c r="F20" s="704"/>
      <c r="G20" s="705" t="s">
        <v>6</v>
      </c>
      <c r="H20" s="691" t="s">
        <v>12</v>
      </c>
      <c r="I20" s="695" t="s">
        <v>7</v>
      </c>
      <c r="J20" s="696"/>
    </row>
    <row r="21" spans="2:10" ht="15">
      <c r="B21" s="698"/>
      <c r="C21" s="700"/>
      <c r="D21" s="702"/>
      <c r="E21" s="263" t="s">
        <v>10</v>
      </c>
      <c r="F21" s="229" t="s">
        <v>11</v>
      </c>
      <c r="G21" s="706"/>
      <c r="H21" s="692"/>
      <c r="I21" s="263" t="s">
        <v>10</v>
      </c>
      <c r="J21" s="230" t="s">
        <v>11</v>
      </c>
    </row>
    <row r="22" spans="2:10" ht="15">
      <c r="B22" s="200" t="s">
        <v>475</v>
      </c>
      <c r="C22" s="231" t="s">
        <v>451</v>
      </c>
      <c r="D22" s="232"/>
      <c r="E22" s="202"/>
      <c r="F22" s="233"/>
      <c r="G22" s="234"/>
      <c r="H22" s="235"/>
      <c r="I22" s="279"/>
      <c r="J22" s="236"/>
    </row>
    <row r="23" spans="2:10" ht="15">
      <c r="B23" s="200" t="s">
        <v>476</v>
      </c>
      <c r="C23" s="231" t="s">
        <v>451</v>
      </c>
      <c r="D23" s="232"/>
      <c r="E23" s="202"/>
      <c r="F23" s="233"/>
      <c r="G23" s="234">
        <v>0</v>
      </c>
      <c r="H23" s="235">
        <v>0</v>
      </c>
      <c r="I23" s="279"/>
      <c r="J23" s="236"/>
    </row>
    <row r="24" spans="2:10" ht="15">
      <c r="B24" s="237" t="s">
        <v>477</v>
      </c>
      <c r="C24" s="202">
        <f>C11</f>
        <v>5666.494311142857</v>
      </c>
      <c r="D24" s="238">
        <v>283.62648786698065</v>
      </c>
      <c r="E24" s="210">
        <f>(C24/100)*D24</f>
        <v>16071.678799876747</v>
      </c>
      <c r="F24" s="313"/>
      <c r="G24" s="200">
        <v>0</v>
      </c>
      <c r="H24" s="239">
        <v>0</v>
      </c>
      <c r="I24" s="264"/>
      <c r="J24" s="233"/>
    </row>
    <row r="25" spans="2:10" ht="15">
      <c r="B25" s="280"/>
      <c r="C25" s="281"/>
      <c r="D25" s="238"/>
      <c r="E25" s="210"/>
      <c r="F25" s="313"/>
      <c r="G25" s="200"/>
      <c r="H25" s="239"/>
      <c r="I25" s="264"/>
      <c r="J25" s="233"/>
    </row>
    <row r="26" spans="2:10" ht="15.75" thickBot="1">
      <c r="B26" s="237" t="s">
        <v>405</v>
      </c>
      <c r="C26" s="202" t="s">
        <v>451</v>
      </c>
      <c r="D26" s="238"/>
      <c r="E26" s="210"/>
      <c r="F26" s="313"/>
      <c r="G26" s="200">
        <v>0</v>
      </c>
      <c r="H26" s="239">
        <v>0</v>
      </c>
      <c r="I26" s="264"/>
      <c r="J26" s="233"/>
    </row>
    <row r="27" spans="2:10" ht="15.75" thickBot="1">
      <c r="B27" s="242" t="s">
        <v>9</v>
      </c>
      <c r="C27" s="240">
        <f>C24+C25</f>
        <v>5666.494311142857</v>
      </c>
      <c r="D27" s="241"/>
      <c r="E27" s="314">
        <f>E24+E25</f>
        <v>16071.678799876747</v>
      </c>
      <c r="F27" s="315">
        <f>E27*D32/E32</f>
        <v>15760.705243502702</v>
      </c>
      <c r="G27" s="242">
        <v>0</v>
      </c>
      <c r="H27" s="243"/>
      <c r="I27" s="240">
        <f>E27+G27-H27</f>
        <v>16071.678799876747</v>
      </c>
      <c r="J27" s="203">
        <f>I27*D32/E32</f>
        <v>15760.705243502702</v>
      </c>
    </row>
    <row r="28" spans="3:10" ht="15">
      <c r="C28" s="225"/>
      <c r="E28" s="225"/>
      <c r="F28" s="225"/>
      <c r="H28" s="225"/>
      <c r="I28" s="225"/>
      <c r="J28" s="225"/>
    </row>
    <row r="31" spans="2:9" ht="15">
      <c r="B31" s="245"/>
      <c r="C31" s="283">
        <v>2015</v>
      </c>
      <c r="D31" s="283">
        <v>2019</v>
      </c>
      <c r="E31" s="283">
        <v>2020</v>
      </c>
      <c r="F31" s="282"/>
      <c r="I31" s="282"/>
    </row>
    <row r="32" spans="2:8" ht="15">
      <c r="B32" s="246" t="s">
        <v>479</v>
      </c>
      <c r="C32" s="284">
        <v>100</v>
      </c>
      <c r="D32" s="284">
        <v>111.5</v>
      </c>
      <c r="E32" s="284">
        <v>113.7</v>
      </c>
      <c r="F32" s="268"/>
      <c r="G32" s="268"/>
      <c r="H32" s="282"/>
    </row>
    <row r="33" spans="2:8" ht="15.75" thickBot="1">
      <c r="B33" s="196"/>
      <c r="C33" s="268"/>
      <c r="D33" s="268"/>
      <c r="E33" s="268"/>
      <c r="F33" s="268"/>
      <c r="G33" s="268"/>
      <c r="H33" s="268"/>
    </row>
    <row r="34" spans="2:3" ht="15.75" thickBot="1">
      <c r="B34" s="86"/>
      <c r="C34" s="89">
        <v>2020</v>
      </c>
    </row>
    <row r="35" spans="2:3" ht="15">
      <c r="B35" s="170" t="s">
        <v>479</v>
      </c>
      <c r="C35" s="90">
        <v>113.6612232177358</v>
      </c>
    </row>
    <row r="36" spans="2:3" ht="15.75" thickBot="1">
      <c r="B36" s="171" t="s">
        <v>606</v>
      </c>
      <c r="C36" s="27">
        <v>107.35141947188569</v>
      </c>
    </row>
  </sheetData>
  <mergeCells count="7">
    <mergeCell ref="I20:J20"/>
    <mergeCell ref="B20:B21"/>
    <mergeCell ref="C20:C21"/>
    <mergeCell ref="D20:D21"/>
    <mergeCell ref="E20:F20"/>
    <mergeCell ref="G20:G21"/>
    <mergeCell ref="H20:H2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36"/>
  <sheetViews>
    <sheetView workbookViewId="0" topLeftCell="A1">
      <selection activeCell="E12" sqref="E12"/>
    </sheetView>
  </sheetViews>
  <sheetFormatPr defaultColWidth="9.140625" defaultRowHeight="15"/>
  <cols>
    <col min="1" max="1" width="2.28125" style="0" customWidth="1"/>
    <col min="2" max="2" width="36.421875" style="0" customWidth="1"/>
    <col min="3" max="3" width="28.7109375" style="0" bestFit="1" customWidth="1"/>
    <col min="4" max="4" width="11.00390625" style="0" bestFit="1" customWidth="1"/>
    <col min="5" max="6" width="14.140625" style="0" bestFit="1" customWidth="1"/>
    <col min="7" max="7" width="15.57421875" style="0" customWidth="1"/>
    <col min="8" max="8" width="13.00390625" style="0" customWidth="1"/>
    <col min="9" max="9" width="17.00390625" style="0" bestFit="1" customWidth="1"/>
    <col min="10" max="10" width="12.7109375" style="0" bestFit="1" customWidth="1"/>
    <col min="11" max="11" width="11.421875" style="0" customWidth="1"/>
  </cols>
  <sheetData>
    <row r="1" ht="18.75">
      <c r="B1" s="1" t="s">
        <v>76</v>
      </c>
    </row>
    <row r="2" ht="15">
      <c r="B2" s="217"/>
    </row>
    <row r="3" spans="2:3" ht="15">
      <c r="B3" s="218" t="s">
        <v>483</v>
      </c>
      <c r="C3" t="s">
        <v>470</v>
      </c>
    </row>
    <row r="4" spans="2:3" ht="15">
      <c r="B4" s="219"/>
      <c r="C4" t="s">
        <v>420</v>
      </c>
    </row>
    <row r="5" ht="14.25" customHeight="1">
      <c r="C5" t="s">
        <v>421</v>
      </c>
    </row>
    <row r="6" ht="14.25" customHeight="1"/>
    <row r="7" spans="3:4" ht="16.5" customHeight="1">
      <c r="C7" s="220"/>
      <c r="D7" s="220"/>
    </row>
    <row r="8" spans="2:3" ht="15">
      <c r="B8" t="s">
        <v>471</v>
      </c>
      <c r="C8" s="221"/>
    </row>
    <row r="9" spans="2:3" ht="15">
      <c r="B9" s="276"/>
      <c r="C9" s="277"/>
    </row>
    <row r="10" spans="2:3" ht="15">
      <c r="B10" s="276" t="s">
        <v>481</v>
      </c>
      <c r="C10" s="221"/>
    </row>
    <row r="11" spans="2:3" ht="15">
      <c r="B11" s="225" t="s">
        <v>482</v>
      </c>
      <c r="C11" s="221"/>
    </row>
    <row r="12" spans="2:3" ht="15">
      <c r="B12" s="225"/>
      <c r="C12" s="221"/>
    </row>
    <row r="13" spans="2:3" ht="15">
      <c r="B13" s="225"/>
      <c r="C13" s="221"/>
    </row>
    <row r="14" spans="2:9" ht="15">
      <c r="B14" s="225"/>
      <c r="C14" s="221"/>
      <c r="E14" s="228"/>
      <c r="F14" s="228"/>
      <c r="G14" s="228"/>
      <c r="H14" s="228"/>
      <c r="I14" s="228"/>
    </row>
    <row r="15" spans="2:3" ht="15">
      <c r="B15" s="196"/>
      <c r="C15" s="224"/>
    </row>
    <row r="16" spans="2:3" ht="15">
      <c r="B16" s="196"/>
      <c r="C16" s="224"/>
    </row>
    <row r="17" spans="2:3" ht="15.75">
      <c r="B17" s="278" t="s">
        <v>474</v>
      </c>
      <c r="C17" s="224"/>
    </row>
    <row r="19" spans="2:5" ht="15.75" thickBot="1">
      <c r="B19" s="196"/>
      <c r="C19" s="224"/>
      <c r="E19" t="s">
        <v>444</v>
      </c>
    </row>
    <row r="20" spans="2:10" ht="16.5" customHeight="1">
      <c r="B20" s="697" t="s">
        <v>1</v>
      </c>
      <c r="C20" s="699" t="s">
        <v>495</v>
      </c>
      <c r="D20" s="701" t="s">
        <v>446</v>
      </c>
      <c r="E20" s="703" t="s">
        <v>5</v>
      </c>
      <c r="F20" s="704"/>
      <c r="G20" s="705" t="s">
        <v>6</v>
      </c>
      <c r="H20" s="691" t="s">
        <v>12</v>
      </c>
      <c r="I20" s="695" t="s">
        <v>7</v>
      </c>
      <c r="J20" s="696"/>
    </row>
    <row r="21" spans="2:10" ht="15">
      <c r="B21" s="698"/>
      <c r="C21" s="700"/>
      <c r="D21" s="702"/>
      <c r="E21" s="263" t="s">
        <v>10</v>
      </c>
      <c r="F21" s="229" t="s">
        <v>11</v>
      </c>
      <c r="G21" s="706"/>
      <c r="H21" s="692"/>
      <c r="I21" s="263" t="s">
        <v>10</v>
      </c>
      <c r="J21" s="230" t="s">
        <v>11</v>
      </c>
    </row>
    <row r="22" spans="2:10" ht="15">
      <c r="B22" s="200" t="s">
        <v>475</v>
      </c>
      <c r="C22" s="285" t="s">
        <v>451</v>
      </c>
      <c r="D22" s="248"/>
      <c r="E22" s="249"/>
      <c r="F22" s="250"/>
      <c r="G22" s="251"/>
      <c r="H22" s="265"/>
      <c r="I22" s="316"/>
      <c r="J22" s="260"/>
    </row>
    <row r="23" spans="2:10" ht="15">
      <c r="B23" s="200" t="s">
        <v>476</v>
      </c>
      <c r="C23" s="285" t="s">
        <v>451</v>
      </c>
      <c r="D23" s="248"/>
      <c r="E23" s="249"/>
      <c r="F23" s="250"/>
      <c r="G23" s="251"/>
      <c r="H23" s="265"/>
      <c r="I23" s="316"/>
      <c r="J23" s="260"/>
    </row>
    <row r="24" spans="2:10" ht="15">
      <c r="B24" s="237" t="s">
        <v>494</v>
      </c>
      <c r="C24" s="285">
        <v>89014.26499999998</v>
      </c>
      <c r="D24" s="252"/>
      <c r="E24" s="312">
        <v>828.3298379677419</v>
      </c>
      <c r="F24" s="253"/>
      <c r="G24" s="288">
        <v>0</v>
      </c>
      <c r="H24" s="309">
        <v>0</v>
      </c>
      <c r="I24" s="286">
        <f>E24</f>
        <v>828.3298379677419</v>
      </c>
      <c r="J24" s="250"/>
    </row>
    <row r="25" spans="2:10" ht="15">
      <c r="B25" s="280" t="s">
        <v>484</v>
      </c>
      <c r="C25" s="320">
        <v>12000</v>
      </c>
      <c r="D25" s="252"/>
      <c r="E25" s="312">
        <v>129.1184725879821</v>
      </c>
      <c r="F25" s="253"/>
      <c r="G25" s="288">
        <v>0</v>
      </c>
      <c r="H25" s="309">
        <v>0</v>
      </c>
      <c r="I25" s="286">
        <f>E25</f>
        <v>129.1184725879821</v>
      </c>
      <c r="J25" s="250"/>
    </row>
    <row r="26" spans="2:10" ht="15.75" thickBot="1">
      <c r="B26" s="237" t="s">
        <v>405</v>
      </c>
      <c r="C26" s="286" t="s">
        <v>451</v>
      </c>
      <c r="D26" s="252"/>
      <c r="E26" s="266"/>
      <c r="F26" s="253"/>
      <c r="G26" s="247"/>
      <c r="H26" s="267"/>
      <c r="I26" s="269"/>
      <c r="J26" s="250"/>
    </row>
    <row r="27" spans="2:10" ht="15.75" thickBot="1">
      <c r="B27" s="242" t="s">
        <v>9</v>
      </c>
      <c r="C27" s="240">
        <f>C24+C25</f>
        <v>101014.26499999998</v>
      </c>
      <c r="D27" s="241"/>
      <c r="E27" s="314">
        <f>E24+E25</f>
        <v>957.448310555724</v>
      </c>
      <c r="F27" s="315">
        <f>E27*D32/E32</f>
        <v>965.2403619132477</v>
      </c>
      <c r="G27" s="242">
        <v>0</v>
      </c>
      <c r="H27" s="243">
        <v>0</v>
      </c>
      <c r="I27" s="240">
        <f>E27+G27-H27</f>
        <v>957.448310555724</v>
      </c>
      <c r="J27" s="203">
        <f>I27*D32/E32</f>
        <v>965.2403619132477</v>
      </c>
    </row>
    <row r="28" spans="3:10" ht="15">
      <c r="C28" s="225"/>
      <c r="E28" s="225"/>
      <c r="F28" s="225"/>
      <c r="H28" s="225"/>
      <c r="I28" s="225"/>
      <c r="J28" s="225"/>
    </row>
    <row r="31" spans="2:9" ht="15">
      <c r="B31" s="245"/>
      <c r="C31" s="283">
        <v>2015</v>
      </c>
      <c r="D31" s="283">
        <v>2019</v>
      </c>
      <c r="E31" s="283">
        <v>2020</v>
      </c>
      <c r="F31" s="282"/>
      <c r="I31" s="282"/>
    </row>
    <row r="32" spans="2:8" ht="15">
      <c r="B32" s="246" t="s">
        <v>485</v>
      </c>
      <c r="C32" s="284">
        <v>100</v>
      </c>
      <c r="D32" s="284">
        <v>99.1</v>
      </c>
      <c r="E32" s="284">
        <v>98.3</v>
      </c>
      <c r="F32" s="268"/>
      <c r="G32" s="268"/>
      <c r="H32" s="282"/>
    </row>
    <row r="33" spans="2:8" ht="15.75" thickBot="1">
      <c r="B33" s="196"/>
      <c r="C33" s="268"/>
      <c r="D33" s="268"/>
      <c r="E33" s="268"/>
      <c r="F33" s="268"/>
      <c r="G33" s="268"/>
      <c r="H33" s="268"/>
    </row>
    <row r="34" spans="2:3" ht="15.75" thickBot="1">
      <c r="B34" s="86"/>
      <c r="C34" s="89">
        <v>2020</v>
      </c>
    </row>
    <row r="35" spans="2:3" ht="15">
      <c r="B35" s="170" t="s">
        <v>485</v>
      </c>
      <c r="C35" s="90">
        <v>98.3</v>
      </c>
    </row>
    <row r="36" spans="2:3" ht="15.75" thickBot="1">
      <c r="B36" s="171" t="s">
        <v>607</v>
      </c>
      <c r="C36" s="27">
        <v>126.8</v>
      </c>
    </row>
  </sheetData>
  <mergeCells count="7">
    <mergeCell ref="I20:J20"/>
    <mergeCell ref="B20:B21"/>
    <mergeCell ref="C20:C21"/>
    <mergeCell ref="D20:D21"/>
    <mergeCell ref="E20:F20"/>
    <mergeCell ref="G20:G21"/>
    <mergeCell ref="H20:H21"/>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36"/>
  <sheetViews>
    <sheetView zoomScale="90" zoomScaleNormal="90" workbookViewId="0" topLeftCell="A1">
      <selection activeCell="G39" sqref="G39"/>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12" ht="18.75">
      <c r="B1" s="635" t="s">
        <v>77</v>
      </c>
      <c r="C1" s="580"/>
      <c r="D1" s="580"/>
      <c r="E1" s="127"/>
      <c r="F1" s="127"/>
      <c r="G1" s="127"/>
      <c r="H1" s="127"/>
      <c r="I1" s="127"/>
      <c r="J1" s="127"/>
      <c r="K1" s="127"/>
      <c r="L1" s="127"/>
    </row>
    <row r="2" spans="2:12" ht="4.5" customHeight="1">
      <c r="B2" s="580"/>
      <c r="C2" s="580"/>
      <c r="D2" s="580"/>
      <c r="E2" s="127"/>
      <c r="F2" s="127"/>
      <c r="G2" s="127"/>
      <c r="H2" s="127"/>
      <c r="I2" s="127"/>
      <c r="J2" s="127"/>
      <c r="K2" s="127"/>
      <c r="L2" s="127"/>
    </row>
    <row r="3" spans="2:12" ht="15">
      <c r="B3" s="636"/>
      <c r="C3" s="637" t="s">
        <v>27</v>
      </c>
      <c r="D3" s="580"/>
      <c r="E3" s="127"/>
      <c r="F3" s="127"/>
      <c r="G3" s="127"/>
      <c r="H3" s="127"/>
      <c r="I3" s="127"/>
      <c r="J3" s="127"/>
      <c r="K3" s="127"/>
      <c r="L3" s="127"/>
    </row>
    <row r="4" spans="2:12" ht="15">
      <c r="B4" s="580"/>
      <c r="C4" s="637" t="s">
        <v>316</v>
      </c>
      <c r="D4" s="580"/>
      <c r="E4" s="127"/>
      <c r="F4" s="127"/>
      <c r="G4" s="127"/>
      <c r="H4" s="127"/>
      <c r="I4" s="127"/>
      <c r="J4" s="127"/>
      <c r="K4" s="127"/>
      <c r="L4" s="127"/>
    </row>
    <row r="5" spans="2:12" ht="14.25" customHeight="1">
      <c r="B5" s="127"/>
      <c r="C5" s="637" t="s">
        <v>317</v>
      </c>
      <c r="D5" s="127"/>
      <c r="E5" s="127"/>
      <c r="F5" s="127"/>
      <c r="G5" s="127"/>
      <c r="H5" s="127"/>
      <c r="I5" s="127"/>
      <c r="J5" s="127"/>
      <c r="K5" s="127"/>
      <c r="L5" s="127"/>
    </row>
    <row r="6" spans="2:12" s="169" customFormat="1" ht="14.25" customHeight="1">
      <c r="B6" s="127"/>
      <c r="C6" s="637"/>
      <c r="D6" s="637" t="s">
        <v>317</v>
      </c>
      <c r="E6" s="127"/>
      <c r="F6" s="127"/>
      <c r="G6" s="127"/>
      <c r="H6" s="127"/>
      <c r="I6" s="127"/>
      <c r="J6" s="127"/>
      <c r="K6" s="127"/>
      <c r="L6" s="127"/>
    </row>
    <row r="7" spans="2:12" s="169" customFormat="1" ht="14.25" customHeight="1">
      <c r="B7" s="636" t="s">
        <v>608</v>
      </c>
      <c r="C7" s="351"/>
      <c r="D7" s="580">
        <v>2020</v>
      </c>
      <c r="E7" s="580">
        <v>2021</v>
      </c>
      <c r="F7" s="127"/>
      <c r="G7" s="127"/>
      <c r="H7" s="127"/>
      <c r="I7" s="127"/>
      <c r="J7" s="127"/>
      <c r="K7" s="127"/>
      <c r="L7" s="127"/>
    </row>
    <row r="9" spans="2:12" s="169" customFormat="1" ht="14.25" customHeight="1">
      <c r="B9" s="580"/>
      <c r="C9" s="637"/>
      <c r="D9" s="580"/>
      <c r="E9" s="580"/>
      <c r="F9" s="127"/>
      <c r="G9" s="127"/>
      <c r="H9" s="127"/>
      <c r="I9" s="127"/>
      <c r="J9" s="127"/>
      <c r="K9" s="127"/>
      <c r="L9" s="127"/>
    </row>
    <row r="10" spans="2:12" s="169" customFormat="1" ht="14.25" customHeight="1">
      <c r="B10" s="636" t="s">
        <v>614</v>
      </c>
      <c r="C10" s="637"/>
      <c r="D10" s="580"/>
      <c r="E10" s="580"/>
      <c r="F10" s="127"/>
      <c r="G10" s="127"/>
      <c r="H10" s="127"/>
      <c r="I10" s="127"/>
      <c r="J10" s="127"/>
      <c r="K10" s="127"/>
      <c r="L10" s="127"/>
    </row>
    <row r="11" spans="2:12" s="169" customFormat="1" ht="14.25" customHeight="1">
      <c r="B11" s="580" t="s">
        <v>609</v>
      </c>
      <c r="C11" s="637" t="s">
        <v>612</v>
      </c>
      <c r="D11" s="580"/>
      <c r="E11" s="580"/>
      <c r="F11" s="127"/>
      <c r="G11" s="127"/>
      <c r="H11" s="127"/>
      <c r="I11" s="127"/>
      <c r="J11" s="127"/>
      <c r="K11" s="127"/>
      <c r="L11" s="127"/>
    </row>
    <row r="12" spans="2:12" s="169" customFormat="1" ht="14.25" customHeight="1">
      <c r="B12" s="636" t="s">
        <v>616</v>
      </c>
      <c r="C12" s="637"/>
      <c r="D12" s="580"/>
      <c r="E12" s="580"/>
      <c r="F12" s="127"/>
      <c r="G12" s="127"/>
      <c r="H12" s="127"/>
      <c r="I12" s="127"/>
      <c r="J12" s="127"/>
      <c r="K12" s="127"/>
      <c r="L12" s="127"/>
    </row>
    <row r="13" spans="2:12" s="169" customFormat="1" ht="14.25" customHeight="1">
      <c r="B13" s="580" t="s">
        <v>615</v>
      </c>
      <c r="C13" s="637" t="s">
        <v>612</v>
      </c>
      <c r="D13" s="580">
        <v>35</v>
      </c>
      <c r="E13" s="580">
        <v>36</v>
      </c>
      <c r="F13" s="127"/>
      <c r="H13" s="127"/>
      <c r="I13" s="127"/>
      <c r="J13" s="127"/>
      <c r="K13" s="127"/>
      <c r="L13" s="127"/>
    </row>
    <row r="14" spans="2:16" s="169" customFormat="1" ht="14.25" customHeight="1">
      <c r="B14" s="580" t="s">
        <v>610</v>
      </c>
      <c r="C14" s="351"/>
      <c r="D14" s="638">
        <f>104.015</f>
        <v>104.015</v>
      </c>
      <c r="E14" s="580">
        <v>90.245</v>
      </c>
      <c r="F14" s="127"/>
      <c r="G14" s="580" t="s">
        <v>618</v>
      </c>
      <c r="H14" s="580"/>
      <c r="I14" s="580"/>
      <c r="J14" s="580"/>
      <c r="K14" s="580"/>
      <c r="L14" s="580"/>
      <c r="M14" s="580"/>
      <c r="N14" s="580"/>
      <c r="O14" s="580"/>
      <c r="P14" s="580"/>
    </row>
    <row r="15" spans="2:16" s="169" customFormat="1" ht="14.25" customHeight="1">
      <c r="B15" s="580" t="s">
        <v>611</v>
      </c>
      <c r="C15" s="637" t="s">
        <v>612</v>
      </c>
      <c r="D15" s="580">
        <v>2.5</v>
      </c>
      <c r="E15" s="580">
        <v>2.5</v>
      </c>
      <c r="F15" s="127"/>
      <c r="G15" s="580" t="s">
        <v>619</v>
      </c>
      <c r="H15" s="580"/>
      <c r="I15" s="580"/>
      <c r="J15" s="580"/>
      <c r="K15" s="580"/>
      <c r="L15" s="580"/>
      <c r="M15" s="580"/>
      <c r="N15" s="580"/>
      <c r="O15" s="580"/>
      <c r="P15" s="580"/>
    </row>
    <row r="16" spans="2:12" s="169" customFormat="1" ht="14.25" customHeight="1">
      <c r="B16" s="580" t="s">
        <v>613</v>
      </c>
      <c r="C16" s="351"/>
      <c r="D16" s="638">
        <v>4364.445</v>
      </c>
      <c r="E16" s="580">
        <v>6.2</v>
      </c>
      <c r="F16" s="127"/>
      <c r="G16" s="580" t="s">
        <v>620</v>
      </c>
      <c r="H16" s="127"/>
      <c r="I16" s="127"/>
      <c r="J16" s="127"/>
      <c r="K16" s="127"/>
      <c r="L16" s="127"/>
    </row>
    <row r="17" spans="2:12" s="169" customFormat="1" ht="14.25" customHeight="1">
      <c r="B17" s="196" t="s">
        <v>617</v>
      </c>
      <c r="C17" s="639"/>
      <c r="D17" s="640">
        <v>4505.96</v>
      </c>
      <c r="E17" s="640">
        <v>134</v>
      </c>
      <c r="F17" s="127"/>
      <c r="H17" s="127"/>
      <c r="I17" s="127"/>
      <c r="J17" s="127"/>
      <c r="K17" s="127"/>
      <c r="L17" s="127"/>
    </row>
    <row r="18" spans="2:10" ht="15">
      <c r="B18" s="196"/>
      <c r="C18" s="224"/>
      <c r="D18"/>
      <c r="E18"/>
      <c r="F18"/>
      <c r="G18"/>
      <c r="H18"/>
      <c r="I18"/>
      <c r="J18"/>
    </row>
    <row r="19" spans="2:10" ht="15">
      <c r="B19"/>
      <c r="C19" s="224"/>
      <c r="D19"/>
      <c r="E19"/>
      <c r="F19"/>
      <c r="G19"/>
      <c r="H19"/>
      <c r="I19"/>
      <c r="J19"/>
    </row>
    <row r="20" spans="2:10" ht="15.75" thickBot="1">
      <c r="B20" s="196"/>
      <c r="C20" s="224"/>
      <c r="D20"/>
      <c r="E20" t="s">
        <v>444</v>
      </c>
      <c r="F20"/>
      <c r="G20"/>
      <c r="H20"/>
      <c r="I20"/>
      <c r="J20"/>
    </row>
    <row r="21" spans="2:10" ht="15">
      <c r="B21" s="681" t="s">
        <v>1</v>
      </c>
      <c r="C21" s="683" t="s">
        <v>3</v>
      </c>
      <c r="D21" s="677" t="s">
        <v>4</v>
      </c>
      <c r="E21" s="687" t="s">
        <v>5</v>
      </c>
      <c r="F21" s="688"/>
      <c r="G21" s="689" t="s">
        <v>6</v>
      </c>
      <c r="H21" s="693" t="s">
        <v>12</v>
      </c>
      <c r="I21" s="679" t="s">
        <v>7</v>
      </c>
      <c r="J21" s="680"/>
    </row>
    <row r="22" spans="2:10" ht="15" customHeight="1" thickBot="1">
      <c r="B22" s="682"/>
      <c r="C22" s="684"/>
      <c r="D22" s="678"/>
      <c r="E22" s="311" t="s">
        <v>10</v>
      </c>
      <c r="F22" s="291" t="s">
        <v>11</v>
      </c>
      <c r="G22" s="690"/>
      <c r="H22" s="694"/>
      <c r="I22" s="311" t="s">
        <v>10</v>
      </c>
      <c r="J22" s="294" t="s">
        <v>11</v>
      </c>
    </row>
    <row r="23" spans="2:10" ht="15" customHeight="1">
      <c r="B23" s="288"/>
      <c r="C23" s="608"/>
      <c r="D23" s="248"/>
      <c r="E23" s="286"/>
      <c r="F23" s="250"/>
      <c r="G23" s="295">
        <v>0</v>
      </c>
      <c r="H23" s="308">
        <v>0</v>
      </c>
      <c r="I23" s="312">
        <f aca="true" t="shared" si="0" ref="I23">E23</f>
        <v>0</v>
      </c>
      <c r="J23" s="260"/>
    </row>
    <row r="24" spans="2:10" ht="15">
      <c r="B24" s="288"/>
      <c r="C24" s="286"/>
      <c r="D24" s="252"/>
      <c r="E24" s="266"/>
      <c r="F24" s="253"/>
      <c r="G24" s="288">
        <v>0</v>
      </c>
      <c r="H24" s="309">
        <v>0</v>
      </c>
      <c r="I24" s="269"/>
      <c r="J24" s="250"/>
    </row>
    <row r="25" spans="2:10" ht="15.75" thickBot="1">
      <c r="B25" s="607"/>
      <c r="C25" s="255"/>
      <c r="D25" s="256"/>
      <c r="E25" s="300">
        <v>0</v>
      </c>
      <c r="F25" s="258"/>
      <c r="G25" s="295"/>
      <c r="H25" s="308"/>
      <c r="I25" s="257"/>
      <c r="J25" s="262"/>
    </row>
    <row r="26" spans="2:10" ht="16.5" thickBot="1" thickTop="1">
      <c r="B26" s="606" t="s">
        <v>9</v>
      </c>
      <c r="C26" s="609"/>
      <c r="D26" s="317"/>
      <c r="E26" s="292">
        <f>D17</f>
        <v>4505.96</v>
      </c>
      <c r="F26" s="298">
        <f>E26*D31/E31</f>
        <v>4081.2700848256363</v>
      </c>
      <c r="G26" s="293">
        <v>0</v>
      </c>
      <c r="H26" s="310">
        <v>0</v>
      </c>
      <c r="I26" s="287">
        <f>E26+G26-H26</f>
        <v>4505.96</v>
      </c>
      <c r="J26" s="299">
        <f>I26*D31/E31</f>
        <v>4081.2700848256363</v>
      </c>
    </row>
    <row r="27" spans="2:10" ht="15">
      <c r="B27" s="318"/>
      <c r="C27" s="270"/>
      <c r="D27" s="268"/>
      <c r="E27" s="270"/>
      <c r="F27" s="270"/>
      <c r="G27" s="268"/>
      <c r="H27" s="270"/>
      <c r="I27" s="270"/>
      <c r="J27" s="270"/>
    </row>
    <row r="28" spans="2:10" ht="15">
      <c r="B28" s="268"/>
      <c r="C28" s="268"/>
      <c r="D28" s="268"/>
      <c r="E28" s="268"/>
      <c r="F28" s="319"/>
      <c r="G28" s="268"/>
      <c r="H28" s="268"/>
      <c r="I28" s="268"/>
      <c r="J28" s="268"/>
    </row>
    <row r="29" spans="2:10" ht="15">
      <c r="B29"/>
      <c r="C29"/>
      <c r="D29"/>
      <c r="E29"/>
      <c r="F29"/>
      <c r="G29"/>
      <c r="H29"/>
      <c r="I29"/>
      <c r="J29"/>
    </row>
    <row r="30" spans="2:10" ht="15">
      <c r="B30" s="245"/>
      <c r="C30" s="283">
        <v>2015</v>
      </c>
      <c r="D30" s="283">
        <v>2019</v>
      </c>
      <c r="E30" s="283">
        <v>2020</v>
      </c>
      <c r="F30"/>
      <c r="G30"/>
      <c r="H30"/>
      <c r="I30"/>
      <c r="J30"/>
    </row>
    <row r="31" spans="2:10" ht="15">
      <c r="B31" s="246" t="s">
        <v>412</v>
      </c>
      <c r="C31" s="284">
        <v>100</v>
      </c>
      <c r="D31" s="284">
        <v>96.1</v>
      </c>
      <c r="E31" s="284">
        <v>106.1</v>
      </c>
      <c r="F31"/>
      <c r="G31"/>
      <c r="H31"/>
      <c r="I31"/>
      <c r="J31"/>
    </row>
    <row r="32" spans="2:10" ht="15.75" thickBot="1">
      <c r="B32" s="196"/>
      <c r="C32"/>
      <c r="D32"/>
      <c r="E32"/>
      <c r="F32"/>
      <c r="G32"/>
      <c r="H32"/>
      <c r="I32"/>
      <c r="J32"/>
    </row>
    <row r="33" spans="2:10" ht="15.75" thickBot="1">
      <c r="B33" s="86"/>
      <c r="C33" s="89">
        <v>2020</v>
      </c>
      <c r="D33"/>
      <c r="E33"/>
      <c r="F33"/>
      <c r="G33"/>
      <c r="H33"/>
      <c r="I33"/>
      <c r="J33"/>
    </row>
    <row r="34" spans="2:10" ht="15">
      <c r="B34" s="170" t="s">
        <v>412</v>
      </c>
      <c r="C34" s="304">
        <v>106.1</v>
      </c>
      <c r="D34"/>
      <c r="E34"/>
      <c r="F34"/>
      <c r="G34"/>
      <c r="H34"/>
      <c r="I34"/>
      <c r="J34"/>
    </row>
    <row r="35" spans="2:10" ht="15.75" thickBot="1">
      <c r="B35" s="171" t="s">
        <v>413</v>
      </c>
      <c r="C35" s="306">
        <v>81.6720471978743</v>
      </c>
      <c r="D35"/>
      <c r="E35"/>
      <c r="F35"/>
      <c r="G35"/>
      <c r="H35"/>
      <c r="I35"/>
      <c r="J35"/>
    </row>
    <row r="36" spans="2:10" ht="15">
      <c r="B36"/>
      <c r="C36"/>
      <c r="D36"/>
      <c r="E36"/>
      <c r="F36"/>
      <c r="G36"/>
      <c r="H36"/>
      <c r="I36"/>
      <c r="J36"/>
    </row>
  </sheetData>
  <mergeCells count="7">
    <mergeCell ref="H21:H22"/>
    <mergeCell ref="I21:J21"/>
    <mergeCell ref="B21:B22"/>
    <mergeCell ref="C21:C22"/>
    <mergeCell ref="D21:D22"/>
    <mergeCell ref="E21:F21"/>
    <mergeCell ref="G21:G22"/>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5"/>
  <sheetViews>
    <sheetView zoomScale="90" zoomScaleNormal="90" workbookViewId="0" topLeftCell="A1">
      <selection activeCell="C35" sqref="C35"/>
    </sheetView>
  </sheetViews>
  <sheetFormatPr defaultColWidth="8.8515625" defaultRowHeight="15"/>
  <cols>
    <col min="1" max="1" width="5.00390625" style="169" bestFit="1" customWidth="1"/>
    <col min="2" max="2" width="42.8515625" style="169" bestFit="1" customWidth="1"/>
    <col min="3" max="4" width="20.7109375" style="169" customWidth="1"/>
    <col min="5" max="5" width="17.57421875" style="169" customWidth="1"/>
    <col min="6" max="10" width="14.140625" style="169" bestFit="1" customWidth="1"/>
    <col min="11" max="11" width="17.00390625" style="169" bestFit="1" customWidth="1"/>
    <col min="12" max="12" width="12.7109375" style="169" bestFit="1" customWidth="1"/>
    <col min="13" max="13" width="11.421875" style="169" customWidth="1"/>
    <col min="14" max="16384" width="8.8515625" style="169" customWidth="1"/>
  </cols>
  <sheetData>
    <row r="1" ht="18.75">
      <c r="B1" s="6" t="s">
        <v>78</v>
      </c>
    </row>
    <row r="2" ht="4.5" customHeight="1"/>
    <row r="3" spans="2:4" ht="15">
      <c r="B3" s="7" t="s">
        <v>363</v>
      </c>
      <c r="C3" s="729" t="s">
        <v>317</v>
      </c>
      <c r="D3" s="603">
        <v>4472.233880945219</v>
      </c>
    </row>
    <row r="4" spans="2:3" ht="15">
      <c r="B4" s="28" t="s">
        <v>79</v>
      </c>
      <c r="C4" s="729"/>
    </row>
    <row r="5" ht="14.25" customHeight="1">
      <c r="C5" s="729"/>
    </row>
    <row r="6" spans="2:12" ht="31.9" customHeight="1">
      <c r="B6" s="707" t="s">
        <v>312</v>
      </c>
      <c r="C6" s="707"/>
      <c r="D6" s="707"/>
      <c r="E6" s="707"/>
      <c r="F6" s="707"/>
      <c r="G6" s="707"/>
      <c r="H6" s="707"/>
      <c r="I6" s="707"/>
      <c r="J6" s="707"/>
      <c r="K6" s="707"/>
      <c r="L6" s="707"/>
    </row>
    <row r="7" ht="14.25" customHeight="1" thickBot="1"/>
    <row r="8" spans="2:4" ht="16.5" customHeight="1" thickBot="1">
      <c r="B8" s="378"/>
      <c r="C8" s="379" t="s">
        <v>3</v>
      </c>
      <c r="D8" s="9"/>
    </row>
    <row r="9" spans="1:4" ht="15">
      <c r="A9" s="10">
        <v>1</v>
      </c>
      <c r="B9" s="381" t="s">
        <v>0</v>
      </c>
      <c r="C9" s="751"/>
      <c r="D9" s="38"/>
    </row>
    <row r="10" spans="1:3" ht="15">
      <c r="A10" s="10">
        <v>2</v>
      </c>
      <c r="B10" s="752" t="s">
        <v>8</v>
      </c>
      <c r="C10" s="383"/>
    </row>
    <row r="11" spans="1:3" ht="15.75" thickBot="1">
      <c r="A11" s="10">
        <v>3</v>
      </c>
      <c r="B11" s="753" t="s">
        <v>2</v>
      </c>
      <c r="C11" s="754"/>
    </row>
    <row r="12" spans="2:3" ht="15">
      <c r="B12" s="14"/>
      <c r="C12" s="15"/>
    </row>
    <row r="13" spans="2:3" ht="15.75" thickBot="1">
      <c r="B13" s="16"/>
      <c r="C13" s="17"/>
    </row>
    <row r="14" spans="2:14" ht="16.5" customHeight="1">
      <c r="B14" s="657" t="s">
        <v>1</v>
      </c>
      <c r="C14" s="659" t="s">
        <v>3</v>
      </c>
      <c r="D14" s="677" t="s">
        <v>4</v>
      </c>
      <c r="E14" s="663" t="s">
        <v>5</v>
      </c>
      <c r="F14" s="664"/>
      <c r="G14" s="663" t="s">
        <v>6</v>
      </c>
      <c r="H14" s="664"/>
      <c r="I14" s="663" t="s">
        <v>12</v>
      </c>
      <c r="J14" s="664"/>
      <c r="K14" s="655" t="s">
        <v>7</v>
      </c>
      <c r="L14" s="656"/>
      <c r="N14" s="26"/>
    </row>
    <row r="15" spans="2:12" ht="15.75" thickBot="1">
      <c r="B15" s="658"/>
      <c r="C15" s="660"/>
      <c r="D15" s="678"/>
      <c r="E15" s="81" t="s">
        <v>10</v>
      </c>
      <c r="F15" s="82" t="s">
        <v>11</v>
      </c>
      <c r="G15" s="81" t="s">
        <v>10</v>
      </c>
      <c r="H15" s="82" t="s">
        <v>11</v>
      </c>
      <c r="I15" s="81" t="s">
        <v>10</v>
      </c>
      <c r="J15" s="82" t="s">
        <v>11</v>
      </c>
      <c r="K15" s="81" t="s">
        <v>10</v>
      </c>
      <c r="L15" s="644" t="s">
        <v>11</v>
      </c>
    </row>
    <row r="16" spans="1:14" ht="15">
      <c r="A16" s="10">
        <v>6</v>
      </c>
      <c r="B16" s="40" t="s">
        <v>75</v>
      </c>
      <c r="C16" s="77"/>
      <c r="D16" s="78"/>
      <c r="E16" s="79"/>
      <c r="F16" s="80"/>
      <c r="G16" s="79"/>
      <c r="H16" s="80"/>
      <c r="I16" s="79"/>
      <c r="J16" s="80"/>
      <c r="K16" s="79"/>
      <c r="L16" s="80"/>
      <c r="N16" s="28"/>
    </row>
    <row r="17" spans="1:14" ht="15">
      <c r="A17" s="10">
        <v>7</v>
      </c>
      <c r="B17" s="40" t="s">
        <v>31</v>
      </c>
      <c r="C17" s="77"/>
      <c r="D17" s="78"/>
      <c r="E17" s="79"/>
      <c r="F17" s="80"/>
      <c r="G17" s="79"/>
      <c r="H17" s="80"/>
      <c r="I17" s="79"/>
      <c r="J17" s="80"/>
      <c r="K17" s="79"/>
      <c r="L17" s="80"/>
      <c r="N17" s="28"/>
    </row>
    <row r="18" spans="1:14" ht="15">
      <c r="A18" s="10">
        <v>8</v>
      </c>
      <c r="B18" s="732" t="s">
        <v>32</v>
      </c>
      <c r="C18" s="204"/>
      <c r="D18" s="482"/>
      <c r="E18" s="50"/>
      <c r="F18" s="206"/>
      <c r="G18" s="50"/>
      <c r="H18" s="206"/>
      <c r="I18" s="50"/>
      <c r="J18" s="206"/>
      <c r="K18" s="50"/>
      <c r="L18" s="206"/>
      <c r="N18" s="28" t="str">
        <f aca="true" t="shared" si="0" ref="N18:N24">IF(AND(ISNUMBER(C18)=TRUE,C18&gt;0),ROUND(E18,5)=ROUND(C18*D18/10^3,5),"")</f>
        <v/>
      </c>
    </row>
    <row r="19" spans="1:14" ht="15">
      <c r="A19" s="10">
        <v>10</v>
      </c>
      <c r="B19" s="732" t="s">
        <v>33</v>
      </c>
      <c r="C19" s="204"/>
      <c r="D19" s="482"/>
      <c r="E19" s="50" t="s">
        <v>315</v>
      </c>
      <c r="F19" s="206"/>
      <c r="G19" s="50"/>
      <c r="H19" s="206"/>
      <c r="I19" s="50"/>
      <c r="J19" s="206"/>
      <c r="K19" s="50"/>
      <c r="L19" s="206"/>
      <c r="N19" s="28" t="str">
        <f t="shared" si="0"/>
        <v/>
      </c>
    </row>
    <row r="20" spans="1:14" ht="15">
      <c r="A20" s="10">
        <v>11</v>
      </c>
      <c r="B20" s="732" t="s">
        <v>34</v>
      </c>
      <c r="C20" s="204"/>
      <c r="D20" s="482"/>
      <c r="E20" s="50" t="s">
        <v>315</v>
      </c>
      <c r="F20" s="206"/>
      <c r="G20" s="50"/>
      <c r="H20" s="206"/>
      <c r="I20" s="50"/>
      <c r="J20" s="206"/>
      <c r="K20" s="50"/>
      <c r="L20" s="206"/>
      <c r="N20" s="28" t="str">
        <f t="shared" si="0"/>
        <v/>
      </c>
    </row>
    <row r="21" spans="1:14" ht="15">
      <c r="A21" s="10" t="s">
        <v>35</v>
      </c>
      <c r="B21" s="732" t="s">
        <v>36</v>
      </c>
      <c r="C21" s="204"/>
      <c r="D21" s="482"/>
      <c r="E21" s="50">
        <v>0</v>
      </c>
      <c r="F21" s="206"/>
      <c r="G21" s="50"/>
      <c r="H21" s="206"/>
      <c r="I21" s="50"/>
      <c r="J21" s="206"/>
      <c r="K21" s="50"/>
      <c r="L21" s="206"/>
      <c r="N21" s="28" t="str">
        <f>IF(AND(ISNUMBER(C21)=TRUE,C21&gt;0),ROUND(E21,5)=ROUND(C21*D21/10^3,5),"")</f>
        <v/>
      </c>
    </row>
    <row r="22" spans="1:14" ht="15">
      <c r="A22" s="10" t="s">
        <v>37</v>
      </c>
      <c r="B22" s="732" t="s">
        <v>38</v>
      </c>
      <c r="C22" s="204"/>
      <c r="D22" s="482"/>
      <c r="E22" s="50" t="s">
        <v>315</v>
      </c>
      <c r="F22" s="206"/>
      <c r="G22" s="50"/>
      <c r="H22" s="206"/>
      <c r="I22" s="50"/>
      <c r="J22" s="206"/>
      <c r="K22" s="50"/>
      <c r="L22" s="206"/>
      <c r="N22" s="28" t="str">
        <f t="shared" si="0"/>
        <v/>
      </c>
    </row>
    <row r="23" spans="1:14" ht="15">
      <c r="A23" s="10" t="s">
        <v>39</v>
      </c>
      <c r="B23" s="732" t="s">
        <v>40</v>
      </c>
      <c r="C23" s="55"/>
      <c r="D23" s="482"/>
      <c r="E23" s="50" t="s">
        <v>315</v>
      </c>
      <c r="F23" s="206"/>
      <c r="G23" s="50"/>
      <c r="H23" s="206"/>
      <c r="I23" s="50"/>
      <c r="J23" s="206"/>
      <c r="K23" s="50"/>
      <c r="L23" s="206"/>
      <c r="N23" s="28"/>
    </row>
    <row r="24" spans="1:14" ht="15">
      <c r="A24" s="10">
        <v>13</v>
      </c>
      <c r="B24" s="732" t="s">
        <v>41</v>
      </c>
      <c r="C24" s="55"/>
      <c r="D24" s="482"/>
      <c r="E24" s="50"/>
      <c r="F24" s="206"/>
      <c r="G24" s="50"/>
      <c r="H24" s="206"/>
      <c r="I24" s="50"/>
      <c r="J24" s="206"/>
      <c r="K24" s="50"/>
      <c r="L24" s="206"/>
      <c r="N24" s="28" t="str">
        <f t="shared" si="0"/>
        <v/>
      </c>
    </row>
    <row r="25" spans="1:14" ht="15.75" thickBot="1">
      <c r="A25" s="10">
        <v>16</v>
      </c>
      <c r="B25" s="732" t="s">
        <v>25</v>
      </c>
      <c r="C25" s="55"/>
      <c r="D25" s="482"/>
      <c r="E25" s="50"/>
      <c r="F25" s="206"/>
      <c r="G25" s="50"/>
      <c r="H25" s="206"/>
      <c r="I25" s="50"/>
      <c r="J25" s="206"/>
      <c r="K25" s="50"/>
      <c r="L25" s="206"/>
      <c r="N25" s="28" t="str">
        <f>IF(AND(ISNUMBER(C25)=TRUE,C25&lt;&gt;0),ROUND(E25,5)=ROUND(C25*D25/10^3,5),"")</f>
        <v/>
      </c>
    </row>
    <row r="26" spans="1:12" ht="15.75" thickBot="1">
      <c r="A26" s="10">
        <v>17</v>
      </c>
      <c r="B26" s="22" t="s">
        <v>9</v>
      </c>
      <c r="C26" s="33"/>
      <c r="D26" s="23"/>
      <c r="E26" s="24">
        <f>D3</f>
        <v>4472.233880945219</v>
      </c>
      <c r="F26" s="25">
        <v>4445.8147291677415</v>
      </c>
      <c r="G26" s="24">
        <v>0</v>
      </c>
      <c r="H26" s="25">
        <v>0</v>
      </c>
      <c r="I26" s="24">
        <v>0</v>
      </c>
      <c r="J26" s="25">
        <v>0</v>
      </c>
      <c r="K26" s="24">
        <f>E26+G26-I26</f>
        <v>4472.233880945219</v>
      </c>
      <c r="L26" s="25">
        <f>F26+H26-J26</f>
        <v>4445.8147291677415</v>
      </c>
    </row>
    <row r="27" spans="3:12" ht="15">
      <c r="C27" s="14"/>
      <c r="E27" s="14"/>
      <c r="F27" s="14"/>
      <c r="G27" s="14"/>
      <c r="H27" s="14"/>
      <c r="I27" s="14"/>
      <c r="J27" s="14"/>
      <c r="K27" s="14"/>
      <c r="L27" s="14"/>
    </row>
    <row r="28" ht="15">
      <c r="B28" s="26"/>
    </row>
    <row r="29" ht="15.75" thickBot="1"/>
    <row r="30" spans="2:4" ht="15.75" thickBot="1">
      <c r="B30" s="86"/>
      <c r="C30" s="89">
        <v>2019</v>
      </c>
      <c r="D30" s="89">
        <v>2020</v>
      </c>
    </row>
    <row r="31" spans="2:4" ht="15">
      <c r="B31" s="181" t="s">
        <v>412</v>
      </c>
      <c r="C31" s="90">
        <v>116.076550830146</v>
      </c>
      <c r="D31" s="90">
        <v>116.76633306377539</v>
      </c>
    </row>
    <row r="32" spans="2:4" ht="15.75" thickBot="1">
      <c r="B32" s="407" t="s">
        <v>413</v>
      </c>
      <c r="C32" s="741"/>
      <c r="D32" s="27">
        <f>K26/D31*100</f>
        <v>3830.0713601261905</v>
      </c>
    </row>
    <row r="33" ht="15.75" thickBot="1"/>
    <row r="34" spans="2:3" ht="15.75" thickBot="1">
      <c r="B34" s="301"/>
      <c r="C34" s="302">
        <v>2020</v>
      </c>
    </row>
    <row r="35" spans="2:5" ht="15">
      <c r="B35" s="303" t="s">
        <v>589</v>
      </c>
      <c r="C35" s="304">
        <f>K26/D31*C31</f>
        <v>4445.8147291677415</v>
      </c>
      <c r="E35" s="169" t="s">
        <v>588</v>
      </c>
    </row>
  </sheetData>
  <mergeCells count="8">
    <mergeCell ref="B6:L6"/>
    <mergeCell ref="K14:L14"/>
    <mergeCell ref="B14:B15"/>
    <mergeCell ref="C14:C15"/>
    <mergeCell ref="D14:D15"/>
    <mergeCell ref="E14:F14"/>
    <mergeCell ref="G14:H14"/>
    <mergeCell ref="I14:J14"/>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9">
    <cfRule type="cellIs" priority="3" dxfId="1" operator="equal">
      <formula>FALSE</formula>
    </cfRule>
    <cfRule type="cellIs" priority="4" dxfId="0" operator="equal">
      <formula>TRUE</formula>
    </cfRule>
  </conditionalFormatting>
  <conditionalFormatting sqref="N16: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5"/>
  <sheetViews>
    <sheetView zoomScale="90" zoomScaleNormal="90" workbookViewId="0" topLeftCell="A1">
      <selection activeCell="D41" sqref="D41"/>
    </sheetView>
  </sheetViews>
  <sheetFormatPr defaultColWidth="8.8515625" defaultRowHeight="15"/>
  <cols>
    <col min="1" max="1" width="5.00390625" style="169" bestFit="1" customWidth="1"/>
    <col min="2" max="2" width="48.7109375" style="169" customWidth="1"/>
    <col min="3" max="4" width="20.7109375" style="169" customWidth="1"/>
    <col min="5" max="10" width="14.140625" style="169" bestFit="1" customWidth="1"/>
    <col min="11" max="11" width="17.00390625" style="169" bestFit="1" customWidth="1"/>
    <col min="12" max="12" width="12.7109375" style="169" bestFit="1" customWidth="1"/>
    <col min="13" max="13" width="11.421875" style="169" customWidth="1"/>
    <col min="14" max="16384" width="8.8515625" style="169" customWidth="1"/>
  </cols>
  <sheetData>
    <row r="1" ht="18.75">
      <c r="B1" s="6" t="s">
        <v>80</v>
      </c>
    </row>
    <row r="2" ht="4.5" customHeight="1"/>
    <row r="3" spans="2:4" ht="30">
      <c r="B3" s="44" t="s">
        <v>362</v>
      </c>
      <c r="C3" s="750" t="s">
        <v>317</v>
      </c>
      <c r="D3" s="603">
        <v>1275.6090449043745</v>
      </c>
    </row>
    <row r="4" spans="2:3" ht="15">
      <c r="B4" s="28" t="s">
        <v>81</v>
      </c>
      <c r="C4" s="729"/>
    </row>
    <row r="5" spans="2:3" ht="15.75" thickBot="1">
      <c r="B5" s="28"/>
      <c r="C5" s="729"/>
    </row>
    <row r="6" spans="2:6" ht="46.15" customHeight="1">
      <c r="B6" s="755"/>
      <c r="C6" s="353" t="s">
        <v>87</v>
      </c>
      <c r="D6" s="353" t="s">
        <v>369</v>
      </c>
      <c r="E6" s="354" t="s">
        <v>89</v>
      </c>
      <c r="F6" s="127"/>
    </row>
    <row r="7" spans="2:6" ht="15.75" thickBot="1">
      <c r="B7" s="756"/>
      <c r="C7" s="356" t="s">
        <v>323</v>
      </c>
      <c r="D7" s="356" t="s">
        <v>88</v>
      </c>
      <c r="E7" s="357" t="s">
        <v>324</v>
      </c>
      <c r="F7" s="127"/>
    </row>
    <row r="8" spans="2:6" ht="25.5">
      <c r="B8" s="757" t="s">
        <v>82</v>
      </c>
      <c r="C8" s="758">
        <v>0</v>
      </c>
      <c r="D8" s="759">
        <v>0</v>
      </c>
      <c r="E8" s="361">
        <f>C8*D8/10^6</f>
        <v>0</v>
      </c>
      <c r="F8" s="127"/>
    </row>
    <row r="9" spans="2:6" ht="25.5">
      <c r="B9" s="760" t="s">
        <v>83</v>
      </c>
      <c r="C9" s="758">
        <v>0</v>
      </c>
      <c r="D9" s="759">
        <v>0</v>
      </c>
      <c r="E9" s="458">
        <f>C9*D9/10^6</f>
        <v>0</v>
      </c>
      <c r="F9" s="127"/>
    </row>
    <row r="10" spans="2:6" ht="15">
      <c r="B10" s="761" t="s">
        <v>84</v>
      </c>
      <c r="C10" s="758">
        <v>0</v>
      </c>
      <c r="D10" s="759">
        <v>0</v>
      </c>
      <c r="E10" s="458">
        <f>C10*D10/10^6</f>
        <v>0</v>
      </c>
      <c r="F10" s="127"/>
    </row>
    <row r="11" spans="2:6" ht="15">
      <c r="B11" s="761" t="s">
        <v>85</v>
      </c>
      <c r="C11" s="758">
        <v>0</v>
      </c>
      <c r="D11" s="759">
        <v>0</v>
      </c>
      <c r="E11" s="458">
        <f>C11*D11/10^6</f>
        <v>0</v>
      </c>
      <c r="F11" s="127"/>
    </row>
    <row r="12" spans="2:6" ht="15">
      <c r="B12" s="761" t="s">
        <v>86</v>
      </c>
      <c r="C12" s="758">
        <v>0</v>
      </c>
      <c r="D12" s="759">
        <v>0</v>
      </c>
      <c r="E12" s="458">
        <f>C12*D12/10^6</f>
        <v>0</v>
      </c>
      <c r="F12" s="127"/>
    </row>
    <row r="13" spans="2:6" ht="15.75" thickBot="1">
      <c r="B13" s="762" t="s">
        <v>9</v>
      </c>
      <c r="C13" s="763"/>
      <c r="D13" s="764"/>
      <c r="E13" s="765">
        <f>SUM(E8:E12)</f>
        <v>0</v>
      </c>
      <c r="F13" s="127"/>
    </row>
    <row r="14" spans="2:6" ht="15">
      <c r="B14" s="127"/>
      <c r="C14" s="766"/>
      <c r="D14" s="127"/>
      <c r="E14" s="127"/>
      <c r="F14" s="127"/>
    </row>
    <row r="15" spans="2:6" ht="15">
      <c r="B15" s="127" t="s">
        <v>310</v>
      </c>
      <c r="C15" s="766"/>
      <c r="D15" s="127"/>
      <c r="E15" s="127"/>
      <c r="F15" s="127"/>
    </row>
    <row r="16" spans="2:6" ht="15">
      <c r="B16" s="127"/>
      <c r="C16" s="766"/>
      <c r="D16" s="127"/>
      <c r="E16" s="127"/>
      <c r="F16" s="127"/>
    </row>
    <row r="17" spans="2:6" ht="15.75" thickBot="1">
      <c r="B17" s="127"/>
      <c r="C17" s="766"/>
      <c r="D17" s="127"/>
      <c r="E17" s="127"/>
      <c r="F17" s="127"/>
    </row>
    <row r="18" spans="2:6" ht="16.5" customHeight="1" thickBot="1">
      <c r="B18" s="378"/>
      <c r="C18" s="379" t="s">
        <v>3</v>
      </c>
      <c r="D18" s="380"/>
      <c r="E18" s="127"/>
      <c r="F18" s="127"/>
    </row>
    <row r="19" spans="1:6" ht="15">
      <c r="A19" s="10">
        <v>1</v>
      </c>
      <c r="B19" s="381" t="s">
        <v>0</v>
      </c>
      <c r="C19" s="751"/>
      <c r="D19" s="767"/>
      <c r="E19" s="127"/>
      <c r="F19" s="127"/>
    </row>
    <row r="20" spans="1:6" ht="15">
      <c r="A20" s="10">
        <v>2</v>
      </c>
      <c r="B20" s="752" t="s">
        <v>8</v>
      </c>
      <c r="C20" s="383"/>
      <c r="D20" s="127"/>
      <c r="E20" s="127"/>
      <c r="F20" s="127"/>
    </row>
    <row r="21" spans="1:6" ht="15.75" thickBot="1">
      <c r="A21" s="10">
        <v>3</v>
      </c>
      <c r="B21" s="753" t="s">
        <v>2</v>
      </c>
      <c r="C21" s="754"/>
      <c r="D21" s="127"/>
      <c r="E21" s="127"/>
      <c r="F21" s="127"/>
    </row>
    <row r="22" spans="2:3" ht="15">
      <c r="B22" s="14"/>
      <c r="C22" s="15"/>
    </row>
    <row r="23" spans="2:3" ht="15.75" thickBot="1">
      <c r="B23" s="16"/>
      <c r="C23" s="17"/>
    </row>
    <row r="24" spans="2:14" ht="16.5" customHeight="1">
      <c r="B24" s="657" t="s">
        <v>1</v>
      </c>
      <c r="C24" s="659" t="s">
        <v>3</v>
      </c>
      <c r="D24" s="677" t="s">
        <v>4</v>
      </c>
      <c r="E24" s="663" t="s">
        <v>5</v>
      </c>
      <c r="F24" s="664"/>
      <c r="G24" s="663" t="s">
        <v>6</v>
      </c>
      <c r="H24" s="664"/>
      <c r="I24" s="663" t="s">
        <v>12</v>
      </c>
      <c r="J24" s="664"/>
      <c r="K24" s="655" t="s">
        <v>7</v>
      </c>
      <c r="L24" s="656"/>
      <c r="N24" s="26"/>
    </row>
    <row r="25" spans="2:12" ht="15.75" thickBot="1">
      <c r="B25" s="658"/>
      <c r="C25" s="660"/>
      <c r="D25" s="678"/>
      <c r="E25" s="81" t="s">
        <v>10</v>
      </c>
      <c r="F25" s="82" t="s">
        <v>11</v>
      </c>
      <c r="G25" s="81" t="s">
        <v>10</v>
      </c>
      <c r="H25" s="82" t="s">
        <v>11</v>
      </c>
      <c r="I25" s="81" t="s">
        <v>10</v>
      </c>
      <c r="J25" s="82" t="s">
        <v>11</v>
      </c>
      <c r="K25" s="81" t="s">
        <v>10</v>
      </c>
      <c r="L25" s="644" t="s">
        <v>11</v>
      </c>
    </row>
    <row r="26" spans="1:14" ht="15">
      <c r="A26" s="10">
        <v>6</v>
      </c>
      <c r="B26" s="40" t="s">
        <v>75</v>
      </c>
      <c r="C26" s="77"/>
      <c r="D26" s="78"/>
      <c r="E26" s="79"/>
      <c r="F26" s="80"/>
      <c r="G26" s="79"/>
      <c r="H26" s="80"/>
      <c r="I26" s="79"/>
      <c r="J26" s="80"/>
      <c r="K26" s="79"/>
      <c r="L26" s="80"/>
      <c r="N26" s="28"/>
    </row>
    <row r="27" spans="1:14" ht="15">
      <c r="A27" s="10">
        <v>7</v>
      </c>
      <c r="B27" s="40" t="s">
        <v>31</v>
      </c>
      <c r="C27" s="77"/>
      <c r="D27" s="78"/>
      <c r="E27" s="79"/>
      <c r="F27" s="80"/>
      <c r="G27" s="79"/>
      <c r="H27" s="80"/>
      <c r="I27" s="79"/>
      <c r="J27" s="80"/>
      <c r="K27" s="79"/>
      <c r="L27" s="80"/>
      <c r="N27" s="28"/>
    </row>
    <row r="28" spans="1:14" ht="15">
      <c r="A28" s="10">
        <v>8</v>
      </c>
      <c r="B28" s="732" t="s">
        <v>32</v>
      </c>
      <c r="C28" s="204"/>
      <c r="D28" s="482"/>
      <c r="E28" s="50"/>
      <c r="F28" s="206"/>
      <c r="G28" s="50"/>
      <c r="H28" s="206"/>
      <c r="I28" s="50"/>
      <c r="J28" s="206"/>
      <c r="K28" s="50"/>
      <c r="L28" s="206"/>
      <c r="N28" s="28" t="str">
        <f>IF(AND(ISNUMBER(C28)=TRUE,C28&gt;0),ROUND(E28,5)=ROUND(C28*D28/10^3,5),"")</f>
        <v/>
      </c>
    </row>
    <row r="29" spans="1:14" ht="15">
      <c r="A29" s="10">
        <v>10</v>
      </c>
      <c r="B29" s="732" t="s">
        <v>33</v>
      </c>
      <c r="C29" s="204"/>
      <c r="D29" s="482"/>
      <c r="E29" s="50"/>
      <c r="F29" s="206"/>
      <c r="G29" s="50"/>
      <c r="H29" s="206"/>
      <c r="I29" s="50"/>
      <c r="J29" s="206"/>
      <c r="K29" s="50"/>
      <c r="L29" s="206"/>
      <c r="N29" s="28" t="str">
        <f>IF(AND(ISNUMBER(C29)=TRUE,C29&gt;0),ROUND(E29,5)=ROUND(C29*D29/10^3,5),"")</f>
        <v/>
      </c>
    </row>
    <row r="30" spans="1:14" ht="15">
      <c r="A30" s="10">
        <v>11</v>
      </c>
      <c r="B30" s="732" t="s">
        <v>34</v>
      </c>
      <c r="C30" s="204"/>
      <c r="D30" s="482"/>
      <c r="E30" s="50"/>
      <c r="F30" s="206"/>
      <c r="G30" s="50"/>
      <c r="H30" s="206"/>
      <c r="I30" s="50"/>
      <c r="J30" s="206"/>
      <c r="K30" s="50"/>
      <c r="L30" s="206"/>
      <c r="N30" s="28" t="str">
        <f>IF(AND(ISNUMBER(C30)=TRUE,C30&gt;0),ROUND(E30,5)=ROUND(C30*D30/10^3,5),"")</f>
        <v/>
      </c>
    </row>
    <row r="31" spans="1:14" ht="15">
      <c r="A31" s="10" t="s">
        <v>35</v>
      </c>
      <c r="B31" s="732" t="s">
        <v>36</v>
      </c>
      <c r="C31" s="204"/>
      <c r="D31" s="482"/>
      <c r="E31" s="50"/>
      <c r="F31" s="206"/>
      <c r="G31" s="50"/>
      <c r="H31" s="206"/>
      <c r="I31" s="50"/>
      <c r="J31" s="206"/>
      <c r="K31" s="50"/>
      <c r="L31" s="206"/>
      <c r="N31" s="28" t="str">
        <f>IF(AND(ISNUMBER(C31)=TRUE,C31&gt;0),ROUND(E31,5)=ROUND(C31*D31/10^3,5),"")</f>
        <v/>
      </c>
    </row>
    <row r="32" spans="1:14" ht="15">
      <c r="A32" s="10" t="s">
        <v>37</v>
      </c>
      <c r="B32" s="732" t="s">
        <v>38</v>
      </c>
      <c r="C32" s="204"/>
      <c r="D32" s="482"/>
      <c r="E32" s="50">
        <v>0</v>
      </c>
      <c r="F32" s="206"/>
      <c r="G32" s="50"/>
      <c r="H32" s="206"/>
      <c r="I32" s="50"/>
      <c r="J32" s="206"/>
      <c r="K32" s="50"/>
      <c r="L32" s="206"/>
      <c r="N32" s="28" t="str">
        <f>IF(AND(ISNUMBER(C32)=TRUE,C32&gt;0),ROUND(E32,5)=ROUND(C32*D32/10^3,5),"")</f>
        <v/>
      </c>
    </row>
    <row r="33" spans="1:14" ht="15">
      <c r="A33" s="10" t="s">
        <v>39</v>
      </c>
      <c r="B33" s="732" t="s">
        <v>40</v>
      </c>
      <c r="C33" s="55"/>
      <c r="D33" s="482"/>
      <c r="E33" s="50"/>
      <c r="F33" s="206"/>
      <c r="G33" s="50"/>
      <c r="H33" s="206"/>
      <c r="I33" s="50"/>
      <c r="J33" s="206"/>
      <c r="K33" s="50"/>
      <c r="L33" s="206"/>
      <c r="N33" s="28"/>
    </row>
    <row r="34" spans="1:14" ht="15">
      <c r="A34" s="10">
        <v>13</v>
      </c>
      <c r="B34" s="732" t="s">
        <v>41</v>
      </c>
      <c r="C34" s="55"/>
      <c r="D34" s="482"/>
      <c r="E34" s="50"/>
      <c r="F34" s="206"/>
      <c r="G34" s="50"/>
      <c r="H34" s="206"/>
      <c r="I34" s="50"/>
      <c r="J34" s="206"/>
      <c r="K34" s="50"/>
      <c r="L34" s="206"/>
      <c r="N34" s="28" t="str">
        <f>IF(AND(ISNUMBER(C34)=TRUE,C34&gt;0),ROUND(E34,5)=ROUND(C34*D34/10^3,5),"")</f>
        <v/>
      </c>
    </row>
    <row r="35" spans="1:14" ht="15.75" thickBot="1">
      <c r="A35" s="10">
        <v>16</v>
      </c>
      <c r="B35" s="732" t="s">
        <v>25</v>
      </c>
      <c r="C35" s="55"/>
      <c r="D35" s="482"/>
      <c r="E35" s="50"/>
      <c r="F35" s="206"/>
      <c r="G35" s="50"/>
      <c r="H35" s="206"/>
      <c r="I35" s="50"/>
      <c r="J35" s="206"/>
      <c r="K35" s="50"/>
      <c r="L35" s="206"/>
      <c r="N35" s="28" t="str">
        <f>IF(AND(ISNUMBER(C35)=TRUE,C35&lt;&gt;0),ROUND(E35,5)=ROUND(C35*D35/10^3,5),"")</f>
        <v/>
      </c>
    </row>
    <row r="36" spans="1:12" ht="15.75" thickBot="1">
      <c r="A36" s="10">
        <v>17</v>
      </c>
      <c r="B36" s="22" t="s">
        <v>9</v>
      </c>
      <c r="C36" s="33"/>
      <c r="D36" s="23"/>
      <c r="E36" s="24">
        <f>D3</f>
        <v>1275.6090449043745</v>
      </c>
      <c r="F36" s="25">
        <v>1270.2648884158934</v>
      </c>
      <c r="G36" s="24">
        <v>0</v>
      </c>
      <c r="H36" s="25">
        <v>0</v>
      </c>
      <c r="I36" s="24">
        <v>0</v>
      </c>
      <c r="J36" s="25">
        <v>0</v>
      </c>
      <c r="K36" s="24">
        <f>E36+G36-I36</f>
        <v>1275.6090449043745</v>
      </c>
      <c r="L36" s="25">
        <f>F36+H36-J36</f>
        <v>1270.2648884158934</v>
      </c>
    </row>
    <row r="37" spans="3:12" ht="15">
      <c r="C37" s="14"/>
      <c r="E37" s="14"/>
      <c r="F37" s="14"/>
      <c r="G37" s="14"/>
      <c r="H37" s="14"/>
      <c r="I37" s="14"/>
      <c r="J37" s="14"/>
      <c r="K37" s="14"/>
      <c r="L37" s="14"/>
    </row>
    <row r="38" ht="15">
      <c r="B38" s="26"/>
    </row>
    <row r="39" ht="15.75" thickBot="1"/>
    <row r="40" spans="2:4" ht="15.75" thickBot="1">
      <c r="B40" s="86"/>
      <c r="C40" s="89">
        <v>2019</v>
      </c>
      <c r="D40" s="89">
        <v>2020</v>
      </c>
    </row>
    <row r="41" spans="2:4" ht="15">
      <c r="B41" s="181" t="s">
        <v>412</v>
      </c>
      <c r="C41" s="90">
        <v>103</v>
      </c>
      <c r="D41" s="90">
        <v>103.43333333333334</v>
      </c>
    </row>
    <row r="42" spans="2:4" ht="15.75" thickBot="1">
      <c r="B42" s="407" t="s">
        <v>413</v>
      </c>
      <c r="C42" s="27" t="s">
        <v>531</v>
      </c>
      <c r="D42" s="27" t="s">
        <v>531</v>
      </c>
    </row>
    <row r="43" ht="15.75" thickBot="1"/>
    <row r="44" spans="2:3" ht="15.75" thickBot="1">
      <c r="B44" s="301"/>
      <c r="C44" s="302">
        <v>2020</v>
      </c>
    </row>
    <row r="45" spans="2:5" ht="15">
      <c r="B45" s="303" t="s">
        <v>589</v>
      </c>
      <c r="C45" s="304">
        <f>K36/D41*C41</f>
        <v>1270.2648884158934</v>
      </c>
      <c r="E45" s="169" t="s">
        <v>588</v>
      </c>
    </row>
  </sheetData>
  <mergeCells count="8">
    <mergeCell ref="B6:B7"/>
    <mergeCell ref="I24:J24"/>
    <mergeCell ref="K24:L24"/>
    <mergeCell ref="B24:B25"/>
    <mergeCell ref="C24:C25"/>
    <mergeCell ref="D24:D25"/>
    <mergeCell ref="E24:F24"/>
    <mergeCell ref="G24:H24"/>
  </mergeCells>
  <conditionalFormatting sqref="C38 N28:N35">
    <cfRule type="cellIs" priority="13" dxfId="1" operator="equal">
      <formula>FALSE</formula>
    </cfRule>
    <cfRule type="cellIs" priority="14" dxfId="0" operator="equal">
      <formula>TRUE</formula>
    </cfRule>
  </conditionalFormatting>
  <conditionalFormatting sqref="E38">
    <cfRule type="cellIs" priority="11" dxfId="1" operator="equal">
      <formula>FALSE</formula>
    </cfRule>
    <cfRule type="cellIs" priority="12" dxfId="0" operator="equal">
      <formula>TRUE</formula>
    </cfRule>
  </conditionalFormatting>
  <conditionalFormatting sqref="F38">
    <cfRule type="cellIs" priority="9" dxfId="1" operator="equal">
      <formula>FALSE</formula>
    </cfRule>
    <cfRule type="cellIs" priority="10" dxfId="0" operator="equal">
      <formula>TRUE</formula>
    </cfRule>
  </conditionalFormatting>
  <conditionalFormatting sqref="K38">
    <cfRule type="cellIs" priority="7" dxfId="1" operator="equal">
      <formula>FALSE</formula>
    </cfRule>
    <cfRule type="cellIs" priority="8" dxfId="0" operator="equal">
      <formula>TRUE</formula>
    </cfRule>
  </conditionalFormatting>
  <conditionalFormatting sqref="L38">
    <cfRule type="cellIs" priority="5" dxfId="1" operator="equal">
      <formula>FALSE</formula>
    </cfRule>
    <cfRule type="cellIs" priority="6" dxfId="0" operator="equal">
      <formula>TRUE</formula>
    </cfRule>
  </conditionalFormatting>
  <conditionalFormatting sqref="E19">
    <cfRule type="cellIs" priority="3" dxfId="1" operator="equal">
      <formula>FALSE</formula>
    </cfRule>
    <cfRule type="cellIs" priority="4" dxfId="0" operator="equal">
      <formula>TRUE</formula>
    </cfRule>
  </conditionalFormatting>
  <conditionalFormatting sqref="N26:N2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25"/>
  <sheetViews>
    <sheetView zoomScale="90" zoomScaleNormal="90" workbookViewId="0" topLeftCell="A10">
      <selection activeCell="C20" sqref="C20"/>
    </sheetView>
  </sheetViews>
  <sheetFormatPr defaultColWidth="8.8515625" defaultRowHeight="15"/>
  <cols>
    <col min="1" max="1" width="5.00390625" style="5" bestFit="1" customWidth="1"/>
    <col min="2" max="2" width="48.7109375" style="5" customWidth="1"/>
    <col min="3" max="4" width="20.7109375" style="5" customWidth="1"/>
    <col min="5" max="8" width="11.28125" style="5" customWidth="1"/>
    <col min="9"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90</v>
      </c>
    </row>
    <row r="2" ht="4.5" customHeight="1"/>
    <row r="3" spans="2:11" ht="30">
      <c r="B3" s="44" t="s">
        <v>361</v>
      </c>
      <c r="C3" s="45"/>
      <c r="F3" s="59"/>
      <c r="G3" s="169"/>
      <c r="H3" s="169"/>
      <c r="I3" s="169"/>
      <c r="J3" s="169"/>
      <c r="K3" s="169"/>
    </row>
    <row r="4" spans="2:11" ht="15">
      <c r="B4" s="127" t="s">
        <v>98</v>
      </c>
      <c r="C4" s="351"/>
      <c r="D4" s="127"/>
      <c r="E4" s="127"/>
      <c r="F4" s="409"/>
      <c r="G4" s="127"/>
      <c r="H4" s="169"/>
      <c r="I4" s="169"/>
      <c r="J4" s="169"/>
      <c r="K4" s="169"/>
    </row>
    <row r="5" spans="2:7" ht="15.75" thickBot="1">
      <c r="B5" s="127"/>
      <c r="C5" s="351"/>
      <c r="D5" s="127"/>
      <c r="E5" s="127"/>
      <c r="F5" s="409"/>
      <c r="G5" s="127"/>
    </row>
    <row r="6" spans="2:7" ht="60" customHeight="1">
      <c r="B6" s="711"/>
      <c r="C6" s="352" t="s">
        <v>131</v>
      </c>
      <c r="D6" s="353" t="s">
        <v>369</v>
      </c>
      <c r="E6" s="354" t="s">
        <v>89</v>
      </c>
      <c r="F6" s="127"/>
      <c r="G6" s="127"/>
    </row>
    <row r="7" spans="2:7" ht="30.75" thickBot="1">
      <c r="B7" s="712"/>
      <c r="C7" s="355" t="s">
        <v>323</v>
      </c>
      <c r="D7" s="356" t="s">
        <v>88</v>
      </c>
      <c r="E7" s="357" t="s">
        <v>324</v>
      </c>
      <c r="F7" s="127"/>
      <c r="G7" s="127"/>
    </row>
    <row r="8" spans="2:7" ht="30">
      <c r="B8" s="358" t="s">
        <v>97</v>
      </c>
      <c r="C8" s="410"/>
      <c r="D8" s="411"/>
      <c r="E8" s="362">
        <f>SUM(E9:E12)</f>
        <v>0</v>
      </c>
      <c r="F8" s="127" t="s">
        <v>530</v>
      </c>
      <c r="G8" s="127"/>
    </row>
    <row r="9" spans="2:7" ht="15">
      <c r="B9" s="412" t="s">
        <v>91</v>
      </c>
      <c r="C9" s="364">
        <v>0</v>
      </c>
      <c r="D9" s="365">
        <v>0</v>
      </c>
      <c r="E9" s="366">
        <f>C9*D9/10^6</f>
        <v>0</v>
      </c>
      <c r="F9" s="127"/>
      <c r="G9" s="127"/>
    </row>
    <row r="10" spans="2:7" ht="30">
      <c r="B10" s="412" t="s">
        <v>92</v>
      </c>
      <c r="C10" s="364">
        <v>0</v>
      </c>
      <c r="D10" s="365">
        <v>0</v>
      </c>
      <c r="E10" s="366">
        <f aca="true" t="shared" si="0" ref="E10:E12">C10*D10/10^6</f>
        <v>0</v>
      </c>
      <c r="F10" s="127"/>
      <c r="G10" s="127"/>
    </row>
    <row r="11" spans="2:7" ht="30">
      <c r="B11" s="413" t="s">
        <v>94</v>
      </c>
      <c r="C11" s="364">
        <v>0</v>
      </c>
      <c r="D11" s="365">
        <v>0</v>
      </c>
      <c r="E11" s="366">
        <f t="shared" si="0"/>
        <v>0</v>
      </c>
      <c r="F11" s="127"/>
      <c r="G11" s="127"/>
    </row>
    <row r="12" spans="2:7" ht="30.75" thickBot="1">
      <c r="B12" s="414" t="s">
        <v>93</v>
      </c>
      <c r="C12" s="373">
        <v>0</v>
      </c>
      <c r="D12" s="374">
        <v>0</v>
      </c>
      <c r="E12" s="375">
        <f t="shared" si="0"/>
        <v>0</v>
      </c>
      <c r="F12" s="127"/>
      <c r="G12" s="127"/>
    </row>
    <row r="13" spans="2:7" ht="15">
      <c r="B13" s="127"/>
      <c r="C13" s="351"/>
      <c r="D13" s="127"/>
      <c r="E13" s="127"/>
      <c r="F13" s="127"/>
      <c r="G13" s="127"/>
    </row>
    <row r="14" spans="2:3" ht="15.75" thickBot="1">
      <c r="B14" s="28"/>
      <c r="C14" s="4"/>
    </row>
    <row r="15" spans="2:8" ht="16.5" customHeight="1">
      <c r="B15" s="713"/>
      <c r="C15" s="663" t="s">
        <v>89</v>
      </c>
      <c r="D15" s="664"/>
      <c r="E15" s="708" t="s">
        <v>535</v>
      </c>
      <c r="F15" s="661" t="s">
        <v>536</v>
      </c>
      <c r="G15" s="708" t="s">
        <v>537</v>
      </c>
      <c r="H15" s="661" t="s">
        <v>538</v>
      </c>
    </row>
    <row r="16" spans="2:8" ht="15">
      <c r="B16" s="714"/>
      <c r="C16" s="48" t="s">
        <v>10</v>
      </c>
      <c r="D16" s="100" t="s">
        <v>11</v>
      </c>
      <c r="E16" s="709"/>
      <c r="F16" s="710"/>
      <c r="G16" s="709"/>
      <c r="H16" s="710"/>
    </row>
    <row r="17" spans="2:8" ht="15.75" thickBot="1">
      <c r="B17" s="715"/>
      <c r="C17" s="101" t="s">
        <v>324</v>
      </c>
      <c r="D17" s="98" t="s">
        <v>324</v>
      </c>
      <c r="E17" s="173" t="s">
        <v>529</v>
      </c>
      <c r="F17" s="172" t="s">
        <v>529</v>
      </c>
      <c r="G17" s="179" t="s">
        <v>529</v>
      </c>
      <c r="H17" s="178" t="s">
        <v>529</v>
      </c>
    </row>
    <row r="18" spans="1:8" s="16" customFormat="1" ht="30">
      <c r="A18" s="333"/>
      <c r="B18" s="103" t="s">
        <v>95</v>
      </c>
      <c r="C18" s="334">
        <f>C23</f>
        <v>2544.1964213499236</v>
      </c>
      <c r="D18" s="334">
        <f>D23</f>
        <v>2561.1092320105217</v>
      </c>
      <c r="E18" s="334">
        <v>107.87154909552682</v>
      </c>
      <c r="F18" s="335">
        <v>102.69136708543144</v>
      </c>
      <c r="G18" s="334">
        <v>107.16019653815795</v>
      </c>
      <c r="H18" s="335">
        <v>104.10503537641327</v>
      </c>
    </row>
    <row r="19" spans="1:8" s="169" customFormat="1" ht="15">
      <c r="A19" s="10"/>
      <c r="B19" s="99" t="s">
        <v>532</v>
      </c>
      <c r="C19" s="79">
        <f>1726.12363545864*C21</f>
        <v>1752.0154899905194</v>
      </c>
      <c r="D19" s="80">
        <f>C19/G19*E19</f>
        <v>1763.4750476062165</v>
      </c>
      <c r="E19" s="79">
        <v>108.6171335979916</v>
      </c>
      <c r="F19" s="80">
        <v>104.1595995644326</v>
      </c>
      <c r="G19" s="79">
        <v>107.91130886732265</v>
      </c>
      <c r="H19" s="80">
        <v>103.575138247012</v>
      </c>
    </row>
    <row r="20" spans="1:8" s="169" customFormat="1" ht="15">
      <c r="A20" s="10"/>
      <c r="B20" s="99" t="s">
        <v>533</v>
      </c>
      <c r="C20" s="79">
        <f>780.473823999413*C21</f>
        <v>792.1809313594041</v>
      </c>
      <c r="D20" s="80">
        <f>C20/G20*E20</f>
        <v>797.6341844043053</v>
      </c>
      <c r="E20" s="79">
        <v>106.0371361091527</v>
      </c>
      <c r="F20" s="80">
        <v>99.07897342972625</v>
      </c>
      <c r="G20" s="79">
        <v>105.31218305841091</v>
      </c>
      <c r="H20" s="80">
        <v>105.40877783941052</v>
      </c>
    </row>
    <row r="21" spans="1:8" s="343" customFormat="1" ht="15">
      <c r="A21" s="339"/>
      <c r="B21" s="340" t="s">
        <v>534</v>
      </c>
      <c r="C21" s="341">
        <v>1.015</v>
      </c>
      <c r="D21" s="342"/>
      <c r="E21" s="332"/>
      <c r="F21" s="342"/>
      <c r="G21" s="332"/>
      <c r="H21" s="342"/>
    </row>
    <row r="22" spans="1:8" ht="30">
      <c r="A22" s="10"/>
      <c r="B22" s="49" t="s">
        <v>96</v>
      </c>
      <c r="C22" s="53" t="s">
        <v>531</v>
      </c>
      <c r="D22" s="54" t="s">
        <v>531</v>
      </c>
      <c r="E22" s="53" t="s">
        <v>99</v>
      </c>
      <c r="F22" s="54" t="s">
        <v>99</v>
      </c>
      <c r="G22" s="53" t="s">
        <v>99</v>
      </c>
      <c r="H22" s="54" t="s">
        <v>99</v>
      </c>
    </row>
    <row r="23" spans="1:8" ht="30.75" thickBot="1">
      <c r="A23" s="10"/>
      <c r="B23" s="336" t="s">
        <v>97</v>
      </c>
      <c r="C23" s="337">
        <f>SUM(C19:C20)</f>
        <v>2544.1964213499236</v>
      </c>
      <c r="D23" s="337">
        <f>SUM(D19:D20)</f>
        <v>2561.1092320105217</v>
      </c>
      <c r="E23" s="337">
        <v>0</v>
      </c>
      <c r="F23" s="338">
        <v>0</v>
      </c>
      <c r="G23" s="337">
        <v>0</v>
      </c>
      <c r="H23" s="338">
        <v>0</v>
      </c>
    </row>
    <row r="24" ht="15">
      <c r="C24" s="14"/>
    </row>
    <row r="25" ht="15">
      <c r="B25" s="26"/>
    </row>
  </sheetData>
  <mergeCells count="7">
    <mergeCell ref="G15:G16"/>
    <mergeCell ref="H15:H16"/>
    <mergeCell ref="B6:B7"/>
    <mergeCell ref="C15:D15"/>
    <mergeCell ref="E15:E16"/>
    <mergeCell ref="F15:F16"/>
    <mergeCell ref="B15:B17"/>
  </mergeCells>
  <conditionalFormatting sqref="C25">
    <cfRule type="cellIs" priority="13" dxfId="1" operator="equal">
      <formula>FALSE</formula>
    </cfRule>
    <cfRule type="cellIs" priority="14"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1"/>
  <sheetViews>
    <sheetView zoomScale="90" zoomScaleNormal="90" workbookViewId="0" topLeftCell="A1">
      <selection activeCell="B28" sqref="B28:C28"/>
    </sheetView>
  </sheetViews>
  <sheetFormatPr defaultColWidth="8.8515625" defaultRowHeight="15"/>
  <cols>
    <col min="1" max="1" width="5.00390625" style="5" bestFit="1" customWidth="1"/>
    <col min="2" max="2" width="48.7109375" style="5" customWidth="1"/>
    <col min="3" max="4" width="20.7109375" style="5" customWidth="1"/>
    <col min="5" max="8" width="16.140625" style="5" customWidth="1"/>
    <col min="9"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100</v>
      </c>
    </row>
    <row r="2" ht="4.5" customHeight="1"/>
    <row r="3" spans="2:11" ht="15">
      <c r="B3" s="44" t="s">
        <v>360</v>
      </c>
      <c r="C3" s="45"/>
      <c r="F3" s="169"/>
      <c r="G3" s="169"/>
      <c r="H3" s="169"/>
      <c r="I3" s="169"/>
      <c r="J3" s="169"/>
      <c r="K3" s="169"/>
    </row>
    <row r="4" spans="2:11" ht="15">
      <c r="B4" s="28" t="s">
        <v>101</v>
      </c>
      <c r="C4" s="4"/>
      <c r="F4" s="169"/>
      <c r="G4" s="169"/>
      <c r="H4" s="169"/>
      <c r="I4" s="169"/>
      <c r="J4" s="169"/>
      <c r="K4" s="169"/>
    </row>
    <row r="5" spans="2:10" ht="15.75" thickBot="1">
      <c r="B5" s="127"/>
      <c r="C5" s="351"/>
      <c r="D5" s="127"/>
      <c r="E5" s="127"/>
      <c r="F5" s="127"/>
      <c r="G5" s="127"/>
      <c r="H5" s="127"/>
      <c r="I5" s="127"/>
      <c r="J5" s="127"/>
    </row>
    <row r="6" spans="2:10" ht="46.15" customHeight="1">
      <c r="B6" s="711"/>
      <c r="C6" s="352" t="s">
        <v>132</v>
      </c>
      <c r="D6" s="353" t="s">
        <v>369</v>
      </c>
      <c r="E6" s="354" t="s">
        <v>114</v>
      </c>
      <c r="F6" s="354" t="s">
        <v>117</v>
      </c>
      <c r="G6" s="354" t="s">
        <v>119</v>
      </c>
      <c r="H6" s="127" t="s">
        <v>530</v>
      </c>
      <c r="I6" s="127"/>
      <c r="J6" s="127"/>
    </row>
    <row r="7" spans="2:10" ht="15.75" thickBot="1">
      <c r="B7" s="712"/>
      <c r="C7" s="355" t="s">
        <v>323</v>
      </c>
      <c r="D7" s="356" t="s">
        <v>88</v>
      </c>
      <c r="E7" s="357" t="s">
        <v>324</v>
      </c>
      <c r="F7" s="357" t="s">
        <v>118</v>
      </c>
      <c r="G7" s="357" t="s">
        <v>324</v>
      </c>
      <c r="H7" s="127"/>
      <c r="I7" s="127"/>
      <c r="J7" s="127"/>
    </row>
    <row r="8" spans="2:10" ht="15">
      <c r="B8" s="358" t="s">
        <v>103</v>
      </c>
      <c r="C8" s="359"/>
      <c r="D8" s="360"/>
      <c r="E8" s="361">
        <f>E9</f>
        <v>0</v>
      </c>
      <c r="F8" s="361">
        <v>0</v>
      </c>
      <c r="G8" s="362">
        <f>E8*(100-F8)/100</f>
        <v>0</v>
      </c>
      <c r="H8" s="127"/>
      <c r="I8" s="127"/>
      <c r="J8" s="127"/>
    </row>
    <row r="9" spans="2:10" ht="15">
      <c r="B9" s="363" t="s">
        <v>115</v>
      </c>
      <c r="C9" s="364">
        <v>0</v>
      </c>
      <c r="D9" s="365">
        <v>0</v>
      </c>
      <c r="E9" s="366">
        <f>C9*D9/10^6</f>
        <v>0</v>
      </c>
      <c r="F9" s="366"/>
      <c r="G9" s="366"/>
      <c r="H9" s="127"/>
      <c r="I9" s="127"/>
      <c r="J9" s="127"/>
    </row>
    <row r="10" spans="2:10" ht="15">
      <c r="B10" s="367" t="s">
        <v>104</v>
      </c>
      <c r="C10" s="364"/>
      <c r="D10" s="365"/>
      <c r="E10" s="366">
        <f>E11</f>
        <v>0</v>
      </c>
      <c r="F10" s="366">
        <v>0</v>
      </c>
      <c r="G10" s="368">
        <f>E10*(100-F10)/100</f>
        <v>0</v>
      </c>
      <c r="H10" s="127"/>
      <c r="I10" s="127"/>
      <c r="J10" s="127"/>
    </row>
    <row r="11" spans="2:10" ht="15">
      <c r="B11" s="363" t="s">
        <v>116</v>
      </c>
      <c r="C11" s="364">
        <v>0</v>
      </c>
      <c r="D11" s="365">
        <v>0</v>
      </c>
      <c r="E11" s="366">
        <f aca="true" t="shared" si="0" ref="E11:E18">C11*D11/10^6</f>
        <v>0</v>
      </c>
      <c r="F11" s="366"/>
      <c r="G11" s="366"/>
      <c r="H11" s="127"/>
      <c r="I11" s="127"/>
      <c r="J11" s="127"/>
    </row>
    <row r="12" spans="2:10" ht="15">
      <c r="B12" s="367" t="s">
        <v>107</v>
      </c>
      <c r="C12" s="364"/>
      <c r="D12" s="365"/>
      <c r="E12" s="366">
        <f>SUM(E13:E16)</f>
        <v>0</v>
      </c>
      <c r="F12" s="366">
        <v>0</v>
      </c>
      <c r="G12" s="368">
        <f>E12*(100-F12)/100</f>
        <v>0</v>
      </c>
      <c r="H12" s="127"/>
      <c r="I12" s="127"/>
      <c r="J12" s="127"/>
    </row>
    <row r="13" spans="2:10" ht="15">
      <c r="B13" s="363" t="s">
        <v>109</v>
      </c>
      <c r="C13" s="364">
        <v>0</v>
      </c>
      <c r="D13" s="365">
        <v>0</v>
      </c>
      <c r="E13" s="366">
        <f t="shared" si="0"/>
        <v>0</v>
      </c>
      <c r="F13" s="366"/>
      <c r="G13" s="366"/>
      <c r="H13" s="127"/>
      <c r="I13" s="127"/>
      <c r="J13" s="127"/>
    </row>
    <row r="14" spans="2:10" ht="15">
      <c r="B14" s="363" t="s">
        <v>110</v>
      </c>
      <c r="C14" s="364">
        <v>0</v>
      </c>
      <c r="D14" s="365">
        <v>0</v>
      </c>
      <c r="E14" s="366">
        <f t="shared" si="0"/>
        <v>0</v>
      </c>
      <c r="F14" s="366"/>
      <c r="G14" s="366"/>
      <c r="H14" s="127"/>
      <c r="I14" s="127"/>
      <c r="J14" s="127"/>
    </row>
    <row r="15" spans="2:10" ht="15">
      <c r="B15" s="363" t="s">
        <v>111</v>
      </c>
      <c r="C15" s="364">
        <v>0</v>
      </c>
      <c r="D15" s="365">
        <v>0</v>
      </c>
      <c r="E15" s="366">
        <f t="shared" si="0"/>
        <v>0</v>
      </c>
      <c r="F15" s="366"/>
      <c r="G15" s="366"/>
      <c r="H15" s="127"/>
      <c r="I15" s="127"/>
      <c r="J15" s="127"/>
    </row>
    <row r="16" spans="2:10" ht="15">
      <c r="B16" s="363" t="s">
        <v>112</v>
      </c>
      <c r="C16" s="364">
        <v>0</v>
      </c>
      <c r="D16" s="365">
        <v>0</v>
      </c>
      <c r="E16" s="366">
        <f t="shared" si="0"/>
        <v>0</v>
      </c>
      <c r="F16" s="366"/>
      <c r="G16" s="366"/>
      <c r="H16" s="127"/>
      <c r="I16" s="127"/>
      <c r="J16" s="127"/>
    </row>
    <row r="17" spans="2:10" ht="15">
      <c r="B17" s="367" t="s">
        <v>108</v>
      </c>
      <c r="C17" s="369"/>
      <c r="D17" s="370"/>
      <c r="E17" s="371">
        <f>E18</f>
        <v>0</v>
      </c>
      <c r="F17" s="366">
        <v>0</v>
      </c>
      <c r="G17" s="368">
        <f>E17*(100-F17)/100</f>
        <v>0</v>
      </c>
      <c r="H17" s="127"/>
      <c r="I17" s="127"/>
      <c r="J17" s="127"/>
    </row>
    <row r="18" spans="2:10" ht="15.75" thickBot="1">
      <c r="B18" s="372" t="s">
        <v>113</v>
      </c>
      <c r="C18" s="373">
        <v>0</v>
      </c>
      <c r="D18" s="374">
        <v>0</v>
      </c>
      <c r="E18" s="375">
        <f t="shared" si="0"/>
        <v>0</v>
      </c>
      <c r="F18" s="375"/>
      <c r="G18" s="375"/>
      <c r="H18" s="127"/>
      <c r="I18" s="127"/>
      <c r="J18" s="127"/>
    </row>
    <row r="19" spans="2:10" ht="15">
      <c r="B19" s="127"/>
      <c r="C19" s="351"/>
      <c r="D19" s="127"/>
      <c r="E19" s="127"/>
      <c r="F19" s="127"/>
      <c r="G19" s="127"/>
      <c r="H19" s="127"/>
      <c r="I19" s="127"/>
      <c r="J19" s="127"/>
    </row>
    <row r="20" ht="14.25" customHeight="1" thickBot="1">
      <c r="C20" s="4"/>
    </row>
    <row r="21" spans="2:8" ht="16.5" customHeight="1">
      <c r="B21" s="713"/>
      <c r="C21" s="663" t="s">
        <v>89</v>
      </c>
      <c r="D21" s="664"/>
      <c r="E21" s="708" t="s">
        <v>535</v>
      </c>
      <c r="F21" s="661" t="s">
        <v>536</v>
      </c>
      <c r="G21" s="708" t="s">
        <v>537</v>
      </c>
      <c r="H21" s="661" t="s">
        <v>538</v>
      </c>
    </row>
    <row r="22" spans="2:8" ht="15">
      <c r="B22" s="714"/>
      <c r="C22" s="48" t="s">
        <v>10</v>
      </c>
      <c r="D22" s="100" t="s">
        <v>11</v>
      </c>
      <c r="E22" s="709"/>
      <c r="F22" s="710"/>
      <c r="G22" s="709"/>
      <c r="H22" s="710"/>
    </row>
    <row r="23" spans="2:8" ht="15.75" thickBot="1">
      <c r="B23" s="715"/>
      <c r="C23" s="101" t="s">
        <v>324</v>
      </c>
      <c r="D23" s="98" t="s">
        <v>324</v>
      </c>
      <c r="E23" s="179" t="s">
        <v>529</v>
      </c>
      <c r="F23" s="178" t="s">
        <v>529</v>
      </c>
      <c r="G23" s="179" t="s">
        <v>529</v>
      </c>
      <c r="H23" s="178" t="s">
        <v>529</v>
      </c>
    </row>
    <row r="24" spans="1:8" ht="15">
      <c r="A24" s="10"/>
      <c r="B24" s="103" t="s">
        <v>102</v>
      </c>
      <c r="C24" s="334">
        <f>SUM(C25:C27)</f>
        <v>2774.3547520285456</v>
      </c>
      <c r="D24" s="347">
        <f>SUM(D25:D27)</f>
        <v>3064.662452008387</v>
      </c>
      <c r="E24" s="349">
        <v>118.88223594240712</v>
      </c>
      <c r="F24" s="349">
        <v>83.77437627404011</v>
      </c>
      <c r="G24" s="348">
        <v>108.31620206286044</v>
      </c>
      <c r="H24" s="349">
        <v>80.25401172708054</v>
      </c>
    </row>
    <row r="25" spans="1:8" ht="15">
      <c r="A25" s="10"/>
      <c r="B25" s="49" t="s">
        <v>539</v>
      </c>
      <c r="C25" s="50">
        <f>(943+19)*C28</f>
        <v>976.43</v>
      </c>
      <c r="D25" s="108">
        <f aca="true" t="shared" si="1" ref="D25:D27">C25/G25*E25</f>
        <v>1038.7553191489362</v>
      </c>
      <c r="E25" s="58">
        <v>104.6461</v>
      </c>
      <c r="F25" s="58">
        <v>72.14527700225551</v>
      </c>
      <c r="G25" s="57">
        <v>98.367334</v>
      </c>
      <c r="H25" s="109">
        <v>68.02140611933345</v>
      </c>
    </row>
    <row r="26" spans="1:8" ht="15">
      <c r="A26" s="10"/>
      <c r="B26" s="49" t="s">
        <v>540</v>
      </c>
      <c r="C26" s="50">
        <f>(177.839336107534+21+19)*C28</f>
        <v>221.10692614914697</v>
      </c>
      <c r="D26" s="108">
        <f t="shared" si="1"/>
        <v>258.6059187709916</v>
      </c>
      <c r="E26" s="56">
        <v>128.82763457804805</v>
      </c>
      <c r="F26" s="56">
        <v>100.63107437597857</v>
      </c>
      <c r="G26" s="55">
        <v>110.14706244926423</v>
      </c>
      <c r="H26" s="58">
        <v>104.04604699186757</v>
      </c>
    </row>
    <row r="27" spans="1:8" ht="15">
      <c r="A27" s="10"/>
      <c r="B27" s="49" t="s">
        <v>541</v>
      </c>
      <c r="C27" s="53">
        <f>(1417.51509938857+136)*C28</f>
        <v>1576.8178258793985</v>
      </c>
      <c r="D27" s="108">
        <f t="shared" si="1"/>
        <v>1767.3012140884591</v>
      </c>
      <c r="E27" s="56">
        <v>132.99576139896544</v>
      </c>
      <c r="F27" s="56">
        <v>91.27617155279749</v>
      </c>
      <c r="G27" s="55">
        <v>118.66120255479846</v>
      </c>
      <c r="H27" s="56">
        <v>88.19177147156556</v>
      </c>
    </row>
    <row r="28" spans="1:8" s="169" customFormat="1" ht="15">
      <c r="A28" s="10"/>
      <c r="B28" s="346" t="s">
        <v>534</v>
      </c>
      <c r="C28" s="350">
        <v>1.015</v>
      </c>
      <c r="D28" s="60"/>
      <c r="E28" s="344"/>
      <c r="F28" s="345"/>
      <c r="G28" s="344"/>
      <c r="H28" s="345"/>
    </row>
    <row r="29" spans="1:8" ht="15.75" thickBot="1">
      <c r="A29" s="10"/>
      <c r="B29" s="51" t="s">
        <v>108</v>
      </c>
      <c r="C29" s="52" t="s">
        <v>531</v>
      </c>
      <c r="D29" s="52" t="s">
        <v>531</v>
      </c>
      <c r="E29" s="52" t="s">
        <v>531</v>
      </c>
      <c r="F29" s="52" t="s">
        <v>531</v>
      </c>
      <c r="G29" s="52" t="s">
        <v>531</v>
      </c>
      <c r="H29" s="52" t="s">
        <v>531</v>
      </c>
    </row>
    <row r="30" ht="15">
      <c r="C30" s="14"/>
    </row>
    <row r="31" ht="15">
      <c r="B31" s="26"/>
    </row>
  </sheetData>
  <mergeCells count="7">
    <mergeCell ref="B6:B7"/>
    <mergeCell ref="B21:B23"/>
    <mergeCell ref="G21:G22"/>
    <mergeCell ref="H21:H22"/>
    <mergeCell ref="C21:D21"/>
    <mergeCell ref="E21:E22"/>
    <mergeCell ref="F21:F22"/>
  </mergeCells>
  <conditionalFormatting sqref="C31">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25"/>
  <sheetViews>
    <sheetView zoomScale="90" zoomScaleNormal="90" workbookViewId="0" topLeftCell="A1">
      <selection activeCell="E12" sqref="E12:H25"/>
    </sheetView>
  </sheetViews>
  <sheetFormatPr defaultColWidth="8.8515625" defaultRowHeight="15"/>
  <cols>
    <col min="1" max="1" width="5.00390625" style="5" bestFit="1" customWidth="1"/>
    <col min="2" max="2" width="48.7109375" style="5" customWidth="1"/>
    <col min="3" max="4" width="20.7109375" style="5" customWidth="1"/>
    <col min="5" max="8" width="11.140625" style="5" customWidth="1"/>
    <col min="9"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120</v>
      </c>
    </row>
    <row r="2" spans="6:11" ht="4.5" customHeight="1">
      <c r="F2" s="169"/>
      <c r="G2" s="169"/>
      <c r="H2" s="169"/>
      <c r="I2" s="169"/>
      <c r="J2" s="169"/>
      <c r="K2" s="169"/>
    </row>
    <row r="3" spans="2:11" ht="15">
      <c r="B3" s="44" t="s">
        <v>359</v>
      </c>
      <c r="C3" s="45"/>
      <c r="F3" s="169"/>
      <c r="G3" s="169"/>
      <c r="H3" s="169"/>
      <c r="I3" s="169"/>
      <c r="J3" s="169"/>
      <c r="K3" s="169"/>
    </row>
    <row r="4" spans="2:11" ht="15">
      <c r="B4" s="28" t="s">
        <v>121</v>
      </c>
      <c r="C4" s="4"/>
      <c r="F4" s="169"/>
      <c r="G4" s="169"/>
      <c r="H4" s="169"/>
      <c r="I4" s="169"/>
      <c r="J4" s="169"/>
      <c r="K4" s="169"/>
    </row>
    <row r="5" spans="2:8" ht="15.75" thickBot="1">
      <c r="B5" s="127"/>
      <c r="C5" s="351"/>
      <c r="D5" s="127"/>
      <c r="E5" s="127"/>
      <c r="F5" s="127"/>
      <c r="G5" s="127"/>
      <c r="H5" s="127"/>
    </row>
    <row r="6" spans="2:8" ht="46.15" customHeight="1">
      <c r="B6" s="711"/>
      <c r="C6" s="352" t="s">
        <v>132</v>
      </c>
      <c r="D6" s="353" t="s">
        <v>369</v>
      </c>
      <c r="E6" s="354" t="s">
        <v>114</v>
      </c>
      <c r="F6" s="354" t="s">
        <v>117</v>
      </c>
      <c r="G6" s="354" t="s">
        <v>119</v>
      </c>
      <c r="H6" s="127" t="s">
        <v>542</v>
      </c>
    </row>
    <row r="7" spans="2:8" ht="30.75" thickBot="1">
      <c r="B7" s="712"/>
      <c r="C7" s="355" t="s">
        <v>323</v>
      </c>
      <c r="D7" s="356" t="s">
        <v>88</v>
      </c>
      <c r="E7" s="357" t="s">
        <v>324</v>
      </c>
      <c r="F7" s="357" t="s">
        <v>118</v>
      </c>
      <c r="G7" s="357" t="s">
        <v>324</v>
      </c>
      <c r="H7" s="127"/>
    </row>
    <row r="8" spans="2:8" ht="30">
      <c r="B8" s="358" t="s">
        <v>124</v>
      </c>
      <c r="C8" s="359"/>
      <c r="D8" s="360"/>
      <c r="E8" s="361">
        <f>E9</f>
        <v>0</v>
      </c>
      <c r="F8" s="361">
        <v>0</v>
      </c>
      <c r="G8" s="362">
        <f>E8*(100-F8)/100</f>
        <v>0</v>
      </c>
      <c r="H8" s="127"/>
    </row>
    <row r="9" spans="2:8" ht="15.75" thickBot="1">
      <c r="B9" s="372" t="s">
        <v>125</v>
      </c>
      <c r="C9" s="373">
        <v>0</v>
      </c>
      <c r="D9" s="374">
        <v>0</v>
      </c>
      <c r="E9" s="375">
        <f>C9*D9/10^6</f>
        <v>0</v>
      </c>
      <c r="F9" s="375"/>
      <c r="G9" s="375"/>
      <c r="H9" s="127"/>
    </row>
    <row r="10" spans="2:8" ht="15">
      <c r="B10" s="127"/>
      <c r="C10" s="351"/>
      <c r="D10" s="127"/>
      <c r="E10" s="127"/>
      <c r="F10" s="127"/>
      <c r="G10" s="127"/>
      <c r="H10" s="127"/>
    </row>
    <row r="11" ht="15.75" thickBot="1"/>
    <row r="12" spans="2:8" ht="15">
      <c r="B12" s="713"/>
      <c r="C12" s="663" t="s">
        <v>89</v>
      </c>
      <c r="D12" s="664"/>
      <c r="E12" s="708" t="s">
        <v>535</v>
      </c>
      <c r="F12" s="661" t="s">
        <v>536</v>
      </c>
      <c r="G12" s="708" t="s">
        <v>537</v>
      </c>
      <c r="H12" s="661" t="s">
        <v>538</v>
      </c>
    </row>
    <row r="13" spans="2:8" ht="15">
      <c r="B13" s="714"/>
      <c r="C13" s="48" t="s">
        <v>10</v>
      </c>
      <c r="D13" s="100" t="s">
        <v>11</v>
      </c>
      <c r="E13" s="709"/>
      <c r="F13" s="710"/>
      <c r="G13" s="709"/>
      <c r="H13" s="710"/>
    </row>
    <row r="14" spans="2:8" ht="15.75" thickBot="1">
      <c r="B14" s="715"/>
      <c r="C14" s="415" t="s">
        <v>324</v>
      </c>
      <c r="D14" s="424" t="s">
        <v>324</v>
      </c>
      <c r="E14" s="415" t="s">
        <v>529</v>
      </c>
      <c r="F14" s="416" t="s">
        <v>529</v>
      </c>
      <c r="G14" s="415" t="s">
        <v>529</v>
      </c>
      <c r="H14" s="416" t="s">
        <v>529</v>
      </c>
    </row>
    <row r="15" spans="2:8" ht="21" customHeight="1">
      <c r="B15" s="428" t="s">
        <v>122</v>
      </c>
      <c r="C15" s="429">
        <f>C17</f>
        <v>2150.130521013418</v>
      </c>
      <c r="D15" s="430">
        <f>C15/G15*E15</f>
        <v>2323.1841502223806</v>
      </c>
      <c r="E15" s="417">
        <v>90.98116712718772</v>
      </c>
      <c r="F15" s="417">
        <v>111.99892182888595</v>
      </c>
      <c r="G15" s="417">
        <v>84.2039940135024</v>
      </c>
      <c r="H15" s="431">
        <v>122.15542441330318</v>
      </c>
    </row>
    <row r="16" spans="2:8" ht="30.75" thickBot="1">
      <c r="B16" s="421" t="s">
        <v>123</v>
      </c>
      <c r="C16" s="53" t="s">
        <v>531</v>
      </c>
      <c r="D16" s="425" t="s">
        <v>531</v>
      </c>
      <c r="E16" s="425" t="s">
        <v>531</v>
      </c>
      <c r="F16" s="425" t="s">
        <v>531</v>
      </c>
      <c r="G16" s="425" t="s">
        <v>531</v>
      </c>
      <c r="H16" s="432" t="s">
        <v>531</v>
      </c>
    </row>
    <row r="17" spans="2:8" s="169" customFormat="1" ht="30.75" thickBot="1">
      <c r="B17" s="443" t="s">
        <v>124</v>
      </c>
      <c r="C17" s="444">
        <f>C24+C25</f>
        <v>2150.130521013418</v>
      </c>
      <c r="D17" s="445">
        <v>0</v>
      </c>
      <c r="E17" s="446">
        <v>90.98116712718772</v>
      </c>
      <c r="F17" s="446">
        <v>111.99892182888595</v>
      </c>
      <c r="G17" s="446">
        <v>84.2039940135024</v>
      </c>
      <c r="H17" s="447">
        <v>122.15542441330318</v>
      </c>
    </row>
    <row r="18" spans="2:8" s="169" customFormat="1" ht="15">
      <c r="B18" s="422" t="s">
        <v>543</v>
      </c>
      <c r="C18" s="50">
        <v>1298.4960894805845</v>
      </c>
      <c r="D18" s="426"/>
      <c r="E18" s="427"/>
      <c r="F18" s="427"/>
      <c r="G18" s="427"/>
      <c r="H18" s="418"/>
    </row>
    <row r="19" spans="2:8" s="169" customFormat="1" ht="15">
      <c r="B19" s="423" t="s">
        <v>544</v>
      </c>
      <c r="C19" s="50">
        <v>728.0604731694273</v>
      </c>
      <c r="D19" s="426"/>
      <c r="E19" s="427"/>
      <c r="F19" s="427"/>
      <c r="G19" s="427"/>
      <c r="H19" s="418"/>
    </row>
    <row r="20" spans="2:8" s="169" customFormat="1" ht="15">
      <c r="B20" s="423" t="s">
        <v>545</v>
      </c>
      <c r="C20" s="419">
        <v>72.29616278476638</v>
      </c>
      <c r="D20" s="436"/>
      <c r="E20" s="437"/>
      <c r="F20" s="437"/>
      <c r="G20" s="437"/>
      <c r="H20" s="61"/>
    </row>
    <row r="21" spans="2:8" s="169" customFormat="1" ht="15">
      <c r="B21" s="439" t="s">
        <v>549</v>
      </c>
      <c r="C21" s="440">
        <f>SUM(C18:C20)</f>
        <v>2098.852725434778</v>
      </c>
      <c r="D21" s="436"/>
      <c r="E21" s="437"/>
      <c r="F21" s="437"/>
      <c r="G21" s="437"/>
      <c r="H21" s="61"/>
    </row>
    <row r="22" spans="2:8" s="169" customFormat="1" ht="15">
      <c r="B22" s="420" t="s">
        <v>547</v>
      </c>
      <c r="C22" s="440">
        <v>3</v>
      </c>
      <c r="D22" s="436"/>
      <c r="E22" s="437"/>
      <c r="F22" s="437"/>
      <c r="G22" s="437"/>
      <c r="H22" s="61"/>
    </row>
    <row r="23" spans="2:8" s="169" customFormat="1" ht="15">
      <c r="B23" s="420" t="s">
        <v>550</v>
      </c>
      <c r="C23" s="440">
        <f>C21*C22/100</f>
        <v>62.965581763043346</v>
      </c>
      <c r="D23" s="436"/>
      <c r="E23" s="437"/>
      <c r="F23" s="437"/>
      <c r="G23" s="437"/>
      <c r="H23" s="61"/>
    </row>
    <row r="24" spans="2:8" s="169" customFormat="1" ht="15">
      <c r="B24" s="441" t="s">
        <v>548</v>
      </c>
      <c r="C24" s="442">
        <f>C21-C23</f>
        <v>2035.887143671735</v>
      </c>
      <c r="D24" s="436"/>
      <c r="E24" s="437"/>
      <c r="F24" s="437"/>
      <c r="G24" s="437"/>
      <c r="H24" s="61"/>
    </row>
    <row r="25" spans="2:8" ht="15.75" thickBot="1">
      <c r="B25" s="104" t="s">
        <v>546</v>
      </c>
      <c r="C25" s="438">
        <v>114.24337734168273</v>
      </c>
      <c r="D25" s="433"/>
      <c r="E25" s="434">
        <v>105.92837465564737</v>
      </c>
      <c r="F25" s="434"/>
      <c r="G25" s="434">
        <v>108.46280991735537</v>
      </c>
      <c r="H25" s="435"/>
    </row>
  </sheetData>
  <mergeCells count="7">
    <mergeCell ref="B6:B7"/>
    <mergeCell ref="B12:B14"/>
    <mergeCell ref="G12:G13"/>
    <mergeCell ref="H12:H13"/>
    <mergeCell ref="C12:D12"/>
    <mergeCell ref="E12:E13"/>
    <mergeCell ref="F12:F13"/>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
  <sheetViews>
    <sheetView zoomScale="90" zoomScaleNormal="90" workbookViewId="0" topLeftCell="A1">
      <selection activeCell="D19" sqref="D19"/>
    </sheetView>
  </sheetViews>
  <sheetFormatPr defaultColWidth="8.8515625" defaultRowHeight="15"/>
  <cols>
    <col min="1" max="1" width="5.00390625" style="169" bestFit="1" customWidth="1"/>
    <col min="2" max="2" width="48.7109375" style="169" customWidth="1"/>
    <col min="3" max="7" width="20.7109375" style="169" customWidth="1"/>
    <col min="8" max="10" width="14.140625" style="169" bestFit="1" customWidth="1"/>
    <col min="11" max="11" width="17.00390625" style="169" bestFit="1" customWidth="1"/>
    <col min="12" max="12" width="12.7109375" style="169" bestFit="1" customWidth="1"/>
    <col min="13" max="13" width="11.421875" style="169" customWidth="1"/>
    <col min="14" max="16384" width="8.8515625" style="169" customWidth="1"/>
  </cols>
  <sheetData>
    <row r="1" ht="18.75">
      <c r="B1" s="6" t="s">
        <v>126</v>
      </c>
    </row>
    <row r="2" ht="4.5" customHeight="1"/>
    <row r="3" spans="2:3" ht="29.45" customHeight="1">
      <c r="B3" s="44" t="s">
        <v>358</v>
      </c>
      <c r="C3" s="750"/>
    </row>
    <row r="4" spans="2:3" ht="15">
      <c r="B4" s="28" t="s">
        <v>127</v>
      </c>
      <c r="C4" s="729"/>
    </row>
    <row r="5" spans="2:3" ht="15.75" thickBot="1">
      <c r="B5" s="28"/>
      <c r="C5" s="729"/>
    </row>
    <row r="6" spans="2:5" ht="46.15" customHeight="1">
      <c r="B6" s="718"/>
      <c r="C6" s="47" t="s">
        <v>129</v>
      </c>
      <c r="D6" s="47" t="s">
        <v>130</v>
      </c>
      <c r="E6" s="47" t="s">
        <v>119</v>
      </c>
    </row>
    <row r="7" spans="2:5" ht="15.75" thickBot="1">
      <c r="B7" s="719"/>
      <c r="C7" s="178" t="s">
        <v>324</v>
      </c>
      <c r="D7" s="102" t="s">
        <v>118</v>
      </c>
      <c r="E7" s="178" t="s">
        <v>324</v>
      </c>
    </row>
    <row r="8" spans="2:5" ht="30.75" thickBot="1">
      <c r="B8" s="104" t="s">
        <v>128</v>
      </c>
      <c r="C8" s="105">
        <v>1980.4592345871442</v>
      </c>
      <c r="D8" s="106">
        <v>0</v>
      </c>
      <c r="E8" s="107">
        <f>C8*(100+D8)/100</f>
        <v>1980.4592345871442</v>
      </c>
    </row>
    <row r="9" spans="2:3" ht="15">
      <c r="B9" s="28"/>
      <c r="C9" s="729"/>
    </row>
    <row r="10" ht="14.25" customHeight="1" thickBot="1">
      <c r="C10" s="729"/>
    </row>
    <row r="11" spans="2:6" ht="16.5" customHeight="1">
      <c r="B11" s="713"/>
      <c r="C11" s="663" t="s">
        <v>89</v>
      </c>
      <c r="D11" s="664"/>
      <c r="E11" s="659" t="s">
        <v>105</v>
      </c>
      <c r="F11" s="673" t="s">
        <v>106</v>
      </c>
    </row>
    <row r="12" spans="2:6" ht="15">
      <c r="B12" s="714"/>
      <c r="C12" s="48" t="s">
        <v>10</v>
      </c>
      <c r="D12" s="100" t="s">
        <v>11</v>
      </c>
      <c r="E12" s="716"/>
      <c r="F12" s="768"/>
    </row>
    <row r="13" spans="2:6" ht="15.75" thickBot="1">
      <c r="B13" s="715"/>
      <c r="C13" s="179" t="s">
        <v>324</v>
      </c>
      <c r="D13" s="98" t="s">
        <v>324</v>
      </c>
      <c r="E13" s="179" t="s">
        <v>529</v>
      </c>
      <c r="F13" s="179" t="s">
        <v>529</v>
      </c>
    </row>
    <row r="14" spans="1:6" ht="30.75" thickBot="1">
      <c r="A14" s="10"/>
      <c r="B14" s="110" t="s">
        <v>128</v>
      </c>
      <c r="C14" s="769">
        <v>1980.4592345871442</v>
      </c>
      <c r="D14" s="112">
        <f>C22</f>
        <v>2046.2424620305007</v>
      </c>
      <c r="E14" s="113">
        <v>93.66512768561581</v>
      </c>
      <c r="F14" s="114">
        <v>2114.4040301044547</v>
      </c>
    </row>
    <row r="15" ht="15">
      <c r="C15" s="14"/>
    </row>
    <row r="16" ht="15.75" thickBot="1">
      <c r="B16" s="26"/>
    </row>
    <row r="17" spans="2:4" ht="15.75" thickBot="1">
      <c r="B17" s="86"/>
      <c r="C17" s="89">
        <v>2019</v>
      </c>
      <c r="D17" s="89">
        <v>2020</v>
      </c>
    </row>
    <row r="18" spans="2:4" ht="15">
      <c r="B18" s="181" t="s">
        <v>412</v>
      </c>
      <c r="C18" s="90">
        <v>96.77632244814693</v>
      </c>
      <c r="D18" s="90">
        <v>93.66512768561581</v>
      </c>
    </row>
    <row r="19" spans="2:4" ht="15.75" thickBot="1">
      <c r="B19" s="407" t="s">
        <v>413</v>
      </c>
      <c r="C19" s="27"/>
      <c r="D19" s="27">
        <f>C14/D18*100</f>
        <v>2114.4040301044547</v>
      </c>
    </row>
    <row r="20" ht="15.75" thickBot="1"/>
    <row r="21" spans="2:3" ht="15.75" thickBot="1">
      <c r="B21" s="301"/>
      <c r="C21" s="302">
        <v>2020</v>
      </c>
    </row>
    <row r="22" spans="2:5" ht="15">
      <c r="B22" s="303" t="s">
        <v>589</v>
      </c>
      <c r="C22" s="304">
        <f>C14/D18*C18</f>
        <v>2046.2424620305007</v>
      </c>
      <c r="E22" s="169" t="s">
        <v>588</v>
      </c>
    </row>
  </sheetData>
  <mergeCells count="5">
    <mergeCell ref="C11:D11"/>
    <mergeCell ref="E11:E12"/>
    <mergeCell ref="F11:F12"/>
    <mergeCell ref="B6:B7"/>
    <mergeCell ref="B11:B13"/>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40"/>
  <sheetViews>
    <sheetView workbookViewId="0" topLeftCell="A10">
      <selection activeCell="C23" sqref="C23"/>
    </sheetView>
  </sheetViews>
  <sheetFormatPr defaultColWidth="8.8515625" defaultRowHeight="15"/>
  <cols>
    <col min="1" max="1" width="5.00390625" style="169" bestFit="1" customWidth="1"/>
    <col min="2" max="2" width="42.8515625" style="169" bestFit="1" customWidth="1"/>
    <col min="3" max="3" width="27.140625" style="169" bestFit="1" customWidth="1"/>
    <col min="4" max="4" width="12.8515625" style="169" customWidth="1"/>
    <col min="5" max="10" width="14.140625" style="169" bestFit="1" customWidth="1"/>
    <col min="11" max="11" width="17.00390625" style="169" bestFit="1" customWidth="1"/>
    <col min="12" max="12" width="15.28125" style="169" customWidth="1"/>
    <col min="13" max="13" width="11.421875" style="169" customWidth="1"/>
    <col min="14" max="14" width="9.7109375" style="169" bestFit="1" customWidth="1"/>
    <col min="15" max="16384" width="8.8515625" style="169" customWidth="1"/>
  </cols>
  <sheetData>
    <row r="1" ht="18.75">
      <c r="B1" s="6" t="s">
        <v>26</v>
      </c>
    </row>
    <row r="2" ht="4.5" customHeight="1"/>
    <row r="3" spans="2:3" ht="15">
      <c r="B3" s="7" t="s">
        <v>399</v>
      </c>
      <c r="C3" s="729" t="s">
        <v>27</v>
      </c>
    </row>
    <row r="4" spans="2:3" ht="15">
      <c r="B4" s="8" t="s">
        <v>28</v>
      </c>
      <c r="C4" s="730" t="s">
        <v>316</v>
      </c>
    </row>
    <row r="5" ht="14.25" customHeight="1">
      <c r="C5" s="729" t="s">
        <v>317</v>
      </c>
    </row>
    <row r="6" ht="14.25" customHeight="1" thickBot="1"/>
    <row r="7" spans="2:4" ht="16.5" customHeight="1" thickBot="1">
      <c r="B7" s="86"/>
      <c r="C7" s="87" t="s">
        <v>3</v>
      </c>
      <c r="D7" s="9"/>
    </row>
    <row r="8" spans="1:3" ht="15">
      <c r="A8" s="10">
        <v>1</v>
      </c>
      <c r="B8" s="84" t="s">
        <v>0</v>
      </c>
      <c r="C8" s="85">
        <f>4118284.70942683/1000</f>
        <v>4118.28470942683</v>
      </c>
    </row>
    <row r="9" spans="1:3" ht="15">
      <c r="A9" s="10">
        <v>2</v>
      </c>
      <c r="B9" s="168" t="s">
        <v>8</v>
      </c>
      <c r="C9" s="85">
        <f>123548.541282805/1000</f>
        <v>123.548541282805</v>
      </c>
    </row>
    <row r="10" spans="1:3" ht="15">
      <c r="A10" s="10"/>
      <c r="B10" s="168" t="s">
        <v>401</v>
      </c>
      <c r="C10" s="85">
        <f>145070.090351971/1000</f>
        <v>145.070090351971</v>
      </c>
    </row>
    <row r="11" spans="1:3" ht="15">
      <c r="A11" s="10"/>
      <c r="B11" s="168" t="s">
        <v>402</v>
      </c>
      <c r="C11" s="85">
        <f>3283961.89891279/1000</f>
        <v>3283.9618989127903</v>
      </c>
    </row>
    <row r="12" spans="1:3" ht="15">
      <c r="A12" s="10">
        <v>3</v>
      </c>
      <c r="B12" s="731" t="s">
        <v>2</v>
      </c>
      <c r="C12" s="201">
        <f>C8-C9+C10+C11</f>
        <v>7423.7681574087865</v>
      </c>
    </row>
    <row r="13" spans="1:3" ht="15">
      <c r="A13" s="10">
        <v>6</v>
      </c>
      <c r="B13" s="168" t="s">
        <v>400</v>
      </c>
      <c r="C13" s="214">
        <f>79110.7125/1000</f>
        <v>79.11071249999999</v>
      </c>
    </row>
    <row r="14" spans="1:3" ht="15">
      <c r="A14" s="10"/>
      <c r="B14" s="200" t="s">
        <v>407</v>
      </c>
      <c r="C14" s="213">
        <f>643649.524489937/1000</f>
        <v>643.649524489937</v>
      </c>
    </row>
    <row r="15" spans="1:3" ht="15">
      <c r="A15" s="10"/>
      <c r="B15" s="76" t="s">
        <v>403</v>
      </c>
      <c r="C15" s="77">
        <f>245786.89/1000</f>
        <v>245.78689000000003</v>
      </c>
    </row>
    <row r="16" spans="1:3" ht="15">
      <c r="A16" s="10"/>
      <c r="B16" s="732" t="s">
        <v>404</v>
      </c>
      <c r="C16" s="204">
        <v>11</v>
      </c>
    </row>
    <row r="17" spans="1:3" ht="15">
      <c r="A17" s="10"/>
      <c r="B17" s="732" t="s">
        <v>405</v>
      </c>
      <c r="C17" s="204">
        <v>3172.93466623552</v>
      </c>
    </row>
    <row r="18" spans="2:3" ht="15.75" thickBot="1">
      <c r="B18" s="167" t="s">
        <v>411</v>
      </c>
      <c r="C18" s="36">
        <f>C12-C13-C14-C15-C16-C17</f>
        <v>3271.286364183329</v>
      </c>
    </row>
    <row r="19" spans="2:3" ht="15">
      <c r="B19" s="14"/>
      <c r="C19" s="15"/>
    </row>
    <row r="20" spans="2:3" ht="15.75" thickBot="1">
      <c r="B20" s="16"/>
      <c r="C20" s="17"/>
    </row>
    <row r="21" spans="2:12" ht="16.5" customHeight="1">
      <c r="B21" s="657" t="s">
        <v>1</v>
      </c>
      <c r="C21" s="659" t="s">
        <v>3</v>
      </c>
      <c r="D21" s="661" t="s">
        <v>408</v>
      </c>
      <c r="E21" s="663" t="s">
        <v>5</v>
      </c>
      <c r="F21" s="664"/>
      <c r="G21" s="663" t="s">
        <v>6</v>
      </c>
      <c r="H21" s="664"/>
      <c r="I21" s="663" t="s">
        <v>12</v>
      </c>
      <c r="J21" s="664"/>
      <c r="K21" s="655" t="s">
        <v>7</v>
      </c>
      <c r="L21" s="656"/>
    </row>
    <row r="22" spans="2:12" ht="15.75" thickBot="1">
      <c r="B22" s="658"/>
      <c r="C22" s="660"/>
      <c r="D22" s="662"/>
      <c r="E22" s="81" t="s">
        <v>10</v>
      </c>
      <c r="F22" s="82" t="s">
        <v>11</v>
      </c>
      <c r="G22" s="81" t="s">
        <v>10</v>
      </c>
      <c r="H22" s="82" t="s">
        <v>11</v>
      </c>
      <c r="I22" s="81" t="s">
        <v>10</v>
      </c>
      <c r="J22" s="82" t="s">
        <v>11</v>
      </c>
      <c r="K22" s="81" t="s">
        <v>10</v>
      </c>
      <c r="L22" s="644" t="s">
        <v>11</v>
      </c>
    </row>
    <row r="23" spans="1:12" s="73" customFormat="1" ht="15">
      <c r="A23" s="207"/>
      <c r="B23" s="733" t="s">
        <v>648</v>
      </c>
      <c r="C23" s="208">
        <v>2157.9267947499998</v>
      </c>
      <c r="D23" s="209">
        <v>123.98231324426754</v>
      </c>
      <c r="E23" s="312">
        <f>C23*D23/100</f>
        <v>2675.447558248927</v>
      </c>
      <c r="F23" s="211"/>
      <c r="G23" s="212"/>
      <c r="H23" s="211"/>
      <c r="I23" s="212"/>
      <c r="J23" s="211"/>
      <c r="K23" s="212"/>
      <c r="L23" s="211"/>
    </row>
    <row r="24" spans="1:12" s="73" customFormat="1" ht="15">
      <c r="A24" s="207"/>
      <c r="B24" s="733" t="s">
        <v>409</v>
      </c>
      <c r="C24" s="208">
        <v>-193.2738786772662</v>
      </c>
      <c r="D24" s="209">
        <v>124.20562131542418</v>
      </c>
      <c r="E24" s="210">
        <v>106.10322072797544</v>
      </c>
      <c r="F24" s="211"/>
      <c r="G24" s="212"/>
      <c r="H24" s="211"/>
      <c r="I24" s="212"/>
      <c r="J24" s="211"/>
      <c r="K24" s="212"/>
      <c r="L24" s="211"/>
    </row>
    <row r="25" spans="1:12" s="73" customFormat="1" ht="15">
      <c r="A25" s="207"/>
      <c r="B25" s="734" t="s">
        <v>649</v>
      </c>
      <c r="C25" s="735">
        <f>SUM(C23:C24)</f>
        <v>1964.6529160727337</v>
      </c>
      <c r="D25" s="736"/>
      <c r="E25" s="737">
        <f>E23+E24</f>
        <v>2781.5507789769026</v>
      </c>
      <c r="F25" s="738">
        <f>C25*$D$33/100</f>
        <v>1866.420270269097</v>
      </c>
      <c r="G25" s="212"/>
      <c r="H25" s="211"/>
      <c r="I25" s="212"/>
      <c r="J25" s="211"/>
      <c r="K25" s="212"/>
      <c r="L25" s="211"/>
    </row>
    <row r="26" spans="1:12" ht="15">
      <c r="A26" s="10"/>
      <c r="B26" s="200" t="s">
        <v>406</v>
      </c>
      <c r="C26" s="204">
        <v>838</v>
      </c>
      <c r="D26" s="205">
        <v>124</v>
      </c>
      <c r="E26" s="312">
        <f>C26*D26/100</f>
        <v>1039.12</v>
      </c>
      <c r="F26" s="206">
        <f>C26*$D$34/100</f>
        <v>1003.5561507207993</v>
      </c>
      <c r="G26" s="50"/>
      <c r="H26" s="206"/>
      <c r="I26" s="50"/>
      <c r="J26" s="206"/>
      <c r="K26" s="50"/>
      <c r="L26" s="206"/>
    </row>
    <row r="27" spans="1:12" ht="15.75" thickBot="1">
      <c r="A27" s="10"/>
      <c r="B27" s="200" t="s">
        <v>410</v>
      </c>
      <c r="C27" s="204">
        <v>1112.6593538971272</v>
      </c>
      <c r="D27" s="205">
        <v>123.98231324426754</v>
      </c>
      <c r="E27" s="312">
        <f>C27*D27/100</f>
        <v>1379.5008054903797</v>
      </c>
      <c r="F27" s="206">
        <f>C27*$D$34/100</f>
        <v>1332.4774919576284</v>
      </c>
      <c r="G27" s="50"/>
      <c r="H27" s="206"/>
      <c r="I27" s="50"/>
      <c r="J27" s="206"/>
      <c r="K27" s="50"/>
      <c r="L27" s="206"/>
    </row>
    <row r="28" spans="1:14" ht="15.75" thickBot="1">
      <c r="A28" s="10">
        <v>17</v>
      </c>
      <c r="B28" s="22" t="s">
        <v>9</v>
      </c>
      <c r="C28" s="33">
        <f>SUM(C23:C27)</f>
        <v>5879.965186042595</v>
      </c>
      <c r="D28" s="205"/>
      <c r="E28" s="24">
        <f>SUM(E25:E27)</f>
        <v>5200.171584467282</v>
      </c>
      <c r="F28" s="299">
        <f>SUM(F23:F27)</f>
        <v>4202.453912947525</v>
      </c>
      <c r="G28" s="24">
        <v>0</v>
      </c>
      <c r="H28" s="25">
        <v>0</v>
      </c>
      <c r="I28" s="24">
        <v>0</v>
      </c>
      <c r="J28" s="25">
        <v>0</v>
      </c>
      <c r="K28" s="24">
        <f>E28+G28-I28</f>
        <v>5200.171584467282</v>
      </c>
      <c r="L28" s="24">
        <f>F28+H28-J28</f>
        <v>4202.453912947525</v>
      </c>
      <c r="N28" s="28"/>
    </row>
    <row r="29" spans="3:12" ht="15">
      <c r="C29" s="14"/>
      <c r="E29" s="14"/>
      <c r="F29" s="14"/>
      <c r="G29" s="14"/>
      <c r="H29" s="14"/>
      <c r="I29" s="14"/>
      <c r="J29" s="14"/>
      <c r="K29" s="14"/>
      <c r="L29" s="14"/>
    </row>
    <row r="30" ht="15.75" thickBot="1">
      <c r="B30" s="26"/>
    </row>
    <row r="31" spans="3:12" ht="15">
      <c r="C31" s="739"/>
      <c r="D31" s="740" t="s">
        <v>650</v>
      </c>
      <c r="E31" s="14"/>
      <c r="F31" s="14"/>
      <c r="G31" s="14"/>
      <c r="H31" s="14"/>
      <c r="I31" s="14"/>
      <c r="J31" s="14"/>
      <c r="K31" s="14"/>
      <c r="L31" s="14"/>
    </row>
    <row r="32" spans="3:4" ht="15">
      <c r="C32" s="741"/>
      <c r="D32" s="742"/>
    </row>
    <row r="33" spans="3:4" ht="15">
      <c r="C33" s="743" t="s">
        <v>651</v>
      </c>
      <c r="D33" s="744">
        <v>95</v>
      </c>
    </row>
    <row r="34" spans="3:4" ht="15.75" thickBot="1">
      <c r="C34" s="126" t="s">
        <v>652</v>
      </c>
      <c r="D34" s="745">
        <v>119.75610390463</v>
      </c>
    </row>
    <row r="35" ht="15">
      <c r="D35" s="746"/>
    </row>
    <row r="36" ht="15.75" thickBot="1"/>
    <row r="37" spans="2:5" ht="15.75" thickBot="1">
      <c r="B37" s="86"/>
      <c r="C37" s="747"/>
      <c r="D37" s="89">
        <v>2019</v>
      </c>
      <c r="E37" s="89">
        <v>2020</v>
      </c>
    </row>
    <row r="38" spans="2:5" ht="15.75" thickBot="1">
      <c r="B38" s="130" t="s">
        <v>653</v>
      </c>
      <c r="C38" s="748" t="s">
        <v>648</v>
      </c>
      <c r="D38" s="27">
        <v>103.35157450450608</v>
      </c>
      <c r="E38" s="27">
        <v>104.70982442507366</v>
      </c>
    </row>
    <row r="39" spans="4:5" ht="15">
      <c r="D39" s="580"/>
      <c r="E39" s="580"/>
    </row>
    <row r="40" spans="2:5" ht="15.75" thickBot="1">
      <c r="B40" s="180" t="s">
        <v>654</v>
      </c>
      <c r="D40" s="749">
        <v>89.72760918938123</v>
      </c>
      <c r="E40" s="749">
        <v>89.82739527934459</v>
      </c>
    </row>
  </sheetData>
  <mergeCells count="8">
    <mergeCell ref="D31:D32"/>
    <mergeCell ref="K21:L21"/>
    <mergeCell ref="B21:B22"/>
    <mergeCell ref="C21:C22"/>
    <mergeCell ref="D21:D22"/>
    <mergeCell ref="E21:F21"/>
    <mergeCell ref="G21:H21"/>
    <mergeCell ref="I21:J21"/>
  </mergeCells>
  <conditionalFormatting sqref="C30 N28">
    <cfRule type="cellIs" priority="9" dxfId="1" operator="equal">
      <formula>FALSE</formula>
    </cfRule>
    <cfRule type="cellIs" priority="10" dxfId="0" operator="equal">
      <formula>TRUE</formula>
    </cfRule>
  </conditionalFormatting>
  <conditionalFormatting sqref="E30">
    <cfRule type="cellIs" priority="7" dxfId="1" operator="equal">
      <formula>FALSE</formula>
    </cfRule>
    <cfRule type="cellIs" priority="8" dxfId="0" operator="equal">
      <formula>TRUE</formula>
    </cfRule>
  </conditionalFormatting>
  <conditionalFormatting sqref="F30">
    <cfRule type="cellIs" priority="5" dxfId="1" operator="equal">
      <formula>FALSE</formula>
    </cfRule>
    <cfRule type="cellIs" priority="6" dxfId="0" operator="equal">
      <formula>TRUE</formula>
    </cfRule>
  </conditionalFormatting>
  <conditionalFormatting sqref="K30">
    <cfRule type="cellIs" priority="3" dxfId="1" operator="equal">
      <formula>FALSE</formula>
    </cfRule>
    <cfRule type="cellIs" priority="4" dxfId="0" operator="equal">
      <formula>TRUE</formula>
    </cfRule>
  </conditionalFormatting>
  <conditionalFormatting sqref="L30">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zoomScale="90" zoomScaleNormal="90" workbookViewId="0" topLeftCell="A1">
      <selection activeCell="C24" sqref="C24"/>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133</v>
      </c>
    </row>
    <row r="2" ht="4.5" customHeight="1"/>
    <row r="3" spans="2:11" ht="15">
      <c r="B3" s="44" t="s">
        <v>357</v>
      </c>
      <c r="C3" s="45"/>
      <c r="F3" s="169"/>
      <c r="G3" s="169"/>
      <c r="H3" s="169"/>
      <c r="I3" s="169"/>
      <c r="J3" s="169"/>
      <c r="K3" s="169"/>
    </row>
    <row r="4" spans="2:11" ht="15">
      <c r="B4" s="28" t="s">
        <v>134</v>
      </c>
      <c r="C4" s="4"/>
      <c r="F4" s="169"/>
      <c r="G4" s="169"/>
      <c r="H4" s="169"/>
      <c r="I4" s="169"/>
      <c r="J4" s="169"/>
      <c r="K4" s="169"/>
    </row>
    <row r="5" spans="2:5" ht="15.75" thickBot="1">
      <c r="B5" s="127"/>
      <c r="C5" s="351"/>
      <c r="D5" s="127"/>
      <c r="E5" s="127"/>
    </row>
    <row r="6" spans="2:5" ht="46.15" customHeight="1">
      <c r="B6" s="711"/>
      <c r="C6" s="352" t="s">
        <v>132</v>
      </c>
      <c r="D6" s="353" t="s">
        <v>369</v>
      </c>
      <c r="E6" s="354" t="s">
        <v>114</v>
      </c>
    </row>
    <row r="7" spans="2:5" ht="15.75" thickBot="1">
      <c r="B7" s="712"/>
      <c r="C7" s="355" t="s">
        <v>323</v>
      </c>
      <c r="D7" s="356" t="s">
        <v>88</v>
      </c>
      <c r="E7" s="357" t="s">
        <v>324</v>
      </c>
    </row>
    <row r="8" spans="2:5" ht="15">
      <c r="B8" s="358" t="s">
        <v>135</v>
      </c>
      <c r="C8" s="359"/>
      <c r="D8" s="360"/>
      <c r="E8" s="361">
        <f>E9</f>
        <v>0</v>
      </c>
    </row>
    <row r="9" spans="2:5" ht="15.75" thickBot="1">
      <c r="B9" s="372" t="s">
        <v>136</v>
      </c>
      <c r="C9" s="373">
        <v>0</v>
      </c>
      <c r="D9" s="374">
        <v>0</v>
      </c>
      <c r="E9" s="375">
        <f>C9*D9/10^6</f>
        <v>0</v>
      </c>
    </row>
    <row r="10" spans="2:5" ht="15">
      <c r="B10" s="127"/>
      <c r="C10" s="351"/>
      <c r="D10" s="127"/>
      <c r="E10" s="127"/>
    </row>
    <row r="11" spans="2:5" ht="14.25" customHeight="1" thickBot="1">
      <c r="B11" s="127"/>
      <c r="C11" s="351"/>
      <c r="D11" s="127"/>
      <c r="E11" s="127"/>
    </row>
    <row r="12" spans="2:6" ht="16.5" customHeight="1">
      <c r="B12" s="713"/>
      <c r="C12" s="663" t="s">
        <v>89</v>
      </c>
      <c r="D12" s="664"/>
      <c r="E12" s="659" t="s">
        <v>105</v>
      </c>
      <c r="F12" s="677" t="s">
        <v>106</v>
      </c>
    </row>
    <row r="13" spans="2:6" ht="15">
      <c r="B13" s="714"/>
      <c r="C13" s="48" t="s">
        <v>10</v>
      </c>
      <c r="D13" s="100" t="s">
        <v>11</v>
      </c>
      <c r="E13" s="716"/>
      <c r="F13" s="717"/>
    </row>
    <row r="14" spans="2:6" ht="15.75" thickBot="1">
      <c r="B14" s="715"/>
      <c r="C14" s="101" t="s">
        <v>324</v>
      </c>
      <c r="D14" s="98" t="s">
        <v>324</v>
      </c>
      <c r="E14" s="175" t="s">
        <v>370</v>
      </c>
      <c r="F14" s="174" t="s">
        <v>370</v>
      </c>
    </row>
    <row r="15" spans="1:6" ht="15.75" thickBot="1">
      <c r="A15" s="10"/>
      <c r="B15" s="110" t="s">
        <v>135</v>
      </c>
      <c r="C15" s="111">
        <v>1465.6135569089274</v>
      </c>
      <c r="D15" s="112">
        <f>C24</f>
        <v>1451.0723568207613</v>
      </c>
      <c r="E15" s="113">
        <v>0</v>
      </c>
      <c r="F15" s="114">
        <v>0</v>
      </c>
    </row>
    <row r="16" ht="15">
      <c r="C16" s="14"/>
    </row>
    <row r="17" ht="15">
      <c r="B17" s="26"/>
    </row>
    <row r="18" ht="15.75" thickBot="1"/>
    <row r="19" spans="2:5" ht="15.75" thickBot="1">
      <c r="B19" s="86"/>
      <c r="C19" s="89">
        <v>2019</v>
      </c>
      <c r="D19" s="89">
        <v>2020</v>
      </c>
      <c r="E19" s="169"/>
    </row>
    <row r="20" spans="2:5" ht="15">
      <c r="B20" s="181" t="s">
        <v>412</v>
      </c>
      <c r="C20" s="90">
        <v>101.28140076872984</v>
      </c>
      <c r="D20" s="90">
        <v>102.29634196505624</v>
      </c>
      <c r="E20" s="169"/>
    </row>
    <row r="21" spans="2:5" ht="15.75" thickBot="1">
      <c r="B21" s="407" t="s">
        <v>413</v>
      </c>
      <c r="C21" s="27"/>
      <c r="D21" s="27"/>
      <c r="E21" s="169"/>
    </row>
    <row r="22" spans="2:5" ht="15.75" thickBot="1">
      <c r="B22" s="169"/>
      <c r="C22" s="169"/>
      <c r="D22" s="169"/>
      <c r="E22" s="169"/>
    </row>
    <row r="23" spans="2:5" ht="15.75" thickBot="1">
      <c r="B23" s="301"/>
      <c r="C23" s="302">
        <v>2020</v>
      </c>
      <c r="D23" s="169"/>
      <c r="E23" s="169"/>
    </row>
    <row r="24" spans="2:5" ht="15">
      <c r="B24" s="303" t="s">
        <v>589</v>
      </c>
      <c r="C24" s="304">
        <f>C15/D20*C20</f>
        <v>1451.0723568207613</v>
      </c>
      <c r="D24" s="169"/>
      <c r="E24" s="169" t="s">
        <v>588</v>
      </c>
    </row>
  </sheetData>
  <mergeCells count="5">
    <mergeCell ref="C12:D12"/>
    <mergeCell ref="E12:E13"/>
    <mergeCell ref="F12:F13"/>
    <mergeCell ref="B6:B7"/>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4"/>
  <sheetViews>
    <sheetView zoomScale="90" zoomScaleNormal="90" workbookViewId="0" topLeftCell="A1">
      <selection activeCell="C28" sqref="C28"/>
    </sheetView>
  </sheetViews>
  <sheetFormatPr defaultColWidth="8.8515625" defaultRowHeight="15"/>
  <cols>
    <col min="1" max="1" width="5.00390625" style="169" bestFit="1" customWidth="1"/>
    <col min="2" max="2" width="57.140625" style="169" customWidth="1"/>
    <col min="3" max="3" width="18.7109375" style="169" customWidth="1"/>
    <col min="4" max="4" width="12.28125" style="169" customWidth="1"/>
    <col min="5" max="6" width="17.00390625" style="169" customWidth="1"/>
    <col min="7" max="10" width="11.8515625" style="169" customWidth="1"/>
    <col min="11" max="11" width="17.00390625" style="169" bestFit="1" customWidth="1"/>
    <col min="12" max="12" width="12.7109375" style="169" bestFit="1" customWidth="1"/>
    <col min="13" max="13" width="11.421875" style="169" customWidth="1"/>
    <col min="14" max="16384" width="8.8515625" style="169" customWidth="1"/>
  </cols>
  <sheetData>
    <row r="1" spans="2:3" ht="18.75">
      <c r="B1" s="6" t="s">
        <v>137</v>
      </c>
      <c r="C1" s="6"/>
    </row>
    <row r="2" ht="4.5" customHeight="1"/>
    <row r="3" spans="2:4" ht="30">
      <c r="B3" s="44" t="s">
        <v>558</v>
      </c>
      <c r="C3" s="44"/>
      <c r="D3" s="750"/>
    </row>
    <row r="4" spans="2:4" ht="15">
      <c r="B4" s="28" t="s">
        <v>559</v>
      </c>
      <c r="C4" s="28"/>
      <c r="D4" s="729"/>
    </row>
    <row r="5" spans="2:4" ht="15.75" thickBot="1">
      <c r="B5" s="28"/>
      <c r="C5" s="28"/>
      <c r="D5" s="729"/>
    </row>
    <row r="6" spans="2:8" ht="46.15" customHeight="1">
      <c r="B6" s="711"/>
      <c r="C6" s="465"/>
      <c r="D6" s="352" t="s">
        <v>131</v>
      </c>
      <c r="E6" s="354" t="s">
        <v>114</v>
      </c>
      <c r="F6" s="354" t="s">
        <v>139</v>
      </c>
      <c r="G6" s="354" t="s">
        <v>119</v>
      </c>
      <c r="H6" s="127" t="s">
        <v>542</v>
      </c>
    </row>
    <row r="7" spans="2:8" ht="45.75" thickBot="1">
      <c r="B7" s="712"/>
      <c r="C7" s="466"/>
      <c r="D7" s="355" t="s">
        <v>323</v>
      </c>
      <c r="E7" s="357" t="s">
        <v>324</v>
      </c>
      <c r="F7" s="357" t="s">
        <v>118</v>
      </c>
      <c r="G7" s="357" t="s">
        <v>324</v>
      </c>
      <c r="H7" s="127"/>
    </row>
    <row r="8" spans="2:8" ht="30">
      <c r="B8" s="358" t="s">
        <v>138</v>
      </c>
      <c r="C8" s="467"/>
      <c r="D8" s="359"/>
      <c r="E8" s="361" t="e">
        <f>SUM(E9:E11)</f>
        <v>#REF!</v>
      </c>
      <c r="F8" s="361" t="e">
        <f>#REF!</f>
        <v>#REF!</v>
      </c>
      <c r="G8" s="362" t="e">
        <f>E8-F8</f>
        <v>#REF!</v>
      </c>
      <c r="H8" s="127"/>
    </row>
    <row r="9" spans="2:8" ht="15">
      <c r="B9" s="456" t="s">
        <v>140</v>
      </c>
      <c r="C9" s="468"/>
      <c r="D9" s="457">
        <v>0</v>
      </c>
      <c r="E9" s="458" t="e">
        <f>D9*#REF!/10^6</f>
        <v>#REF!</v>
      </c>
      <c r="F9" s="458"/>
      <c r="G9" s="459"/>
      <c r="H9" s="127"/>
    </row>
    <row r="10" spans="2:8" ht="15">
      <c r="B10" s="456" t="s">
        <v>141</v>
      </c>
      <c r="C10" s="468"/>
      <c r="D10" s="457">
        <v>0</v>
      </c>
      <c r="E10" s="458" t="e">
        <f>D10*#REF!/10^6</f>
        <v>#REF!</v>
      </c>
      <c r="F10" s="458"/>
      <c r="G10" s="459"/>
      <c r="H10" s="127"/>
    </row>
    <row r="11" spans="2:8" ht="15.75" thickBot="1">
      <c r="B11" s="460" t="s">
        <v>142</v>
      </c>
      <c r="C11" s="469"/>
      <c r="D11" s="461">
        <v>0</v>
      </c>
      <c r="E11" s="462" t="e">
        <f>D11*#REF!/10^6</f>
        <v>#REF!</v>
      </c>
      <c r="F11" s="462"/>
      <c r="G11" s="463"/>
      <c r="H11" s="127"/>
    </row>
    <row r="12" spans="2:4" ht="15">
      <c r="B12" s="28"/>
      <c r="C12" s="28"/>
      <c r="D12" s="729"/>
    </row>
    <row r="13" spans="2:4" ht="15">
      <c r="B13" s="28"/>
      <c r="C13" s="28"/>
      <c r="D13" s="729" t="s">
        <v>27</v>
      </c>
    </row>
    <row r="14" spans="2:4" ht="15">
      <c r="B14" s="28"/>
      <c r="C14" s="28"/>
      <c r="D14" s="730" t="s">
        <v>316</v>
      </c>
    </row>
    <row r="15" spans="2:4" ht="15">
      <c r="B15" s="28"/>
      <c r="C15" s="28"/>
      <c r="D15" s="729" t="s">
        <v>317</v>
      </c>
    </row>
    <row r="16" spans="1:4" ht="14.25" customHeight="1" thickBot="1">
      <c r="A16" s="327"/>
      <c r="B16" s="34"/>
      <c r="C16" s="34"/>
      <c r="D16" s="464"/>
    </row>
    <row r="17" spans="2:10" ht="16.5" customHeight="1" thickBot="1">
      <c r="B17" s="713"/>
      <c r="C17" s="659" t="s">
        <v>3</v>
      </c>
      <c r="D17" s="661" t="s">
        <v>408</v>
      </c>
      <c r="E17" s="721" t="s">
        <v>89</v>
      </c>
      <c r="F17" s="722"/>
      <c r="G17" s="708" t="s">
        <v>535</v>
      </c>
      <c r="H17" s="661" t="s">
        <v>536</v>
      </c>
      <c r="I17" s="708" t="s">
        <v>537</v>
      </c>
      <c r="J17" s="661" t="s">
        <v>538</v>
      </c>
    </row>
    <row r="18" spans="2:10" ht="15.75" thickBot="1">
      <c r="B18" s="714"/>
      <c r="C18" s="666"/>
      <c r="D18" s="723"/>
      <c r="E18" s="641" t="s">
        <v>10</v>
      </c>
      <c r="F18" s="642" t="s">
        <v>11</v>
      </c>
      <c r="G18" s="709"/>
      <c r="H18" s="710"/>
      <c r="I18" s="709"/>
      <c r="J18" s="720"/>
    </row>
    <row r="19" spans="2:10" ht="15.75" thickBot="1">
      <c r="B19" s="715"/>
      <c r="C19" s="208"/>
      <c r="D19" s="209"/>
      <c r="E19" s="179" t="s">
        <v>324</v>
      </c>
      <c r="F19" s="98" t="s">
        <v>324</v>
      </c>
      <c r="G19" s="415" t="s">
        <v>529</v>
      </c>
      <c r="H19" s="416" t="s">
        <v>529</v>
      </c>
      <c r="I19" s="476" t="s">
        <v>529</v>
      </c>
      <c r="J19" s="500" t="s">
        <v>529</v>
      </c>
    </row>
    <row r="20" spans="1:10" s="16" customFormat="1" ht="34.5" customHeight="1">
      <c r="A20" s="333"/>
      <c r="B20" s="470" t="s">
        <v>138</v>
      </c>
      <c r="C20" s="471">
        <f>C21+C29</f>
        <v>7848.949576867301</v>
      </c>
      <c r="D20" s="474"/>
      <c r="E20" s="512">
        <f>E21+E29-E34</f>
        <v>16288.877118653018</v>
      </c>
      <c r="F20" s="521">
        <f>E20/I20*G20</f>
        <v>16163.60261800173</v>
      </c>
      <c r="G20" s="417">
        <v>100.89884861928655</v>
      </c>
      <c r="H20" s="417"/>
      <c r="I20" s="477">
        <v>101.68085577300076</v>
      </c>
      <c r="J20" s="497"/>
    </row>
    <row r="21" spans="2:13" s="489" customFormat="1" ht="15">
      <c r="B21" s="490" t="s">
        <v>565</v>
      </c>
      <c r="C21" s="491">
        <f>SUM(C22:C27)</f>
        <v>3315.4555639121436</v>
      </c>
      <c r="D21" s="492"/>
      <c r="E21" s="513">
        <f>SUM(E22:E27)</f>
        <v>6198.589199467684</v>
      </c>
      <c r="F21" s="493"/>
      <c r="G21" s="494"/>
      <c r="H21" s="494"/>
      <c r="I21" s="495"/>
      <c r="J21" s="498"/>
      <c r="L21" s="464"/>
      <c r="M21" s="496"/>
    </row>
    <row r="22" spans="2:10" ht="15">
      <c r="B22" s="473" t="s">
        <v>564</v>
      </c>
      <c r="C22" s="481">
        <v>551.3</v>
      </c>
      <c r="D22" s="519">
        <v>132.83930094438588</v>
      </c>
      <c r="E22" s="514">
        <f>C22*D22/100</f>
        <v>732.3430661063993</v>
      </c>
      <c r="F22" s="486"/>
      <c r="G22" s="446"/>
      <c r="H22" s="446"/>
      <c r="I22" s="478"/>
      <c r="J22" s="499"/>
    </row>
    <row r="23" spans="2:10" ht="15">
      <c r="B23" s="473" t="s">
        <v>560</v>
      </c>
      <c r="C23" s="480">
        <v>1045.4968069477557</v>
      </c>
      <c r="D23" s="482">
        <v>266.3920119239583</v>
      </c>
      <c r="E23" s="515">
        <f>C23*D23/100</f>
        <v>2785.119978628869</v>
      </c>
      <c r="F23" s="485"/>
      <c r="G23" s="427"/>
      <c r="H23" s="427"/>
      <c r="I23" s="427"/>
      <c r="J23" s="418"/>
    </row>
    <row r="24" spans="2:10" ht="15">
      <c r="B24" s="473" t="s">
        <v>561</v>
      </c>
      <c r="C24" s="481">
        <v>220.18598938400143</v>
      </c>
      <c r="D24" s="475">
        <v>227.1014771153795</v>
      </c>
      <c r="E24" s="516">
        <f>C24*D24/100</f>
        <v>500.04563429217995</v>
      </c>
      <c r="F24" s="486"/>
      <c r="G24" s="427"/>
      <c r="H24" s="427"/>
      <c r="I24" s="427"/>
      <c r="J24" s="418"/>
    </row>
    <row r="25" spans="2:10" ht="15">
      <c r="B25" s="473" t="s">
        <v>562</v>
      </c>
      <c r="C25" s="481">
        <v>620.7</v>
      </c>
      <c r="D25" s="482">
        <v>16.9</v>
      </c>
      <c r="E25" s="516">
        <f aca="true" t="shared" si="0" ref="E25:E27">C25*D25/100</f>
        <v>104.8983</v>
      </c>
      <c r="F25" s="487"/>
      <c r="G25" s="437"/>
      <c r="H25" s="437"/>
      <c r="I25" s="437"/>
      <c r="J25" s="61"/>
    </row>
    <row r="26" spans="2:10" ht="15">
      <c r="B26" s="473" t="s">
        <v>563</v>
      </c>
      <c r="C26" s="481">
        <v>27.798014319358188</v>
      </c>
      <c r="D26" s="520">
        <v>2055.9158819480076</v>
      </c>
      <c r="E26" s="516">
        <f t="shared" si="0"/>
        <v>571.5037912578663</v>
      </c>
      <c r="F26" s="487"/>
      <c r="G26" s="437"/>
      <c r="H26" s="437"/>
      <c r="I26" s="437"/>
      <c r="J26" s="61"/>
    </row>
    <row r="27" spans="2:10" ht="34.5" customHeight="1">
      <c r="B27" s="488" t="s">
        <v>572</v>
      </c>
      <c r="C27" s="481">
        <v>849.974753261028</v>
      </c>
      <c r="D27" s="483">
        <v>177.02624971029957</v>
      </c>
      <c r="E27" s="516">
        <f t="shared" si="0"/>
        <v>1504.67842918237</v>
      </c>
      <c r="F27" s="485"/>
      <c r="G27" s="437"/>
      <c r="H27" s="437"/>
      <c r="I27" s="437"/>
      <c r="J27" s="61"/>
    </row>
    <row r="28" spans="2:10" ht="15">
      <c r="B28" s="472"/>
      <c r="C28" s="479"/>
      <c r="D28" s="482"/>
      <c r="E28" s="515"/>
      <c r="F28" s="485"/>
      <c r="G28" s="484"/>
      <c r="H28" s="437"/>
      <c r="I28" s="437"/>
      <c r="J28" s="61"/>
    </row>
    <row r="29" spans="2:10" s="489" customFormat="1" ht="15">
      <c r="B29" s="501" t="s">
        <v>566</v>
      </c>
      <c r="C29" s="511">
        <f>SUM(C30:C33)</f>
        <v>4533.494012955158</v>
      </c>
      <c r="D29" s="504">
        <f>E29/C29*100</f>
        <v>223.2468044288013</v>
      </c>
      <c r="E29" s="517">
        <f>SUM(E30:E33)</f>
        <v>10120.880512893418</v>
      </c>
      <c r="F29" s="521"/>
      <c r="G29" s="522"/>
      <c r="H29" s="505"/>
      <c r="I29" s="505"/>
      <c r="J29" s="506"/>
    </row>
    <row r="30" spans="2:10" ht="15">
      <c r="B30" s="472" t="s">
        <v>567</v>
      </c>
      <c r="C30" s="502">
        <v>1067.1219288152001</v>
      </c>
      <c r="D30" s="475">
        <v>231.5405425785528</v>
      </c>
      <c r="E30" s="516">
        <f>C30*D30/100</f>
        <v>2470.819903953432</v>
      </c>
      <c r="F30" s="485"/>
      <c r="G30" s="484"/>
      <c r="H30" s="437"/>
      <c r="I30" s="437"/>
      <c r="J30" s="61"/>
    </row>
    <row r="31" spans="2:10" ht="15">
      <c r="B31" s="472" t="s">
        <v>568</v>
      </c>
      <c r="C31" s="502">
        <v>2582.0478656399573</v>
      </c>
      <c r="D31" s="482">
        <v>199.08800181980922</v>
      </c>
      <c r="E31" s="516">
        <f>C31*D31/100</f>
        <v>5140.547501733623</v>
      </c>
      <c r="F31" s="485"/>
      <c r="G31" s="484"/>
      <c r="H31" s="437"/>
      <c r="I31" s="437"/>
      <c r="J31" s="61"/>
    </row>
    <row r="32" spans="2:10" ht="15">
      <c r="B32" s="472" t="s">
        <v>569</v>
      </c>
      <c r="C32" s="502">
        <v>696.2652879999999</v>
      </c>
      <c r="D32" s="482">
        <v>234.88592622068856</v>
      </c>
      <c r="E32" s="516">
        <f>C32*D32/100</f>
        <v>1635.4291706719443</v>
      </c>
      <c r="F32" s="507"/>
      <c r="G32" s="427"/>
      <c r="H32" s="427"/>
      <c r="I32" s="427"/>
      <c r="J32" s="61"/>
    </row>
    <row r="33" spans="2:10" ht="15">
      <c r="B33" s="472" t="s">
        <v>570</v>
      </c>
      <c r="C33" s="503">
        <v>188.0589305</v>
      </c>
      <c r="D33" s="482">
        <v>464.79257018555586</v>
      </c>
      <c r="E33" s="516">
        <f>C33*D33/100</f>
        <v>874.0839365344182</v>
      </c>
      <c r="F33" s="507"/>
      <c r="G33" s="427"/>
      <c r="H33" s="427"/>
      <c r="I33" s="427"/>
      <c r="J33" s="61"/>
    </row>
    <row r="34" spans="2:10" ht="15.75" thickBot="1">
      <c r="B34" s="508" t="s">
        <v>571</v>
      </c>
      <c r="C34" s="509"/>
      <c r="D34" s="133"/>
      <c r="E34" s="518">
        <v>30.5925937080854</v>
      </c>
      <c r="F34" s="510"/>
      <c r="G34" s="434"/>
      <c r="H34" s="434"/>
      <c r="I34" s="434"/>
      <c r="J34" s="435"/>
    </row>
  </sheetData>
  <mergeCells count="9">
    <mergeCell ref="H17:H18"/>
    <mergeCell ref="I17:I18"/>
    <mergeCell ref="J17:J18"/>
    <mergeCell ref="E17:F17"/>
    <mergeCell ref="B6:B7"/>
    <mergeCell ref="B17:B19"/>
    <mergeCell ref="D17:D18"/>
    <mergeCell ref="C17:C18"/>
    <mergeCell ref="G17:G18"/>
  </mergeCells>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2"/>
  <sheetViews>
    <sheetView zoomScale="90" zoomScaleNormal="90" workbookViewId="0" topLeftCell="A1">
      <selection activeCell="E16" sqref="E16"/>
    </sheetView>
  </sheetViews>
  <sheetFormatPr defaultColWidth="8.8515625" defaultRowHeight="15"/>
  <cols>
    <col min="1" max="1" width="5.00390625" style="169" bestFit="1" customWidth="1"/>
    <col min="2" max="2" width="48.7109375" style="169" customWidth="1"/>
    <col min="3" max="7" width="20.7109375" style="169" customWidth="1"/>
    <col min="8" max="10" width="14.140625" style="169" bestFit="1" customWidth="1"/>
    <col min="11" max="11" width="17.00390625" style="169" bestFit="1" customWidth="1"/>
    <col min="12" max="12" width="12.7109375" style="169" bestFit="1" customWidth="1"/>
    <col min="13" max="13" width="11.421875" style="169" customWidth="1"/>
    <col min="14" max="16384" width="8.8515625" style="169" customWidth="1"/>
  </cols>
  <sheetData>
    <row r="1" ht="18.75">
      <c r="B1" s="6" t="s">
        <v>143</v>
      </c>
    </row>
    <row r="2" ht="4.5" customHeight="1"/>
    <row r="3" spans="2:3" ht="15">
      <c r="B3" s="44" t="s">
        <v>356</v>
      </c>
      <c r="C3" s="750"/>
    </row>
    <row r="4" spans="2:3" ht="15">
      <c r="B4" s="28" t="s">
        <v>144</v>
      </c>
      <c r="C4" s="729"/>
    </row>
    <row r="5" spans="2:3" ht="15.75" thickBot="1">
      <c r="B5" s="28"/>
      <c r="C5" s="729"/>
    </row>
    <row r="6" spans="2:7" ht="46.15" customHeight="1">
      <c r="B6" s="711"/>
      <c r="C6" s="352" t="s">
        <v>132</v>
      </c>
      <c r="D6" s="353" t="s">
        <v>369</v>
      </c>
      <c r="E6" s="354" t="s">
        <v>114</v>
      </c>
      <c r="F6" s="354" t="s">
        <v>117</v>
      </c>
      <c r="G6" s="354" t="s">
        <v>119</v>
      </c>
    </row>
    <row r="7" spans="2:7" ht="15.75" thickBot="1">
      <c r="B7" s="712"/>
      <c r="C7" s="355" t="s">
        <v>323</v>
      </c>
      <c r="D7" s="356" t="s">
        <v>88</v>
      </c>
      <c r="E7" s="357" t="s">
        <v>324</v>
      </c>
      <c r="F7" s="357" t="s">
        <v>118</v>
      </c>
      <c r="G7" s="357" t="s">
        <v>324</v>
      </c>
    </row>
    <row r="8" spans="2:7" ht="15">
      <c r="B8" s="358" t="s">
        <v>145</v>
      </c>
      <c r="C8" s="410"/>
      <c r="D8" s="411"/>
      <c r="E8" s="361">
        <f>SUM(E9:E10)</f>
        <v>0</v>
      </c>
      <c r="F8" s="361">
        <v>11.383356494565685</v>
      </c>
      <c r="G8" s="362">
        <f>E8*(100-F8)/100</f>
        <v>0</v>
      </c>
    </row>
    <row r="9" spans="2:7" ht="15">
      <c r="B9" s="610" t="s">
        <v>146</v>
      </c>
      <c r="C9" s="611">
        <v>0</v>
      </c>
      <c r="D9" s="611">
        <v>0</v>
      </c>
      <c r="E9" s="371">
        <f>C9*D9/10^6</f>
        <v>0</v>
      </c>
      <c r="F9" s="371"/>
      <c r="G9" s="612"/>
    </row>
    <row r="10" spans="2:7" ht="30.75" thickBot="1">
      <c r="B10" s="770" t="s">
        <v>147</v>
      </c>
      <c r="C10" s="771">
        <v>0</v>
      </c>
      <c r="D10" s="772">
        <v>0</v>
      </c>
      <c r="E10" s="462">
        <f>C10*D10/10^6</f>
        <v>0</v>
      </c>
      <c r="F10" s="462"/>
      <c r="G10" s="462"/>
    </row>
    <row r="11" spans="2:3" ht="15">
      <c r="B11" s="28"/>
      <c r="C11" s="729"/>
    </row>
    <row r="12" ht="14.25" customHeight="1" thickBot="1">
      <c r="C12" s="729"/>
    </row>
    <row r="13" spans="2:8" ht="16.5" customHeight="1">
      <c r="B13" s="713"/>
      <c r="C13" s="663" t="s">
        <v>89</v>
      </c>
      <c r="D13" s="664"/>
      <c r="E13" s="708" t="s">
        <v>535</v>
      </c>
      <c r="F13" s="661" t="s">
        <v>536</v>
      </c>
      <c r="G13" s="708" t="s">
        <v>537</v>
      </c>
      <c r="H13" s="661" t="s">
        <v>538</v>
      </c>
    </row>
    <row r="14" spans="2:8" ht="15">
      <c r="B14" s="714"/>
      <c r="C14" s="48" t="s">
        <v>10</v>
      </c>
      <c r="D14" s="100" t="s">
        <v>11</v>
      </c>
      <c r="E14" s="709"/>
      <c r="F14" s="710"/>
      <c r="G14" s="709"/>
      <c r="H14" s="710"/>
    </row>
    <row r="15" spans="2:8" ht="15.75" thickBot="1">
      <c r="B15" s="715"/>
      <c r="C15" s="179" t="s">
        <v>324</v>
      </c>
      <c r="D15" s="98" t="s">
        <v>324</v>
      </c>
      <c r="E15" s="179" t="s">
        <v>529</v>
      </c>
      <c r="F15" s="178" t="s">
        <v>529</v>
      </c>
      <c r="G15" s="179" t="s">
        <v>529</v>
      </c>
      <c r="H15" s="178" t="s">
        <v>529</v>
      </c>
    </row>
    <row r="16" spans="1:8" ht="15.75" thickBot="1">
      <c r="A16" s="10"/>
      <c r="B16" s="103" t="s">
        <v>573</v>
      </c>
      <c r="C16" s="626">
        <f>C19-C20+C21</f>
        <v>4383.778017470719</v>
      </c>
      <c r="D16" s="627">
        <f>C16/G16*E16</f>
        <v>4383.988723117583</v>
      </c>
      <c r="E16" s="628">
        <v>106.10718934953056</v>
      </c>
      <c r="F16" s="629"/>
      <c r="G16" s="628">
        <v>106.10208956817142</v>
      </c>
      <c r="H16" s="392"/>
    </row>
    <row r="17" spans="2:8" ht="30">
      <c r="B17" s="620" t="s">
        <v>594</v>
      </c>
      <c r="C17" s="619">
        <v>4068.746815242088</v>
      </c>
      <c r="D17" s="613"/>
      <c r="E17" s="614"/>
      <c r="F17" s="613"/>
      <c r="G17" s="614"/>
      <c r="H17" s="613"/>
    </row>
    <row r="18" spans="2:8" ht="15.75" thickBot="1">
      <c r="B18" s="621" t="s">
        <v>534</v>
      </c>
      <c r="C18" s="622">
        <v>1.015</v>
      </c>
      <c r="D18" s="615"/>
      <c r="E18" s="616"/>
      <c r="F18" s="617"/>
      <c r="G18" s="616"/>
      <c r="H18" s="617"/>
    </row>
    <row r="19" spans="2:8" ht="30">
      <c r="B19" s="623" t="s">
        <v>596</v>
      </c>
      <c r="C19" s="624">
        <f>C17*$C$18</f>
        <v>4129.778017470719</v>
      </c>
      <c r="D19" s="615"/>
      <c r="E19" s="616"/>
      <c r="F19" s="617"/>
      <c r="G19" s="616"/>
      <c r="H19" s="617"/>
    </row>
    <row r="20" spans="2:8" ht="15">
      <c r="B20" s="531" t="s">
        <v>655</v>
      </c>
      <c r="C20" s="625">
        <v>103</v>
      </c>
      <c r="D20" s="615"/>
      <c r="E20" s="616"/>
      <c r="F20" s="617"/>
      <c r="G20" s="616"/>
      <c r="H20" s="617"/>
    </row>
    <row r="21" spans="2:8" ht="15.75" thickBot="1">
      <c r="B21" s="531" t="s">
        <v>595</v>
      </c>
      <c r="C21" s="625">
        <v>357</v>
      </c>
      <c r="D21" s="357"/>
      <c r="E21" s="618"/>
      <c r="F21" s="357"/>
      <c r="G21" s="618"/>
      <c r="H21" s="357"/>
    </row>
    <row r="22" spans="3:8" ht="15">
      <c r="C22" s="127"/>
      <c r="D22" s="127"/>
      <c r="E22" s="127"/>
      <c r="F22" s="127"/>
      <c r="G22" s="127"/>
      <c r="H22" s="127"/>
    </row>
  </sheetData>
  <mergeCells count="7">
    <mergeCell ref="B6:B7"/>
    <mergeCell ref="B13:B15"/>
    <mergeCell ref="G13:G14"/>
    <mergeCell ref="H13:H14"/>
    <mergeCell ref="C13:D13"/>
    <mergeCell ref="E13:E14"/>
    <mergeCell ref="F13:F14"/>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19"/>
  <sheetViews>
    <sheetView zoomScale="90" zoomScaleNormal="90" workbookViewId="0" topLeftCell="A1">
      <selection activeCell="C26" sqref="C26:D26"/>
    </sheetView>
  </sheetViews>
  <sheetFormatPr defaultColWidth="8.8515625" defaultRowHeight="15"/>
  <cols>
    <col min="1" max="1" width="5.00390625" style="5" bestFit="1" customWidth="1"/>
    <col min="2" max="2" width="48.7109375" style="5" customWidth="1"/>
    <col min="3" max="4" width="20.7109375" style="5" customWidth="1"/>
    <col min="5" max="8" width="13.28125" style="5" customWidth="1"/>
    <col min="9"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148</v>
      </c>
    </row>
    <row r="2" ht="4.5" customHeight="1"/>
    <row r="3" spans="2:11" ht="15">
      <c r="B3" s="44" t="s">
        <v>355</v>
      </c>
      <c r="C3" s="45"/>
      <c r="F3" s="169"/>
      <c r="G3" s="169"/>
      <c r="H3" s="169"/>
      <c r="I3" s="169"/>
      <c r="J3" s="169"/>
      <c r="K3" s="169"/>
    </row>
    <row r="4" spans="2:11" ht="15">
      <c r="B4" s="28" t="s">
        <v>144</v>
      </c>
      <c r="C4" s="4"/>
      <c r="F4" s="169"/>
      <c r="G4" s="169"/>
      <c r="H4" s="169"/>
      <c r="I4" s="169"/>
      <c r="J4" s="169"/>
      <c r="K4" s="169"/>
    </row>
    <row r="5" spans="2:7" ht="15.75" thickBot="1">
      <c r="B5" s="127"/>
      <c r="C5" s="351"/>
      <c r="D5" s="127"/>
      <c r="E5" s="127"/>
      <c r="F5" s="127"/>
      <c r="G5" s="127"/>
    </row>
    <row r="6" spans="2:7" ht="46.15" customHeight="1">
      <c r="B6" s="711"/>
      <c r="C6" s="352" t="s">
        <v>132</v>
      </c>
      <c r="D6" s="353" t="s">
        <v>369</v>
      </c>
      <c r="E6" s="354" t="s">
        <v>114</v>
      </c>
      <c r="F6" s="354" t="s">
        <v>117</v>
      </c>
      <c r="G6" s="354" t="s">
        <v>119</v>
      </c>
    </row>
    <row r="7" spans="2:7" ht="30.75" thickBot="1">
      <c r="B7" s="712"/>
      <c r="C7" s="355" t="s">
        <v>323</v>
      </c>
      <c r="D7" s="356" t="s">
        <v>88</v>
      </c>
      <c r="E7" s="357" t="s">
        <v>324</v>
      </c>
      <c r="F7" s="357" t="s">
        <v>118</v>
      </c>
      <c r="G7" s="357" t="s">
        <v>324</v>
      </c>
    </row>
    <row r="8" spans="2:7" ht="15">
      <c r="B8" s="358" t="s">
        <v>149</v>
      </c>
      <c r="C8" s="410"/>
      <c r="D8" s="411"/>
      <c r="E8" s="361">
        <f>SUM(E9:E9)</f>
        <v>0</v>
      </c>
      <c r="F8" s="361">
        <v>5.204125677211232</v>
      </c>
      <c r="G8" s="362">
        <f>E8*(100-F8)/100</f>
        <v>0</v>
      </c>
    </row>
    <row r="9" spans="2:7" ht="30.75" thickBot="1">
      <c r="B9" s="537" t="s">
        <v>150</v>
      </c>
      <c r="C9" s="461">
        <v>0</v>
      </c>
      <c r="D9" s="538">
        <v>0</v>
      </c>
      <c r="E9" s="462">
        <f>C9*D9/10^6</f>
        <v>0</v>
      </c>
      <c r="F9" s="462"/>
      <c r="G9" s="463"/>
    </row>
    <row r="10" spans="2:3" ht="15">
      <c r="B10" s="28"/>
      <c r="C10" s="4"/>
    </row>
    <row r="11" ht="14.25" customHeight="1" thickBot="1">
      <c r="C11" s="4"/>
    </row>
    <row r="12" spans="2:8" ht="16.5" customHeight="1">
      <c r="B12" s="713"/>
      <c r="C12" s="663" t="s">
        <v>89</v>
      </c>
      <c r="D12" s="664"/>
      <c r="E12" s="708" t="s">
        <v>535</v>
      </c>
      <c r="F12" s="661" t="s">
        <v>536</v>
      </c>
      <c r="G12" s="708" t="s">
        <v>537</v>
      </c>
      <c r="H12" s="661" t="s">
        <v>538</v>
      </c>
    </row>
    <row r="13" spans="2:8" ht="15">
      <c r="B13" s="714"/>
      <c r="C13" s="48" t="s">
        <v>10</v>
      </c>
      <c r="D13" s="100" t="s">
        <v>11</v>
      </c>
      <c r="E13" s="709"/>
      <c r="F13" s="710"/>
      <c r="G13" s="709"/>
      <c r="H13" s="710"/>
    </row>
    <row r="14" spans="2:8" ht="15.75" thickBot="1">
      <c r="B14" s="715"/>
      <c r="C14" s="101" t="s">
        <v>324</v>
      </c>
      <c r="D14" s="98" t="s">
        <v>324</v>
      </c>
      <c r="E14" s="177" t="s">
        <v>529</v>
      </c>
      <c r="F14" s="176" t="s">
        <v>529</v>
      </c>
      <c r="G14" s="179" t="s">
        <v>529</v>
      </c>
      <c r="H14" s="178" t="s">
        <v>529</v>
      </c>
    </row>
    <row r="15" spans="2:8" s="16" customFormat="1" ht="15.75" thickBot="1">
      <c r="B15" s="103" t="s">
        <v>573</v>
      </c>
      <c r="C15" s="534">
        <f>SUM(C16:C17)</f>
        <v>1101.2505235638557</v>
      </c>
      <c r="D15" s="536">
        <f>C15/G15*E15</f>
        <v>1085.858541645624</v>
      </c>
      <c r="E15" s="535">
        <v>106.14160229330481</v>
      </c>
      <c r="F15" s="83"/>
      <c r="G15" s="535">
        <v>107.6461533564615</v>
      </c>
      <c r="H15" s="83"/>
    </row>
    <row r="16" spans="2:8" s="169" customFormat="1" ht="15">
      <c r="B16" s="530" t="s">
        <v>574</v>
      </c>
      <c r="C16" s="527">
        <f>852.315510703319*C18</f>
        <v>865.1002433638687</v>
      </c>
      <c r="D16" s="523"/>
      <c r="E16" s="524"/>
      <c r="F16" s="523"/>
      <c r="G16" s="524"/>
      <c r="H16" s="523"/>
    </row>
    <row r="17" spans="2:8" s="169" customFormat="1" ht="15">
      <c r="B17" s="531" t="s">
        <v>575</v>
      </c>
      <c r="C17" s="528">
        <f>232.660374581268*C18</f>
        <v>236.150280199987</v>
      </c>
      <c r="D17" s="526"/>
      <c r="E17" s="525"/>
      <c r="F17" s="529"/>
      <c r="G17" s="525"/>
      <c r="H17" s="529"/>
    </row>
    <row r="18" spans="2:8" s="169" customFormat="1" ht="15.75" thickBot="1">
      <c r="B18" s="532" t="s">
        <v>534</v>
      </c>
      <c r="C18" s="533">
        <v>1.015</v>
      </c>
      <c r="D18" s="178"/>
      <c r="E18" s="179"/>
      <c r="F18" s="178"/>
      <c r="G18" s="179"/>
      <c r="H18" s="178"/>
    </row>
    <row r="19" ht="15">
      <c r="B19" s="26"/>
    </row>
  </sheetData>
  <mergeCells count="7">
    <mergeCell ref="G12:G13"/>
    <mergeCell ref="H12:H13"/>
    <mergeCell ref="B6:B7"/>
    <mergeCell ref="C12:D12"/>
    <mergeCell ref="E12:E13"/>
    <mergeCell ref="F12:F13"/>
    <mergeCell ref="B12:B14"/>
  </mergeCells>
  <conditionalFormatting sqref="C19">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0"/>
  <sheetViews>
    <sheetView zoomScale="90" zoomScaleNormal="90" workbookViewId="0" topLeftCell="A5">
      <selection activeCell="C34" sqref="C34:C36"/>
    </sheetView>
  </sheetViews>
  <sheetFormatPr defaultColWidth="8.8515625" defaultRowHeight="15"/>
  <cols>
    <col min="1" max="1" width="5.00390625" style="169" bestFit="1" customWidth="1"/>
    <col min="2" max="2" width="48.7109375" style="169" customWidth="1"/>
    <col min="3" max="7" width="20.7109375" style="169" customWidth="1"/>
    <col min="8" max="10" width="14.140625" style="169" bestFit="1" customWidth="1"/>
    <col min="11" max="11" width="17.00390625" style="169" bestFit="1" customWidth="1"/>
    <col min="12" max="12" width="12.7109375" style="169" bestFit="1" customWidth="1"/>
    <col min="13" max="13" width="11.421875" style="169" customWidth="1"/>
    <col min="14" max="16384" width="8.8515625" style="169" customWidth="1"/>
  </cols>
  <sheetData>
    <row r="1" ht="18.75">
      <c r="B1" s="6" t="s">
        <v>151</v>
      </c>
    </row>
    <row r="2" ht="4.5" customHeight="1"/>
    <row r="3" spans="2:3" ht="15">
      <c r="B3" s="44" t="s">
        <v>354</v>
      </c>
      <c r="C3" s="750"/>
    </row>
    <row r="4" spans="2:3" ht="15">
      <c r="B4" s="28" t="s">
        <v>152</v>
      </c>
      <c r="C4" s="729"/>
    </row>
    <row r="5" spans="2:3" ht="15.75" thickBot="1">
      <c r="B5" s="28"/>
      <c r="C5" s="729"/>
    </row>
    <row r="6" spans="2:7" ht="15">
      <c r="B6" s="711"/>
      <c r="C6" s="773" t="s">
        <v>132</v>
      </c>
      <c r="D6" s="774" t="s">
        <v>369</v>
      </c>
      <c r="E6" s="774" t="s">
        <v>114</v>
      </c>
      <c r="F6" s="775" t="s">
        <v>157</v>
      </c>
      <c r="G6" s="776" t="s">
        <v>119</v>
      </c>
    </row>
    <row r="7" spans="2:7" ht="96">
      <c r="B7" s="777"/>
      <c r="C7" s="778"/>
      <c r="D7" s="779"/>
      <c r="E7" s="779"/>
      <c r="F7" s="780" t="s">
        <v>156</v>
      </c>
      <c r="G7" s="781"/>
    </row>
    <row r="8" spans="2:7" ht="15.75" thickBot="1">
      <c r="B8" s="712"/>
      <c r="C8" s="355" t="s">
        <v>323</v>
      </c>
      <c r="D8" s="356" t="s">
        <v>88</v>
      </c>
      <c r="E8" s="782" t="s">
        <v>324</v>
      </c>
      <c r="F8" s="356" t="s">
        <v>324</v>
      </c>
      <c r="G8" s="783" t="s">
        <v>324</v>
      </c>
    </row>
    <row r="9" spans="2:7" ht="15">
      <c r="B9" s="358" t="s">
        <v>153</v>
      </c>
      <c r="C9" s="410"/>
      <c r="D9" s="411"/>
      <c r="E9" s="784">
        <f>E10</f>
        <v>0</v>
      </c>
      <c r="F9" s="785">
        <v>0</v>
      </c>
      <c r="G9" s="786">
        <f>E9-F9</f>
        <v>0</v>
      </c>
    </row>
    <row r="10" spans="2:7" ht="15.75" thickBot="1">
      <c r="B10" s="537" t="s">
        <v>155</v>
      </c>
      <c r="C10" s="461">
        <v>0</v>
      </c>
      <c r="D10" s="538">
        <v>0</v>
      </c>
      <c r="E10" s="787">
        <f>C10*D10/10^6</f>
        <v>0</v>
      </c>
      <c r="F10" s="788"/>
      <c r="G10" s="550"/>
    </row>
    <row r="11" spans="2:3" ht="15">
      <c r="B11" s="28"/>
      <c r="C11" s="729"/>
    </row>
    <row r="12" ht="14.25" customHeight="1" thickBot="1">
      <c r="C12" s="729"/>
    </row>
    <row r="13" spans="2:6" ht="16.5" customHeight="1">
      <c r="B13" s="713"/>
      <c r="C13" s="663" t="s">
        <v>89</v>
      </c>
      <c r="D13" s="664"/>
      <c r="E13" s="659" t="s">
        <v>535</v>
      </c>
      <c r="F13" s="659" t="s">
        <v>537</v>
      </c>
    </row>
    <row r="14" spans="2:6" ht="15">
      <c r="B14" s="714"/>
      <c r="C14" s="48" t="s">
        <v>10</v>
      </c>
      <c r="D14" s="100" t="s">
        <v>11</v>
      </c>
      <c r="E14" s="716"/>
      <c r="F14" s="716"/>
    </row>
    <row r="15" spans="2:6" ht="15.75" thickBot="1">
      <c r="B15" s="715"/>
      <c r="C15" s="179" t="s">
        <v>324</v>
      </c>
      <c r="D15" s="98" t="s">
        <v>324</v>
      </c>
      <c r="E15" s="179" t="s">
        <v>529</v>
      </c>
      <c r="F15" s="179" t="s">
        <v>529</v>
      </c>
    </row>
    <row r="16" spans="1:9" ht="15.75" thickBot="1">
      <c r="A16" s="10"/>
      <c r="B16" s="110" t="s">
        <v>154</v>
      </c>
      <c r="C16" s="789">
        <f>C19-C20</f>
        <v>4084.5314333552033</v>
      </c>
      <c r="D16" s="790">
        <f>C16/F16*E16</f>
        <v>4060.402584383896</v>
      </c>
      <c r="E16" s="791">
        <v>116.076550830146</v>
      </c>
      <c r="F16" s="791">
        <v>116.76633306377539</v>
      </c>
      <c r="G16" s="327"/>
      <c r="H16" s="327"/>
      <c r="I16" s="327"/>
    </row>
    <row r="17" spans="1:9" ht="30">
      <c r="A17" s="10"/>
      <c r="B17" s="792" t="s">
        <v>594</v>
      </c>
      <c r="C17" s="793">
        <v>4406</v>
      </c>
      <c r="D17" s="794"/>
      <c r="E17" s="794"/>
      <c r="F17" s="446"/>
      <c r="G17" s="327"/>
      <c r="H17" s="327"/>
      <c r="I17" s="327"/>
    </row>
    <row r="18" spans="1:9" ht="15">
      <c r="A18" s="10"/>
      <c r="B18" s="795" t="s">
        <v>534</v>
      </c>
      <c r="C18" s="796">
        <v>1.015</v>
      </c>
      <c r="D18" s="794"/>
      <c r="E18" s="794"/>
      <c r="F18" s="794"/>
      <c r="G18" s="797"/>
      <c r="H18" s="797"/>
      <c r="I18" s="327"/>
    </row>
    <row r="19" spans="2:9" ht="30">
      <c r="B19" s="795" t="s">
        <v>656</v>
      </c>
      <c r="C19" s="798">
        <f>C17*$C$18</f>
        <v>4472.089999999999</v>
      </c>
      <c r="D19" s="485"/>
      <c r="E19" s="485"/>
      <c r="F19" s="485"/>
      <c r="G19" s="327"/>
      <c r="H19" s="327"/>
      <c r="I19" s="327"/>
    </row>
    <row r="20" spans="2:6" ht="15">
      <c r="B20" s="799" t="s">
        <v>657</v>
      </c>
      <c r="C20" s="481">
        <v>387.5585666447961</v>
      </c>
      <c r="D20" s="485"/>
      <c r="E20" s="485"/>
      <c r="F20" s="485"/>
    </row>
  </sheetData>
  <mergeCells count="9">
    <mergeCell ref="G6:G7"/>
    <mergeCell ref="C13:D13"/>
    <mergeCell ref="E13:E14"/>
    <mergeCell ref="F13:F14"/>
    <mergeCell ref="B13:B15"/>
    <mergeCell ref="B6:B8"/>
    <mergeCell ref="C6:C7"/>
    <mergeCell ref="D6:D7"/>
    <mergeCell ref="E6:E7"/>
  </mergeCells>
  <conditionalFormatting sqref="C20">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
  <sheetViews>
    <sheetView zoomScale="90" zoomScaleNormal="90" workbookViewId="0" topLeftCell="A1">
      <selection activeCell="K10" sqref="K10"/>
    </sheetView>
  </sheetViews>
  <sheetFormatPr defaultColWidth="8.8515625" defaultRowHeight="15"/>
  <cols>
    <col min="1" max="1" width="5.00390625" style="5" bestFit="1" customWidth="1"/>
    <col min="2" max="2" width="48.7109375" style="5" customWidth="1"/>
    <col min="3" max="4" width="20.7109375" style="5" customWidth="1"/>
    <col min="5" max="8" width="14.14062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158</v>
      </c>
    </row>
    <row r="2" ht="4.5" customHeight="1"/>
    <row r="3" spans="2:9" ht="15">
      <c r="B3" s="44" t="s">
        <v>353</v>
      </c>
      <c r="C3" s="45"/>
      <c r="D3" s="169"/>
      <c r="E3" s="169"/>
      <c r="F3" s="169"/>
      <c r="G3" s="169"/>
      <c r="H3" s="169"/>
      <c r="I3" s="73"/>
    </row>
    <row r="4" spans="2:9" ht="15">
      <c r="B4" s="28" t="s">
        <v>159</v>
      </c>
      <c r="C4" s="4"/>
      <c r="D4" s="169"/>
      <c r="E4" s="169"/>
      <c r="F4" s="169"/>
      <c r="G4" s="169"/>
      <c r="H4" s="169"/>
      <c r="I4" s="73"/>
    </row>
    <row r="5" spans="2:3" ht="15.75" thickBot="1">
      <c r="B5" s="28"/>
      <c r="C5" s="4"/>
    </row>
    <row r="6" spans="2:3" ht="33" customHeight="1">
      <c r="B6" s="71" t="s">
        <v>556</v>
      </c>
      <c r="C6" s="72" t="s">
        <v>557</v>
      </c>
    </row>
    <row r="7" spans="2:3" ht="14.25" customHeight="1">
      <c r="B7" s="42" t="s">
        <v>553</v>
      </c>
      <c r="C7" s="184">
        <v>1652.2482951288343</v>
      </c>
    </row>
    <row r="8" spans="2:3" ht="14.25" customHeight="1">
      <c r="B8" s="42" t="s">
        <v>554</v>
      </c>
      <c r="C8" s="184">
        <v>25.85908785735835</v>
      </c>
    </row>
    <row r="9" spans="2:3" ht="14.25" customHeight="1">
      <c r="B9" s="12" t="s">
        <v>555</v>
      </c>
      <c r="C9" s="451">
        <f>SUM(C7:C8)</f>
        <v>1678.1073829861928</v>
      </c>
    </row>
    <row r="10" spans="2:3" ht="15">
      <c r="B10" s="28"/>
      <c r="C10" s="4"/>
    </row>
    <row r="11" ht="14.25" customHeight="1" thickBot="1">
      <c r="C11" s="4"/>
    </row>
    <row r="12" spans="2:8" ht="16.5" customHeight="1">
      <c r="B12" s="713"/>
      <c r="C12" s="663" t="s">
        <v>89</v>
      </c>
      <c r="D12" s="664"/>
      <c r="E12" s="708" t="s">
        <v>535</v>
      </c>
      <c r="F12" s="661" t="s">
        <v>536</v>
      </c>
      <c r="G12" s="708" t="s">
        <v>537</v>
      </c>
      <c r="H12" s="661" t="s">
        <v>538</v>
      </c>
    </row>
    <row r="13" spans="2:8" ht="15">
      <c r="B13" s="714"/>
      <c r="C13" s="48" t="s">
        <v>10</v>
      </c>
      <c r="D13" s="100" t="s">
        <v>11</v>
      </c>
      <c r="E13" s="709"/>
      <c r="F13" s="710"/>
      <c r="G13" s="709"/>
      <c r="H13" s="710"/>
    </row>
    <row r="14" spans="2:8" ht="15.75" thickBot="1">
      <c r="B14" s="715"/>
      <c r="C14" s="101" t="s">
        <v>324</v>
      </c>
      <c r="D14" s="98" t="s">
        <v>324</v>
      </c>
      <c r="E14" s="415" t="s">
        <v>529</v>
      </c>
      <c r="F14" s="416" t="s">
        <v>529</v>
      </c>
      <c r="G14" s="415" t="s">
        <v>529</v>
      </c>
      <c r="H14" s="416" t="s">
        <v>529</v>
      </c>
    </row>
    <row r="15" spans="1:8" s="8" customFormat="1" ht="15.75" thickBot="1">
      <c r="A15" s="10"/>
      <c r="B15" s="110" t="s">
        <v>160</v>
      </c>
      <c r="C15" s="452">
        <f>C9</f>
        <v>1678.1073829861928</v>
      </c>
      <c r="D15" s="112">
        <f>C15/G15*E15</f>
        <v>2145.4426888834637</v>
      </c>
      <c r="E15" s="453">
        <v>85.63900908699087</v>
      </c>
      <c r="F15" s="454">
        <v>82.1846731746958</v>
      </c>
      <c r="G15" s="454">
        <v>66.98452219914188</v>
      </c>
      <c r="H15" s="455">
        <v>90.20009555015456</v>
      </c>
    </row>
    <row r="16" ht="15">
      <c r="B16" s="26"/>
    </row>
  </sheetData>
  <mergeCells count="6">
    <mergeCell ref="H12:H13"/>
    <mergeCell ref="C12:D12"/>
    <mergeCell ref="E12:E13"/>
    <mergeCell ref="F12:F13"/>
    <mergeCell ref="B12:B14"/>
    <mergeCell ref="G12:G13"/>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90" zoomScaleNormal="90" workbookViewId="0" topLeftCell="A34">
      <selection activeCell="F66" sqref="F66"/>
    </sheetView>
  </sheetViews>
  <sheetFormatPr defaultColWidth="8.8515625" defaultRowHeight="15"/>
  <cols>
    <col min="1" max="1" width="5.00390625" style="169" bestFit="1" customWidth="1"/>
    <col min="2" max="2" width="48.8515625" style="169" customWidth="1"/>
    <col min="3" max="8" width="20.7109375" style="169" customWidth="1"/>
    <col min="9" max="11" width="14.140625" style="169" bestFit="1" customWidth="1"/>
    <col min="12" max="12" width="17.00390625" style="169" bestFit="1" customWidth="1"/>
    <col min="13" max="13" width="12.7109375" style="169" bestFit="1" customWidth="1"/>
    <col min="14" max="14" width="11.421875" style="169" customWidth="1"/>
    <col min="15" max="16384" width="8.8515625" style="169" customWidth="1"/>
  </cols>
  <sheetData>
    <row r="1" ht="18.75">
      <c r="B1" s="6" t="s">
        <v>161</v>
      </c>
    </row>
    <row r="2" ht="4.5" customHeight="1"/>
    <row r="3" spans="2:3" ht="15">
      <c r="B3" s="44" t="s">
        <v>352</v>
      </c>
      <c r="C3" s="750"/>
    </row>
    <row r="4" spans="2:3" ht="15">
      <c r="B4" s="28" t="s">
        <v>162</v>
      </c>
      <c r="C4" s="729"/>
    </row>
    <row r="5" spans="2:3" ht="15.75" thickBot="1">
      <c r="B5" s="28"/>
      <c r="C5" s="729"/>
    </row>
    <row r="6" spans="2:7" ht="16.5" customHeight="1">
      <c r="B6" s="724" t="s">
        <v>194</v>
      </c>
      <c r="C6" s="663" t="s">
        <v>89</v>
      </c>
      <c r="D6" s="664"/>
      <c r="E6" s="659" t="s">
        <v>535</v>
      </c>
      <c r="F6" s="659" t="s">
        <v>537</v>
      </c>
      <c r="G6" s="66"/>
    </row>
    <row r="7" spans="2:7" ht="15">
      <c r="B7" s="725"/>
      <c r="C7" s="48" t="s">
        <v>10</v>
      </c>
      <c r="D7" s="100" t="s">
        <v>11</v>
      </c>
      <c r="E7" s="716"/>
      <c r="F7" s="716"/>
      <c r="G7" s="66"/>
    </row>
    <row r="8" spans="2:7" ht="15.75" thickBot="1">
      <c r="B8" s="726"/>
      <c r="C8" s="179" t="s">
        <v>324</v>
      </c>
      <c r="D8" s="98" t="s">
        <v>324</v>
      </c>
      <c r="E8" s="179" t="s">
        <v>529</v>
      </c>
      <c r="F8" s="179" t="s">
        <v>529</v>
      </c>
      <c r="G8" s="67"/>
    </row>
    <row r="9" spans="2:6" ht="15">
      <c r="B9" s="358" t="s">
        <v>165</v>
      </c>
      <c r="C9" s="394">
        <v>0</v>
      </c>
      <c r="D9" s="800">
        <v>0</v>
      </c>
      <c r="E9" s="801">
        <v>0</v>
      </c>
      <c r="F9" s="802">
        <v>0</v>
      </c>
    </row>
    <row r="10" spans="2:6" ht="15">
      <c r="B10" s="803" t="s">
        <v>166</v>
      </c>
      <c r="C10" s="804">
        <v>0</v>
      </c>
      <c r="D10" s="805">
        <v>0</v>
      </c>
      <c r="E10" s="806">
        <v>0</v>
      </c>
      <c r="F10" s="807">
        <v>0</v>
      </c>
    </row>
    <row r="11" spans="2:6" ht="15">
      <c r="B11" s="803" t="s">
        <v>167</v>
      </c>
      <c r="C11" s="804">
        <v>0</v>
      </c>
      <c r="D11" s="805">
        <v>0</v>
      </c>
      <c r="E11" s="806">
        <v>0</v>
      </c>
      <c r="F11" s="807">
        <v>0</v>
      </c>
    </row>
    <row r="12" spans="2:6" ht="15">
      <c r="B12" s="803" t="s">
        <v>168</v>
      </c>
      <c r="C12" s="804">
        <v>0</v>
      </c>
      <c r="D12" s="805">
        <v>0</v>
      </c>
      <c r="E12" s="806">
        <v>0</v>
      </c>
      <c r="F12" s="807">
        <v>0</v>
      </c>
    </row>
    <row r="13" spans="2:6" ht="15">
      <c r="B13" s="803" t="s">
        <v>383</v>
      </c>
      <c r="C13" s="804">
        <v>0</v>
      </c>
      <c r="D13" s="805">
        <v>0</v>
      </c>
      <c r="E13" s="806">
        <v>0</v>
      </c>
      <c r="F13" s="807">
        <v>0</v>
      </c>
    </row>
    <row r="14" spans="2:6" ht="15">
      <c r="B14" s="803" t="s">
        <v>169</v>
      </c>
      <c r="C14" s="804">
        <v>0</v>
      </c>
      <c r="D14" s="805">
        <v>0</v>
      </c>
      <c r="E14" s="806">
        <v>0</v>
      </c>
      <c r="F14" s="807">
        <v>0</v>
      </c>
    </row>
    <row r="15" spans="2:6" ht="15">
      <c r="B15" s="803" t="s">
        <v>170</v>
      </c>
      <c r="C15" s="804">
        <v>0</v>
      </c>
      <c r="D15" s="805">
        <v>0</v>
      </c>
      <c r="E15" s="806">
        <v>0</v>
      </c>
      <c r="F15" s="807">
        <v>0</v>
      </c>
    </row>
    <row r="16" spans="2:6" ht="15">
      <c r="B16" s="803" t="s">
        <v>171</v>
      </c>
      <c r="C16" s="804">
        <v>0</v>
      </c>
      <c r="D16" s="805">
        <v>0</v>
      </c>
      <c r="E16" s="806">
        <v>0</v>
      </c>
      <c r="F16" s="807">
        <v>0</v>
      </c>
    </row>
    <row r="17" spans="2:6" ht="15">
      <c r="B17" s="803" t="s">
        <v>172</v>
      </c>
      <c r="C17" s="804">
        <v>0</v>
      </c>
      <c r="D17" s="805">
        <v>0</v>
      </c>
      <c r="E17" s="806">
        <v>0</v>
      </c>
      <c r="F17" s="807">
        <v>0</v>
      </c>
    </row>
    <row r="18" spans="2:6" ht="15">
      <c r="B18" s="803" t="s">
        <v>163</v>
      </c>
      <c r="C18" s="804">
        <v>0</v>
      </c>
      <c r="D18" s="805">
        <v>0</v>
      </c>
      <c r="E18" s="806">
        <v>0</v>
      </c>
      <c r="F18" s="807">
        <v>0</v>
      </c>
    </row>
    <row r="19" spans="2:6" ht="15">
      <c r="B19" s="803" t="s">
        <v>174</v>
      </c>
      <c r="C19" s="804">
        <v>0</v>
      </c>
      <c r="D19" s="805">
        <v>0</v>
      </c>
      <c r="E19" s="806">
        <v>0</v>
      </c>
      <c r="F19" s="807">
        <v>0</v>
      </c>
    </row>
    <row r="20" spans="2:6" ht="15">
      <c r="B20" s="803" t="s">
        <v>175</v>
      </c>
      <c r="C20" s="804">
        <v>0</v>
      </c>
      <c r="D20" s="805">
        <v>0</v>
      </c>
      <c r="E20" s="806">
        <v>0</v>
      </c>
      <c r="F20" s="807">
        <v>0</v>
      </c>
    </row>
    <row r="21" spans="2:6" ht="15">
      <c r="B21" s="803" t="s">
        <v>176</v>
      </c>
      <c r="C21" s="804">
        <v>0</v>
      </c>
      <c r="D21" s="805">
        <v>0</v>
      </c>
      <c r="E21" s="806">
        <v>0</v>
      </c>
      <c r="F21" s="807">
        <v>0</v>
      </c>
    </row>
    <row r="22" spans="2:6" ht="30">
      <c r="B22" s="803" t="s">
        <v>177</v>
      </c>
      <c r="C22" s="804">
        <v>0</v>
      </c>
      <c r="D22" s="805">
        <v>0</v>
      </c>
      <c r="E22" s="806">
        <v>0</v>
      </c>
      <c r="F22" s="807">
        <v>0</v>
      </c>
    </row>
    <row r="23" spans="2:6" ht="15">
      <c r="B23" s="803" t="s">
        <v>181</v>
      </c>
      <c r="C23" s="804">
        <v>0</v>
      </c>
      <c r="D23" s="805">
        <v>0</v>
      </c>
      <c r="E23" s="806">
        <v>0</v>
      </c>
      <c r="F23" s="807">
        <v>0</v>
      </c>
    </row>
    <row r="24" spans="2:6" ht="15">
      <c r="B24" s="803" t="s">
        <v>178</v>
      </c>
      <c r="C24" s="804">
        <v>0</v>
      </c>
      <c r="D24" s="805">
        <v>0</v>
      </c>
      <c r="E24" s="806">
        <v>0</v>
      </c>
      <c r="F24" s="807">
        <v>0</v>
      </c>
    </row>
    <row r="25" spans="2:6" ht="15">
      <c r="B25" s="803" t="s">
        <v>179</v>
      </c>
      <c r="C25" s="804">
        <v>0</v>
      </c>
      <c r="D25" s="805">
        <v>0</v>
      </c>
      <c r="E25" s="806">
        <v>0</v>
      </c>
      <c r="F25" s="807">
        <v>0</v>
      </c>
    </row>
    <row r="26" spans="2:6" ht="30">
      <c r="B26" s="803" t="s">
        <v>180</v>
      </c>
      <c r="C26" s="804">
        <v>0</v>
      </c>
      <c r="D26" s="805">
        <v>0</v>
      </c>
      <c r="E26" s="806">
        <v>0</v>
      </c>
      <c r="F26" s="807">
        <v>0</v>
      </c>
    </row>
    <row r="27" spans="2:6" ht="30">
      <c r="B27" s="803" t="s">
        <v>182</v>
      </c>
      <c r="C27" s="804">
        <v>0</v>
      </c>
      <c r="D27" s="805">
        <v>0</v>
      </c>
      <c r="E27" s="806">
        <v>0</v>
      </c>
      <c r="F27" s="807">
        <v>0</v>
      </c>
    </row>
    <row r="28" spans="2:6" ht="15">
      <c r="B28" s="803" t="s">
        <v>183</v>
      </c>
      <c r="C28" s="804">
        <v>0</v>
      </c>
      <c r="D28" s="805">
        <v>0</v>
      </c>
      <c r="E28" s="806">
        <v>0</v>
      </c>
      <c r="F28" s="807">
        <v>0</v>
      </c>
    </row>
    <row r="29" spans="2:6" ht="30">
      <c r="B29" s="803" t="s">
        <v>184</v>
      </c>
      <c r="C29" s="804">
        <v>0</v>
      </c>
      <c r="D29" s="805">
        <v>0</v>
      </c>
      <c r="E29" s="806">
        <v>0</v>
      </c>
      <c r="F29" s="807">
        <v>0</v>
      </c>
    </row>
    <row r="30" spans="2:6" ht="15">
      <c r="B30" s="803" t="s">
        <v>372</v>
      </c>
      <c r="C30" s="804">
        <v>0</v>
      </c>
      <c r="D30" s="805">
        <v>0</v>
      </c>
      <c r="E30" s="806">
        <v>0</v>
      </c>
      <c r="F30" s="807">
        <v>0</v>
      </c>
    </row>
    <row r="31" spans="2:6" ht="15">
      <c r="B31" s="803" t="s">
        <v>373</v>
      </c>
      <c r="C31" s="804">
        <v>0</v>
      </c>
      <c r="D31" s="805">
        <v>0</v>
      </c>
      <c r="E31" s="806">
        <v>0</v>
      </c>
      <c r="F31" s="807">
        <v>0</v>
      </c>
    </row>
    <row r="32" spans="2:6" ht="15">
      <c r="B32" s="803" t="s">
        <v>374</v>
      </c>
      <c r="C32" s="804">
        <v>0</v>
      </c>
      <c r="D32" s="805">
        <v>0</v>
      </c>
      <c r="E32" s="806">
        <v>0</v>
      </c>
      <c r="F32" s="807">
        <v>0</v>
      </c>
    </row>
    <row r="33" spans="2:6" ht="15">
      <c r="B33" s="803" t="s">
        <v>185</v>
      </c>
      <c r="C33" s="804">
        <v>0</v>
      </c>
      <c r="D33" s="805">
        <v>0</v>
      </c>
      <c r="E33" s="806">
        <v>0</v>
      </c>
      <c r="F33" s="807">
        <v>0</v>
      </c>
    </row>
    <row r="34" spans="2:6" ht="15">
      <c r="B34" s="803" t="s">
        <v>186</v>
      </c>
      <c r="C34" s="804">
        <v>0</v>
      </c>
      <c r="D34" s="805">
        <v>0</v>
      </c>
      <c r="E34" s="806">
        <v>0</v>
      </c>
      <c r="F34" s="807">
        <v>0</v>
      </c>
    </row>
    <row r="35" spans="2:6" ht="30">
      <c r="B35" s="803" t="s">
        <v>187</v>
      </c>
      <c r="C35" s="804">
        <v>0</v>
      </c>
      <c r="D35" s="805">
        <v>0</v>
      </c>
      <c r="E35" s="806">
        <v>0</v>
      </c>
      <c r="F35" s="807">
        <v>0</v>
      </c>
    </row>
    <row r="36" spans="2:6" ht="30">
      <c r="B36" s="803" t="s">
        <v>188</v>
      </c>
      <c r="C36" s="804">
        <v>0</v>
      </c>
      <c r="D36" s="805">
        <v>0</v>
      </c>
      <c r="E36" s="806">
        <v>0</v>
      </c>
      <c r="F36" s="807">
        <v>0</v>
      </c>
    </row>
    <row r="37" spans="2:6" ht="15">
      <c r="B37" s="803" t="s">
        <v>189</v>
      </c>
      <c r="C37" s="804">
        <v>0</v>
      </c>
      <c r="D37" s="805">
        <v>0</v>
      </c>
      <c r="E37" s="806">
        <v>0</v>
      </c>
      <c r="F37" s="807">
        <v>0</v>
      </c>
    </row>
    <row r="38" spans="2:6" ht="15">
      <c r="B38" s="803" t="s">
        <v>190</v>
      </c>
      <c r="C38" s="804">
        <v>0</v>
      </c>
      <c r="D38" s="805">
        <v>0</v>
      </c>
      <c r="E38" s="806">
        <v>0</v>
      </c>
      <c r="F38" s="807">
        <v>0</v>
      </c>
    </row>
    <row r="39" spans="2:6" ht="15">
      <c r="B39" s="803" t="s">
        <v>191</v>
      </c>
      <c r="C39" s="804">
        <v>0</v>
      </c>
      <c r="D39" s="805">
        <v>0</v>
      </c>
      <c r="E39" s="806">
        <v>0</v>
      </c>
      <c r="F39" s="807">
        <v>0</v>
      </c>
    </row>
    <row r="40" spans="2:6" ht="30">
      <c r="B40" s="803" t="s">
        <v>192</v>
      </c>
      <c r="C40" s="804">
        <v>0</v>
      </c>
      <c r="D40" s="805">
        <v>0</v>
      </c>
      <c r="E40" s="806">
        <v>0</v>
      </c>
      <c r="F40" s="807">
        <v>0</v>
      </c>
    </row>
    <row r="41" spans="2:6" ht="15">
      <c r="B41" s="808" t="s">
        <v>173</v>
      </c>
      <c r="C41" s="804">
        <v>0</v>
      </c>
      <c r="D41" s="805">
        <v>0</v>
      </c>
      <c r="E41" s="806">
        <v>0</v>
      </c>
      <c r="F41" s="807">
        <v>0</v>
      </c>
    </row>
    <row r="42" spans="2:6" ht="15">
      <c r="B42" s="809" t="s">
        <v>658</v>
      </c>
      <c r="C42" s="810">
        <f>1030.40544353689*$C$53</f>
        <v>1045.8615251899432</v>
      </c>
      <c r="D42" s="805"/>
      <c r="E42" s="806"/>
      <c r="F42" s="807"/>
    </row>
    <row r="43" spans="2:6" ht="30">
      <c r="B43" s="809" t="s">
        <v>659</v>
      </c>
      <c r="C43" s="810">
        <f>2397.17832752219*$C$53</f>
        <v>2433.136002435023</v>
      </c>
      <c r="D43" s="805"/>
      <c r="E43" s="806"/>
      <c r="F43" s="807"/>
    </row>
    <row r="44" spans="2:6" ht="15">
      <c r="B44" s="809" t="s">
        <v>660</v>
      </c>
      <c r="C44" s="810">
        <f>625.89062882015*$C$53</f>
        <v>635.2789882524522</v>
      </c>
      <c r="D44" s="805"/>
      <c r="E44" s="806"/>
      <c r="F44" s="807"/>
    </row>
    <row r="45" spans="2:6" ht="15">
      <c r="B45" s="811" t="s">
        <v>661</v>
      </c>
      <c r="C45" s="812">
        <f>191.071616633922*$C$53</f>
        <v>193.9376908834308</v>
      </c>
      <c r="D45" s="805"/>
      <c r="E45" s="806"/>
      <c r="F45" s="807"/>
    </row>
    <row r="46" spans="2:6" ht="15">
      <c r="B46" s="811" t="s">
        <v>662</v>
      </c>
      <c r="C46" s="812">
        <f>372.243649656628*$C$53</f>
        <v>377.8273044014774</v>
      </c>
      <c r="D46" s="805"/>
      <c r="E46" s="806"/>
      <c r="F46" s="807"/>
    </row>
    <row r="47" spans="2:6" ht="15">
      <c r="B47" s="811" t="s">
        <v>663</v>
      </c>
      <c r="C47" s="812">
        <f>75.7498818099903*$C$53</f>
        <v>76.88613003714015</v>
      </c>
      <c r="D47" s="805"/>
      <c r="E47" s="806"/>
      <c r="F47" s="807"/>
    </row>
    <row r="48" spans="2:6" ht="15">
      <c r="B48" s="811" t="s">
        <v>664</v>
      </c>
      <c r="C48" s="812">
        <f>83.5411892309227*$C$53</f>
        <v>84.79430706938653</v>
      </c>
      <c r="D48" s="805"/>
      <c r="E48" s="806"/>
      <c r="F48" s="807"/>
    </row>
    <row r="49" spans="2:6" ht="15">
      <c r="B49" s="811" t="s">
        <v>665</v>
      </c>
      <c r="C49" s="812">
        <f>35.7200253811064*$C$53</f>
        <v>36.255825761823</v>
      </c>
      <c r="D49" s="805"/>
      <c r="E49" s="806"/>
      <c r="F49" s="807"/>
    </row>
    <row r="50" spans="2:6" ht="15">
      <c r="B50" s="811" t="s">
        <v>666</v>
      </c>
      <c r="C50" s="812">
        <f>7.41382776603071*$C$53</f>
        <v>7.5250351825211705</v>
      </c>
      <c r="D50" s="805"/>
      <c r="E50" s="806"/>
      <c r="F50" s="807"/>
    </row>
    <row r="51" spans="2:6" ht="30">
      <c r="B51" s="811" t="s">
        <v>667</v>
      </c>
      <c r="C51" s="813">
        <f>2225.59*$C$53</f>
        <v>2258.97385</v>
      </c>
      <c r="D51" s="814"/>
      <c r="E51" s="815"/>
      <c r="F51" s="816"/>
    </row>
    <row r="52" spans="2:6" ht="15">
      <c r="B52" s="811"/>
      <c r="C52" s="817"/>
      <c r="D52" s="814"/>
      <c r="E52" s="815"/>
      <c r="F52" s="816"/>
    </row>
    <row r="53" spans="2:6" ht="15">
      <c r="B53" s="818" t="s">
        <v>534</v>
      </c>
      <c r="C53" s="819">
        <v>1.015</v>
      </c>
      <c r="D53" s="814"/>
      <c r="E53" s="815"/>
      <c r="F53" s="816"/>
    </row>
    <row r="54" spans="2:6" ht="15">
      <c r="B54" s="820"/>
      <c r="C54" s="821"/>
      <c r="D54" s="814"/>
      <c r="E54" s="815"/>
      <c r="F54" s="816"/>
    </row>
    <row r="55" spans="2:6" ht="15">
      <c r="B55" s="822" t="s">
        <v>668</v>
      </c>
      <c r="C55" s="823">
        <v>3089.757972421928</v>
      </c>
      <c r="D55" s="824">
        <f>C55*E55/F55</f>
        <v>2941.9369383097087</v>
      </c>
      <c r="E55" s="573">
        <v>158.2718329171237</v>
      </c>
      <c r="F55" s="575">
        <v>166.22438475737076</v>
      </c>
    </row>
    <row r="56" spans="2:6" ht="15">
      <c r="B56" s="811" t="s">
        <v>669</v>
      </c>
      <c r="C56" s="825">
        <v>427.2113094149318</v>
      </c>
      <c r="D56" s="814"/>
      <c r="E56" s="815"/>
      <c r="F56" s="816"/>
    </row>
    <row r="57" spans="2:6" ht="15.75" thickBot="1">
      <c r="B57" s="532" t="s">
        <v>670</v>
      </c>
      <c r="C57" s="826">
        <v>90.31411665460128</v>
      </c>
      <c r="D57" s="814"/>
      <c r="E57" s="815"/>
      <c r="F57" s="816"/>
    </row>
    <row r="58" spans="2:6" ht="30.75" thickBot="1">
      <c r="B58" s="583" t="s">
        <v>671</v>
      </c>
      <c r="C58" s="827">
        <f>C42+C43+C44+C45+C46+C47+C48+C49+C50+C51+C56+C57</f>
        <v>7668.002085282731</v>
      </c>
      <c r="D58" s="824">
        <f>C58*E58/F58</f>
        <v>7523.405855558277</v>
      </c>
      <c r="E58" s="573">
        <v>107.37998198634706</v>
      </c>
      <c r="F58" s="575">
        <v>109.44377341820693</v>
      </c>
    </row>
    <row r="59" spans="1:7" ht="15.75" thickBot="1">
      <c r="A59" s="10"/>
      <c r="B59" s="828" t="s">
        <v>164</v>
      </c>
      <c r="C59" s="24">
        <f>SUM(C42:C51)+C55+C56+C57</f>
        <v>10757.76005770466</v>
      </c>
      <c r="D59" s="116">
        <f>D55+D58</f>
        <v>10465.342793867985</v>
      </c>
      <c r="E59" s="39">
        <v>0</v>
      </c>
      <c r="F59" s="117">
        <v>0</v>
      </c>
      <c r="G59" s="68"/>
    </row>
    <row r="61" spans="2:4" ht="15">
      <c r="B61" s="74"/>
      <c r="C61" s="75"/>
      <c r="D61" s="75"/>
    </row>
  </sheetData>
  <mergeCells count="4">
    <mergeCell ref="C6:D6"/>
    <mergeCell ref="E6:E7"/>
    <mergeCell ref="F6:F7"/>
    <mergeCell ref="B6:B8"/>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13"/>
  <sheetViews>
    <sheetView zoomScale="90" zoomScaleNormal="90" workbookViewId="0" topLeftCell="A1">
      <selection activeCell="C35" sqref="C35"/>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195</v>
      </c>
    </row>
    <row r="2" ht="4.5" customHeight="1"/>
    <row r="3" spans="2:6" ht="15">
      <c r="B3" s="44" t="s">
        <v>351</v>
      </c>
      <c r="C3" s="169"/>
      <c r="D3" s="169"/>
      <c r="E3" s="169"/>
      <c r="F3" s="169"/>
    </row>
    <row r="4" spans="2:6" ht="15">
      <c r="B4" s="28" t="s">
        <v>193</v>
      </c>
      <c r="C4" s="169"/>
      <c r="D4" s="169"/>
      <c r="E4" s="169"/>
      <c r="F4" s="169"/>
    </row>
    <row r="5" spans="2:6" ht="15.75" thickBot="1">
      <c r="B5" s="28"/>
      <c r="C5" s="169"/>
      <c r="D5" s="169"/>
      <c r="E5" s="169"/>
      <c r="F5" s="169"/>
    </row>
    <row r="6" spans="2:4" ht="16.5" customHeight="1">
      <c r="B6" s="724" t="s">
        <v>194</v>
      </c>
      <c r="C6" s="118" t="s">
        <v>89</v>
      </c>
      <c r="D6" s="66"/>
    </row>
    <row r="7" spans="2:4" ht="15">
      <c r="B7" s="725"/>
      <c r="C7" s="119" t="s">
        <v>10</v>
      </c>
      <c r="D7" s="66"/>
    </row>
    <row r="8" spans="2:4" ht="15.75" thickBot="1">
      <c r="B8" s="726"/>
      <c r="C8" s="120" t="s">
        <v>324</v>
      </c>
      <c r="D8" s="67"/>
    </row>
    <row r="9" spans="2:3" ht="30">
      <c r="B9" s="94" t="s">
        <v>551</v>
      </c>
      <c r="C9" s="448">
        <v>8766.17985523899</v>
      </c>
    </row>
    <row r="10" spans="2:3" ht="15.75" thickBot="1">
      <c r="B10" s="449" t="s">
        <v>552</v>
      </c>
      <c r="C10" s="450">
        <v>310</v>
      </c>
    </row>
    <row r="11" spans="2:3" ht="15.75" thickBot="1">
      <c r="B11" s="115" t="s">
        <v>196</v>
      </c>
      <c r="C11" s="121">
        <f>SUM(C9:C10)</f>
        <v>9076.17985523899</v>
      </c>
    </row>
    <row r="13" spans="2:3" ht="15">
      <c r="B13" s="74"/>
      <c r="C13" s="75"/>
    </row>
  </sheetData>
  <mergeCells count="1">
    <mergeCell ref="B6:B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
  <sheetViews>
    <sheetView zoomScale="90" zoomScaleNormal="90" workbookViewId="0" topLeftCell="A16">
      <selection activeCell="B30" sqref="B30"/>
    </sheetView>
  </sheetViews>
  <sheetFormatPr defaultColWidth="8.8515625" defaultRowHeight="15"/>
  <cols>
    <col min="1" max="1" width="8.00390625" style="169" bestFit="1" customWidth="1"/>
    <col min="2" max="2" width="50.28125" style="169" customWidth="1"/>
    <col min="3" max="8" width="20.7109375" style="169" customWidth="1"/>
    <col min="9" max="11" width="14.140625" style="169" bestFit="1" customWidth="1"/>
    <col min="12" max="12" width="17.00390625" style="169" bestFit="1" customWidth="1"/>
    <col min="13" max="13" width="12.7109375" style="169" bestFit="1" customWidth="1"/>
    <col min="14" max="14" width="11.421875" style="169" customWidth="1"/>
    <col min="15" max="16384" width="8.8515625" style="169" customWidth="1"/>
  </cols>
  <sheetData>
    <row r="1" ht="18.75">
      <c r="B1" s="6" t="s">
        <v>197</v>
      </c>
    </row>
    <row r="2" ht="4.5" customHeight="1"/>
    <row r="3" spans="2:6" ht="15">
      <c r="B3" s="44" t="s">
        <v>349</v>
      </c>
      <c r="C3" s="67"/>
      <c r="D3" s="67"/>
      <c r="E3" s="67"/>
      <c r="F3" s="67"/>
    </row>
    <row r="4" spans="2:6" ht="15">
      <c r="B4" s="28" t="s">
        <v>198</v>
      </c>
      <c r="C4" s="67"/>
      <c r="D4" s="67"/>
      <c r="E4" s="67"/>
      <c r="F4" s="67"/>
    </row>
    <row r="5" spans="2:6" ht="15.75" thickBot="1">
      <c r="B5" s="28"/>
      <c r="C5" s="67"/>
      <c r="D5" s="67"/>
      <c r="E5" s="67"/>
      <c r="F5" s="67"/>
    </row>
    <row r="6" spans="2:6" ht="16.5" customHeight="1">
      <c r="B6" s="829" t="s">
        <v>194</v>
      </c>
      <c r="C6" s="830" t="s">
        <v>89</v>
      </c>
      <c r="D6" s="831"/>
      <c r="E6" s="127"/>
      <c r="F6" s="127"/>
    </row>
    <row r="7" spans="2:6" ht="15">
      <c r="B7" s="832"/>
      <c r="C7" s="833" t="s">
        <v>10</v>
      </c>
      <c r="D7" s="834"/>
      <c r="E7" s="127"/>
      <c r="F7" s="127"/>
    </row>
    <row r="8" spans="2:6" ht="15.75" thickBot="1">
      <c r="B8" s="835"/>
      <c r="C8" s="836" t="s">
        <v>324</v>
      </c>
      <c r="D8" s="797"/>
      <c r="E8" s="127"/>
      <c r="F8" s="127"/>
    </row>
    <row r="9" spans="1:6" ht="15">
      <c r="A9" s="122"/>
      <c r="B9" s="358" t="s">
        <v>199</v>
      </c>
      <c r="C9" s="837">
        <v>0</v>
      </c>
      <c r="D9" s="127"/>
      <c r="E9" s="127"/>
      <c r="F9" s="127"/>
    </row>
    <row r="10" spans="1:6" ht="15">
      <c r="A10" s="122"/>
      <c r="B10" s="358" t="s">
        <v>209</v>
      </c>
      <c r="C10" s="837">
        <v>0</v>
      </c>
      <c r="D10" s="127"/>
      <c r="E10" s="127"/>
      <c r="F10" s="127"/>
    </row>
    <row r="11" spans="1:6" ht="30">
      <c r="A11" s="122"/>
      <c r="B11" s="358" t="s">
        <v>206</v>
      </c>
      <c r="C11" s="837">
        <v>0</v>
      </c>
      <c r="D11" s="127"/>
      <c r="E11" s="127"/>
      <c r="F11" s="127"/>
    </row>
    <row r="12" spans="1:6" ht="15">
      <c r="A12" s="122"/>
      <c r="B12" s="358" t="s">
        <v>207</v>
      </c>
      <c r="C12" s="837">
        <v>0</v>
      </c>
      <c r="D12" s="127"/>
      <c r="E12" s="127"/>
      <c r="F12" s="127"/>
    </row>
    <row r="13" spans="1:6" ht="15">
      <c r="A13" s="122"/>
      <c r="B13" s="358" t="s">
        <v>208</v>
      </c>
      <c r="C13" s="837">
        <v>0</v>
      </c>
      <c r="D13" s="127"/>
      <c r="E13" s="127"/>
      <c r="F13" s="127"/>
    </row>
    <row r="14" spans="1:6" ht="15">
      <c r="A14" s="122"/>
      <c r="B14" s="803" t="s">
        <v>200</v>
      </c>
      <c r="C14" s="837">
        <v>0</v>
      </c>
      <c r="D14" s="127"/>
      <c r="E14" s="127"/>
      <c r="F14" s="127"/>
    </row>
    <row r="15" spans="1:6" ht="15">
      <c r="A15" s="122"/>
      <c r="B15" s="838" t="s">
        <v>201</v>
      </c>
      <c r="C15" s="837">
        <v>0</v>
      </c>
      <c r="D15" s="547"/>
      <c r="E15" s="127"/>
      <c r="F15" s="127"/>
    </row>
    <row r="16" spans="1:6" ht="15">
      <c r="A16" s="122"/>
      <c r="B16" s="839" t="s">
        <v>202</v>
      </c>
      <c r="C16" s="837">
        <v>0</v>
      </c>
      <c r="D16" s="127"/>
      <c r="E16" s="127"/>
      <c r="F16" s="127"/>
    </row>
    <row r="17" spans="1:6" ht="30">
      <c r="A17" s="122"/>
      <c r="B17" s="839" t="s">
        <v>203</v>
      </c>
      <c r="C17" s="837">
        <v>0</v>
      </c>
      <c r="D17" s="127"/>
      <c r="E17" s="127"/>
      <c r="F17" s="127"/>
    </row>
    <row r="18" spans="1:6" ht="30">
      <c r="A18" s="122"/>
      <c r="B18" s="839" t="s">
        <v>204</v>
      </c>
      <c r="C18" s="837">
        <v>0</v>
      </c>
      <c r="D18" s="127"/>
      <c r="E18" s="127"/>
      <c r="F18" s="127"/>
    </row>
    <row r="19" spans="1:6" ht="30.75" thickBot="1">
      <c r="A19" s="122"/>
      <c r="B19" s="838" t="s">
        <v>205</v>
      </c>
      <c r="C19" s="837">
        <v>0</v>
      </c>
      <c r="D19" s="127"/>
      <c r="E19" s="127"/>
      <c r="F19" s="127"/>
    </row>
    <row r="20" spans="1:6" ht="15.75" thickBot="1">
      <c r="A20" s="122"/>
      <c r="B20" s="840" t="s">
        <v>23</v>
      </c>
      <c r="C20" s="841">
        <v>0</v>
      </c>
      <c r="D20" s="127"/>
      <c r="E20" s="127"/>
      <c r="F20" s="127"/>
    </row>
    <row r="21" spans="2:6" ht="15">
      <c r="B21" s="127"/>
      <c r="C21" s="127"/>
      <c r="D21" s="127"/>
      <c r="E21" s="127"/>
      <c r="F21" s="127"/>
    </row>
    <row r="22" spans="2:6" ht="15.75" thickBot="1">
      <c r="B22" s="127"/>
      <c r="C22" s="127"/>
      <c r="D22" s="127"/>
      <c r="E22" s="127"/>
      <c r="F22" s="127"/>
    </row>
    <row r="23" spans="2:6" ht="15">
      <c r="B23" s="842" t="s">
        <v>194</v>
      </c>
      <c r="C23" s="843" t="s">
        <v>89</v>
      </c>
      <c r="D23" s="127"/>
      <c r="E23" s="127"/>
      <c r="F23" s="127"/>
    </row>
    <row r="24" spans="2:6" ht="15">
      <c r="B24" s="844"/>
      <c r="C24" s="845" t="s">
        <v>10</v>
      </c>
      <c r="D24" s="127"/>
      <c r="E24" s="127"/>
      <c r="F24" s="127"/>
    </row>
    <row r="25" spans="2:6" ht="15">
      <c r="B25" s="844"/>
      <c r="C25" s="846" t="s">
        <v>324</v>
      </c>
      <c r="D25" s="127"/>
      <c r="E25" s="127"/>
      <c r="F25" s="127"/>
    </row>
    <row r="26" spans="2:6" ht="15">
      <c r="B26" s="847" t="s">
        <v>672</v>
      </c>
      <c r="C26" s="848">
        <v>958.128372</v>
      </c>
      <c r="D26" s="127"/>
      <c r="E26" s="127"/>
      <c r="F26" s="127"/>
    </row>
    <row r="27" spans="2:6" ht="15">
      <c r="B27" s="849" t="s">
        <v>673</v>
      </c>
      <c r="C27" s="850">
        <v>103.13999999999999</v>
      </c>
      <c r="D27" s="127"/>
      <c r="E27" s="127"/>
      <c r="F27" s="127"/>
    </row>
    <row r="28" spans="2:6" ht="15.75" thickBot="1">
      <c r="B28" s="851" t="s">
        <v>23</v>
      </c>
      <c r="C28" s="852">
        <f>SUM(C26:C27)</f>
        <v>1061.268372</v>
      </c>
      <c r="D28" s="127"/>
      <c r="E28" s="127"/>
      <c r="F28" s="127"/>
    </row>
    <row r="29" spans="2:6" ht="15">
      <c r="B29" s="26"/>
      <c r="C29" s="547"/>
      <c r="D29" s="127"/>
      <c r="E29" s="127"/>
      <c r="F29" s="127"/>
    </row>
    <row r="30" spans="2:6" ht="15">
      <c r="B30" s="127"/>
      <c r="C30" s="127"/>
      <c r="D30" s="127"/>
      <c r="E30" s="127"/>
      <c r="F30" s="127"/>
    </row>
    <row r="31" spans="2:6" ht="18.75">
      <c r="B31" s="376" t="s">
        <v>210</v>
      </c>
      <c r="C31" s="127"/>
      <c r="D31" s="127"/>
      <c r="E31" s="127"/>
      <c r="F31" s="127"/>
    </row>
    <row r="32" spans="2:6" ht="15">
      <c r="B32" s="127"/>
      <c r="C32" s="127"/>
      <c r="D32" s="127"/>
      <c r="E32" s="127"/>
      <c r="F32" s="127"/>
    </row>
    <row r="33" spans="2:6" ht="15">
      <c r="B33" s="853" t="s">
        <v>350</v>
      </c>
      <c r="C33" s="766" t="s">
        <v>317</v>
      </c>
      <c r="D33" s="127"/>
      <c r="E33" s="127"/>
      <c r="F33" s="127"/>
    </row>
    <row r="34" spans="2:6" ht="15">
      <c r="B34" s="127" t="s">
        <v>211</v>
      </c>
      <c r="C34" s="797"/>
      <c r="D34" s="127"/>
      <c r="E34" s="127"/>
      <c r="F34" s="127"/>
    </row>
    <row r="35" spans="2:6" ht="15.75" thickBot="1">
      <c r="B35" s="127"/>
      <c r="C35" s="797"/>
      <c r="D35" s="127"/>
      <c r="E35" s="127"/>
      <c r="F35" s="127"/>
    </row>
    <row r="36" spans="2:6" ht="45.75" thickBot="1">
      <c r="B36" s="400"/>
      <c r="C36" s="854" t="s">
        <v>215</v>
      </c>
      <c r="D36" s="855" t="s">
        <v>216</v>
      </c>
      <c r="E36" s="856" t="s">
        <v>220</v>
      </c>
      <c r="F36" s="127"/>
    </row>
    <row r="37" spans="2:6" ht="15">
      <c r="B37" s="543" t="s">
        <v>217</v>
      </c>
      <c r="C37" s="857">
        <v>0</v>
      </c>
      <c r="D37" s="858">
        <v>0</v>
      </c>
      <c r="E37" s="859">
        <f>C37-D37</f>
        <v>0</v>
      </c>
      <c r="F37" s="127"/>
    </row>
    <row r="38" spans="2:6" ht="15">
      <c r="B38" s="860" t="s">
        <v>212</v>
      </c>
      <c r="C38" s="861">
        <v>0</v>
      </c>
      <c r="D38" s="862">
        <v>0</v>
      </c>
      <c r="E38" s="863">
        <f>C38-D38</f>
        <v>0</v>
      </c>
      <c r="F38" s="127"/>
    </row>
    <row r="39" spans="2:6" ht="15">
      <c r="B39" s="860" t="s">
        <v>213</v>
      </c>
      <c r="C39" s="861">
        <v>0</v>
      </c>
      <c r="D39" s="862">
        <v>0</v>
      </c>
      <c r="E39" s="863">
        <f>C39-D39</f>
        <v>0</v>
      </c>
      <c r="F39" s="127"/>
    </row>
    <row r="40" spans="2:6" ht="15">
      <c r="B40" s="860" t="s">
        <v>219</v>
      </c>
      <c r="C40" s="861">
        <v>0</v>
      </c>
      <c r="D40" s="862">
        <v>0</v>
      </c>
      <c r="E40" s="863">
        <f>C40-D40</f>
        <v>0</v>
      </c>
      <c r="F40" s="127"/>
    </row>
    <row r="41" spans="2:6" ht="15.75" thickBot="1">
      <c r="B41" s="864" t="s">
        <v>313</v>
      </c>
      <c r="C41" s="865">
        <v>0</v>
      </c>
      <c r="D41" s="866">
        <v>0</v>
      </c>
      <c r="E41" s="867">
        <f>E37-E39-E40</f>
        <v>0</v>
      </c>
      <c r="F41" s="127"/>
    </row>
    <row r="42" spans="2:6" ht="15">
      <c r="B42" s="543" t="s">
        <v>221</v>
      </c>
      <c r="C42" s="868" t="e">
        <f>C38/C37</f>
        <v>#DIV/0!</v>
      </c>
      <c r="D42" s="869" t="e">
        <f>D38/D37</f>
        <v>#DIV/0!</v>
      </c>
      <c r="E42" s="870" t="e">
        <f>E38/E37</f>
        <v>#DIV/0!</v>
      </c>
      <c r="F42" s="127"/>
    </row>
    <row r="43" spans="2:6" ht="15.75" thickBot="1">
      <c r="B43" s="407" t="s">
        <v>218</v>
      </c>
      <c r="C43" s="871"/>
      <c r="D43" s="872"/>
      <c r="E43" s="873">
        <v>0</v>
      </c>
      <c r="F43" s="127"/>
    </row>
    <row r="44" spans="2:6" ht="15.75" thickBot="1">
      <c r="B44" s="874" t="s">
        <v>214</v>
      </c>
      <c r="C44" s="875"/>
      <c r="D44" s="876"/>
      <c r="E44" s="877" t="e">
        <f>(E43-E42)*E41</f>
        <v>#DIV/0!</v>
      </c>
      <c r="F44" s="127"/>
    </row>
    <row r="45" spans="2:6" ht="15">
      <c r="B45" s="127"/>
      <c r="C45" s="127"/>
      <c r="D45" s="127"/>
      <c r="E45" s="127"/>
      <c r="F45" s="127"/>
    </row>
  </sheetData>
  <mergeCells count="2">
    <mergeCell ref="B6:B8"/>
    <mergeCell ref="B23:B25"/>
  </mergeCells>
  <printOptions/>
  <pageMargins left="0.7" right="0.7" top="0.787401575" bottom="0.787401575" header="0.3" footer="0.3"/>
  <pageSetup horizontalDpi="600" verticalDpi="600" orientation="landscape" paperSize="9" r:id="rId3"/>
  <rowBreaks count="1" manualBreakCount="1">
    <brk id="23"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zoomScale="90" zoomScaleNormal="90" workbookViewId="0" topLeftCell="A1">
      <selection activeCell="B38" sqref="B38"/>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222</v>
      </c>
      <c r="D1" s="127"/>
    </row>
    <row r="2" ht="4.5" customHeight="1"/>
    <row r="3" spans="2:6" ht="15">
      <c r="B3" s="44" t="s">
        <v>348</v>
      </c>
      <c r="C3" s="67"/>
      <c r="D3" s="67"/>
      <c r="E3" s="67"/>
      <c r="F3" s="67"/>
    </row>
    <row r="4" spans="2:6" ht="15">
      <c r="B4" s="28" t="s">
        <v>223</v>
      </c>
      <c r="C4" s="67"/>
      <c r="D4" s="67"/>
      <c r="E4" s="67"/>
      <c r="F4" s="67"/>
    </row>
    <row r="5" spans="2:6" ht="15.75" thickBot="1">
      <c r="B5" s="28"/>
      <c r="C5" s="67"/>
      <c r="D5" s="67"/>
      <c r="E5" s="67"/>
      <c r="F5" s="67"/>
    </row>
    <row r="6" spans="2:3" ht="16.5" customHeight="1">
      <c r="B6" s="724" t="s">
        <v>194</v>
      </c>
      <c r="C6" s="118" t="s">
        <v>89</v>
      </c>
    </row>
    <row r="7" spans="2:4" ht="15">
      <c r="B7" s="725"/>
      <c r="C7" s="119" t="s">
        <v>10</v>
      </c>
      <c r="D7" s="66"/>
    </row>
    <row r="8" spans="2:4" ht="15.75" thickBot="1">
      <c r="B8" s="726"/>
      <c r="C8" s="120" t="s">
        <v>324</v>
      </c>
      <c r="D8" s="67"/>
    </row>
    <row r="9" spans="1:3" ht="15">
      <c r="A9" s="122"/>
      <c r="B9" s="185" t="s">
        <v>375</v>
      </c>
      <c r="C9" s="124">
        <v>0</v>
      </c>
    </row>
    <row r="10" spans="1:3" ht="15">
      <c r="A10" s="122"/>
      <c r="B10" s="185" t="s">
        <v>224</v>
      </c>
      <c r="C10" s="124">
        <v>0</v>
      </c>
    </row>
    <row r="11" spans="1:3" ht="15">
      <c r="A11" s="122"/>
      <c r="B11" s="185" t="s">
        <v>225</v>
      </c>
      <c r="C11" s="124">
        <v>0</v>
      </c>
    </row>
    <row r="12" spans="1:3" ht="15">
      <c r="A12" s="122"/>
      <c r="B12" s="185" t="s">
        <v>226</v>
      </c>
      <c r="C12" s="124">
        <v>0</v>
      </c>
    </row>
    <row r="13" spans="1:3" ht="15">
      <c r="A13" s="122"/>
      <c r="B13" s="185" t="s">
        <v>227</v>
      </c>
      <c r="C13" s="124">
        <v>0</v>
      </c>
    </row>
    <row r="14" spans="1:3" ht="15">
      <c r="A14" s="122"/>
      <c r="B14" s="186" t="s">
        <v>228</v>
      </c>
      <c r="C14" s="124">
        <v>0</v>
      </c>
    </row>
    <row r="15" spans="1:3" ht="15">
      <c r="A15" s="122"/>
      <c r="B15" s="187" t="s">
        <v>237</v>
      </c>
      <c r="C15" s="124">
        <v>0</v>
      </c>
    </row>
    <row r="16" spans="1:3" ht="15">
      <c r="A16" s="122"/>
      <c r="B16" s="187" t="s">
        <v>229</v>
      </c>
      <c r="C16" s="124">
        <v>0</v>
      </c>
    </row>
    <row r="17" spans="1:3" ht="15">
      <c r="A17" s="122"/>
      <c r="B17" s="187" t="s">
        <v>230</v>
      </c>
      <c r="C17" s="124">
        <v>0</v>
      </c>
    </row>
    <row r="18" spans="1:3" ht="15">
      <c r="A18" s="122"/>
      <c r="B18" s="187" t="s">
        <v>231</v>
      </c>
      <c r="C18" s="124">
        <v>0</v>
      </c>
    </row>
    <row r="19" spans="1:3" ht="15.75" thickBot="1">
      <c r="A19" s="122"/>
      <c r="B19" s="187" t="s">
        <v>232</v>
      </c>
      <c r="C19" s="124">
        <v>0</v>
      </c>
    </row>
    <row r="20" spans="1:3" ht="15.75" thickBot="1">
      <c r="A20" s="122"/>
      <c r="B20" s="115" t="s">
        <v>24</v>
      </c>
      <c r="C20" s="125">
        <v>0</v>
      </c>
    </row>
    <row r="22" spans="2:3" ht="15">
      <c r="B22" s="74"/>
      <c r="C22" s="75"/>
    </row>
    <row r="23" spans="2:3" ht="15">
      <c r="B23" s="196" t="s">
        <v>398</v>
      </c>
      <c r="C23" s="37">
        <v>6055.6538283312475</v>
      </c>
    </row>
    <row r="24" spans="2:3" s="169" customFormat="1" ht="15">
      <c r="B24" s="197" t="s">
        <v>391</v>
      </c>
      <c r="C24" s="169">
        <v>179</v>
      </c>
    </row>
    <row r="25" spans="2:3" s="169" customFormat="1" ht="15">
      <c r="B25" s="197" t="s">
        <v>392</v>
      </c>
      <c r="C25" s="169">
        <v>116</v>
      </c>
    </row>
    <row r="26" spans="2:3" ht="15">
      <c r="B26" s="196" t="s">
        <v>394</v>
      </c>
      <c r="C26" s="5">
        <v>881</v>
      </c>
    </row>
    <row r="27" spans="2:3" s="169" customFormat="1" ht="15">
      <c r="B27" s="197" t="s">
        <v>393</v>
      </c>
      <c r="C27" s="169">
        <v>90</v>
      </c>
    </row>
    <row r="28" spans="2:3" ht="15">
      <c r="B28" s="196" t="s">
        <v>395</v>
      </c>
      <c r="C28" s="5">
        <v>214</v>
      </c>
    </row>
    <row r="29" spans="2:3" ht="15">
      <c r="B29" s="196" t="s">
        <v>396</v>
      </c>
      <c r="C29" s="5">
        <v>0</v>
      </c>
    </row>
    <row r="31" spans="2:3" ht="15.75">
      <c r="B31" s="198" t="s">
        <v>397</v>
      </c>
      <c r="C31" s="199">
        <f>(C23-C24-C25)+(C26-C27)+C28+C29</f>
        <v>6765.6538283312475</v>
      </c>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2"/>
  <sheetViews>
    <sheetView zoomScale="90" zoomScaleNormal="90" workbookViewId="0" topLeftCell="A1">
      <selection activeCell="B17" sqref="B17"/>
    </sheetView>
  </sheetViews>
  <sheetFormatPr defaultColWidth="8.8515625" defaultRowHeight="15"/>
  <cols>
    <col min="1" max="1" width="5.00390625" style="5" bestFit="1" customWidth="1"/>
    <col min="2" max="2" width="42.8515625" style="5" bestFit="1" customWidth="1"/>
    <col min="3" max="3" width="20.7109375" style="5" bestFit="1" customWidth="1"/>
    <col min="4" max="4" width="14.140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42</v>
      </c>
    </row>
    <row r="2" ht="4.5" customHeight="1"/>
    <row r="3" spans="2:3" ht="15.75">
      <c r="B3" s="215" t="s">
        <v>414</v>
      </c>
      <c r="C3" s="4" t="s">
        <v>27</v>
      </c>
    </row>
    <row r="4" spans="2:3" ht="15">
      <c r="B4" s="8" t="s">
        <v>43</v>
      </c>
      <c r="C4" s="4" t="s">
        <v>316</v>
      </c>
    </row>
    <row r="5" ht="14.25" customHeight="1">
      <c r="C5" s="4" t="s">
        <v>317</v>
      </c>
    </row>
    <row r="6" ht="14.25" customHeight="1" thickBot="1"/>
    <row r="7" spans="2:4" ht="16.5" customHeight="1" thickBot="1">
      <c r="B7" s="86"/>
      <c r="C7" s="87" t="s">
        <v>3</v>
      </c>
      <c r="D7" s="9"/>
    </row>
    <row r="8" spans="1:3" ht="15">
      <c r="A8" s="10">
        <v>1</v>
      </c>
      <c r="B8" s="84" t="s">
        <v>415</v>
      </c>
      <c r="C8" s="85">
        <f>560236/1000</f>
        <v>560.236</v>
      </c>
    </row>
    <row r="9" spans="1:3" ht="15">
      <c r="A9" s="10">
        <v>2</v>
      </c>
      <c r="B9" s="11" t="s">
        <v>8</v>
      </c>
      <c r="C9" s="85">
        <v>0</v>
      </c>
    </row>
    <row r="10" spans="1:3" ht="15">
      <c r="A10" s="10">
        <v>3</v>
      </c>
      <c r="B10" s="12" t="s">
        <v>2</v>
      </c>
      <c r="C10" s="201">
        <f>SUM(C8:C9)</f>
        <v>560.236</v>
      </c>
    </row>
    <row r="11" spans="2:3" ht="15">
      <c r="B11" s="14"/>
      <c r="C11" s="15"/>
    </row>
    <row r="12" spans="2:3" ht="15.75" thickBot="1">
      <c r="B12" s="16"/>
      <c r="C12" s="17"/>
    </row>
    <row r="13" spans="2:14" ht="16.5" customHeight="1">
      <c r="B13" s="657" t="s">
        <v>1</v>
      </c>
      <c r="C13" s="659" t="s">
        <v>3</v>
      </c>
      <c r="D13" s="661" t="s">
        <v>408</v>
      </c>
      <c r="E13" s="663" t="s">
        <v>5</v>
      </c>
      <c r="F13" s="664"/>
      <c r="G13" s="663" t="s">
        <v>6</v>
      </c>
      <c r="H13" s="664"/>
      <c r="I13" s="663" t="s">
        <v>12</v>
      </c>
      <c r="J13" s="664"/>
      <c r="K13" s="655" t="s">
        <v>7</v>
      </c>
      <c r="L13" s="656"/>
      <c r="N13" s="26"/>
    </row>
    <row r="14" spans="2:12" ht="15.75" thickBot="1">
      <c r="B14" s="658"/>
      <c r="C14" s="660"/>
      <c r="D14" s="662"/>
      <c r="E14" s="81" t="s">
        <v>10</v>
      </c>
      <c r="F14" s="82" t="s">
        <v>11</v>
      </c>
      <c r="G14" s="81" t="s">
        <v>10</v>
      </c>
      <c r="H14" s="82" t="s">
        <v>11</v>
      </c>
      <c r="I14" s="81" t="s">
        <v>10</v>
      </c>
      <c r="J14" s="82" t="s">
        <v>11</v>
      </c>
      <c r="K14" s="81" t="s">
        <v>10</v>
      </c>
      <c r="L14" s="83" t="s">
        <v>11</v>
      </c>
    </row>
    <row r="15" spans="1:14" ht="15.75" thickBot="1">
      <c r="A15" s="10">
        <v>7</v>
      </c>
      <c r="B15" s="76" t="s">
        <v>416</v>
      </c>
      <c r="C15" s="77">
        <v>560.236</v>
      </c>
      <c r="D15" s="78">
        <v>280.6354925086056</v>
      </c>
      <c r="E15" s="216">
        <f>SUM(D15*C15/100)</f>
        <v>1572.2210578105116</v>
      </c>
      <c r="F15" s="80">
        <f>E15*C21/D21</f>
        <v>1526.188690086025</v>
      </c>
      <c r="G15" s="79"/>
      <c r="H15" s="80"/>
      <c r="I15" s="79"/>
      <c r="J15" s="80"/>
      <c r="K15" s="79"/>
      <c r="L15" s="80"/>
      <c r="N15" s="28"/>
    </row>
    <row r="16" spans="1:12" ht="15.75" thickBot="1">
      <c r="A16" s="10">
        <v>17</v>
      </c>
      <c r="B16" s="22" t="s">
        <v>9</v>
      </c>
      <c r="C16" s="33">
        <f>SUM(C15:C15)</f>
        <v>560.236</v>
      </c>
      <c r="D16" s="23"/>
      <c r="E16" s="24">
        <f>E15</f>
        <v>1572.2210578105116</v>
      </c>
      <c r="F16" s="25">
        <f>F15</f>
        <v>1526.188690086025</v>
      </c>
      <c r="G16" s="24">
        <v>0</v>
      </c>
      <c r="H16" s="25">
        <v>0</v>
      </c>
      <c r="I16" s="24">
        <v>0</v>
      </c>
      <c r="J16" s="25">
        <v>0</v>
      </c>
      <c r="K16" s="24">
        <f>E16+G16-I16</f>
        <v>1572.2210578105116</v>
      </c>
      <c r="L16" s="25">
        <f>F16+H16-J16</f>
        <v>1526.188690086025</v>
      </c>
    </row>
    <row r="17" spans="3:12" ht="15">
      <c r="C17" s="14"/>
      <c r="E17" s="14"/>
      <c r="F17" s="14"/>
      <c r="G17" s="14"/>
      <c r="H17" s="14"/>
      <c r="I17" s="14"/>
      <c r="J17" s="14"/>
      <c r="K17" s="14"/>
      <c r="L17" s="14"/>
    </row>
    <row r="18" spans="2:6" ht="15">
      <c r="B18" s="26"/>
      <c r="F18" s="326"/>
    </row>
    <row r="19" ht="15.75" thickBot="1">
      <c r="F19" s="327"/>
    </row>
    <row r="20" spans="2:4" ht="15.75" thickBot="1">
      <c r="B20" s="86"/>
      <c r="C20" s="89">
        <v>2019</v>
      </c>
      <c r="D20" s="89">
        <v>2020</v>
      </c>
    </row>
    <row r="21" spans="2:4" ht="15">
      <c r="B21" s="170" t="s">
        <v>412</v>
      </c>
      <c r="C21" s="88">
        <v>104.8021092374275</v>
      </c>
      <c r="D21" s="88">
        <v>107.96311368075564</v>
      </c>
    </row>
    <row r="22" spans="2:4" ht="15.75" thickBot="1">
      <c r="B22" s="171" t="s">
        <v>413</v>
      </c>
      <c r="C22" s="64">
        <v>88.20964380326788</v>
      </c>
      <c r="D22" s="64">
        <v>67.8318647091749</v>
      </c>
    </row>
  </sheetData>
  <mergeCells count="7">
    <mergeCell ref="K13:L13"/>
    <mergeCell ref="B13:B14"/>
    <mergeCell ref="C13:C14"/>
    <mergeCell ref="D13:D14"/>
    <mergeCell ref="E13:F13"/>
    <mergeCell ref="G13:H13"/>
    <mergeCell ref="I13:J13"/>
  </mergeCells>
  <conditionalFormatting sqref="C18 N15">
    <cfRule type="cellIs" priority="13" dxfId="1" operator="equal">
      <formula>FALSE</formula>
    </cfRule>
    <cfRule type="cellIs" priority="14" dxfId="0" operator="equal">
      <formula>TRUE</formula>
    </cfRule>
  </conditionalFormatting>
  <conditionalFormatting sqref="E18">
    <cfRule type="cellIs" priority="11" dxfId="1" operator="equal">
      <formula>FALSE</formula>
    </cfRule>
    <cfRule type="cellIs" priority="12" dxfId="0" operator="equal">
      <formula>TRUE</formula>
    </cfRule>
  </conditionalFormatting>
  <conditionalFormatting sqref="K18">
    <cfRule type="cellIs" priority="7" dxfId="1" operator="equal">
      <formula>FALSE</formula>
    </cfRule>
    <cfRule type="cellIs" priority="8" dxfId="0" operator="equal">
      <formula>TRUE</formula>
    </cfRule>
  </conditionalFormatting>
  <conditionalFormatting sqref="L18">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18"/>
  <sheetViews>
    <sheetView zoomScale="90" zoomScaleNormal="90" workbookViewId="0" topLeftCell="A1">
      <selection activeCell="D30" sqref="D30"/>
    </sheetView>
  </sheetViews>
  <sheetFormatPr defaultColWidth="8.8515625" defaultRowHeight="15"/>
  <cols>
    <col min="1" max="1" width="5.00390625" style="5" bestFit="1" customWidth="1"/>
    <col min="2" max="2" width="50.0039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233</v>
      </c>
    </row>
    <row r="2" ht="4.5" customHeight="1"/>
    <row r="3" spans="2:11" ht="30">
      <c r="B3" s="44" t="s">
        <v>347</v>
      </c>
      <c r="C3" s="45"/>
      <c r="F3" s="169"/>
      <c r="G3" s="169"/>
      <c r="H3" s="169"/>
      <c r="I3" s="169"/>
      <c r="J3" s="169"/>
      <c r="K3" s="169"/>
    </row>
    <row r="4" spans="2:11" ht="15">
      <c r="B4" s="28" t="s">
        <v>234</v>
      </c>
      <c r="C4" s="4"/>
      <c r="F4" s="169"/>
      <c r="G4" s="169"/>
      <c r="H4" s="169"/>
      <c r="I4" s="169"/>
      <c r="J4" s="169"/>
      <c r="K4" s="169"/>
    </row>
    <row r="5" spans="2:3" ht="15.75" thickBot="1">
      <c r="B5" s="28"/>
      <c r="C5" s="4"/>
    </row>
    <row r="6" spans="2:7" ht="46.15" customHeight="1">
      <c r="B6" s="711"/>
      <c r="C6" s="352" t="s">
        <v>132</v>
      </c>
      <c r="D6" s="353" t="s">
        <v>369</v>
      </c>
      <c r="E6" s="354" t="s">
        <v>114</v>
      </c>
      <c r="F6" s="354" t="s">
        <v>239</v>
      </c>
      <c r="G6" s="354" t="s">
        <v>119</v>
      </c>
    </row>
    <row r="7" spans="2:9" ht="15.75" thickBot="1">
      <c r="B7" s="712"/>
      <c r="C7" s="355" t="s">
        <v>323</v>
      </c>
      <c r="D7" s="356" t="s">
        <v>88</v>
      </c>
      <c r="E7" s="357" t="s">
        <v>324</v>
      </c>
      <c r="F7" s="357" t="s">
        <v>118</v>
      </c>
      <c r="G7" s="357" t="s">
        <v>324</v>
      </c>
      <c r="I7" s="74"/>
    </row>
    <row r="8" spans="2:9" ht="30">
      <c r="B8" s="358" t="s">
        <v>236</v>
      </c>
      <c r="C8" s="410"/>
      <c r="D8" s="411"/>
      <c r="E8" s="361">
        <f>E9</f>
        <v>0</v>
      </c>
      <c r="F8" s="541">
        <v>0</v>
      </c>
      <c r="G8" s="542">
        <f>E8*(1-F8)/1</f>
        <v>0</v>
      </c>
      <c r="I8" s="75"/>
    </row>
    <row r="9" spans="2:7" ht="15.75" thickBot="1">
      <c r="B9" s="537" t="s">
        <v>235</v>
      </c>
      <c r="C9" s="461">
        <v>0</v>
      </c>
      <c r="D9" s="538">
        <v>0</v>
      </c>
      <c r="E9" s="462">
        <f>C9*D9/10^6</f>
        <v>0</v>
      </c>
      <c r="F9" s="462"/>
      <c r="G9" s="463"/>
    </row>
    <row r="10" spans="2:3" ht="15">
      <c r="B10" s="28"/>
      <c r="C10" s="4"/>
    </row>
    <row r="11" ht="14.25" customHeight="1">
      <c r="C11" s="4"/>
    </row>
    <row r="12" spans="2:5" ht="15">
      <c r="B12" s="539" t="s">
        <v>576</v>
      </c>
      <c r="C12" s="540" t="s">
        <v>578</v>
      </c>
      <c r="D12" s="540" t="s">
        <v>579</v>
      </c>
      <c r="E12" s="540" t="s">
        <v>580</v>
      </c>
    </row>
    <row r="13" spans="2:5" ht="15">
      <c r="B13" s="192" t="s">
        <v>386</v>
      </c>
      <c r="C13" s="193">
        <v>3491.9386398166976</v>
      </c>
      <c r="D13" s="193">
        <v>42057</v>
      </c>
      <c r="E13" s="194">
        <f>C13*D13/1000000</f>
        <v>146.86046337477086</v>
      </c>
    </row>
    <row r="14" spans="2:5" ht="15">
      <c r="B14" s="192" t="s">
        <v>387</v>
      </c>
      <c r="C14" s="193">
        <v>4651.47673410101</v>
      </c>
      <c r="D14" s="193">
        <v>196108</v>
      </c>
      <c r="E14" s="194">
        <f>C14*D14/1000000</f>
        <v>912.1917993710808</v>
      </c>
    </row>
    <row r="15" spans="2:5" ht="15">
      <c r="B15" s="192" t="s">
        <v>388</v>
      </c>
      <c r="C15" s="193">
        <v>4178.957599563692</v>
      </c>
      <c r="D15" s="193">
        <v>338046</v>
      </c>
      <c r="E15" s="194">
        <f>C15*D15/1000000</f>
        <v>1412.679900702108</v>
      </c>
    </row>
    <row r="16" spans="2:5" ht="15">
      <c r="B16" s="192" t="s">
        <v>389</v>
      </c>
      <c r="C16" s="193">
        <v>3889.141977745486</v>
      </c>
      <c r="D16" s="193">
        <v>324689</v>
      </c>
      <c r="E16" s="194">
        <f>C16*D16/1000000</f>
        <v>1262.7616196122042</v>
      </c>
    </row>
    <row r="17" spans="2:5" ht="15">
      <c r="B17" s="192" t="s">
        <v>390</v>
      </c>
      <c r="C17" s="193">
        <v>4117.192025568172</v>
      </c>
      <c r="D17" s="193">
        <v>194215</v>
      </c>
      <c r="E17" s="194">
        <f>C17*D17/1000000</f>
        <v>799.6204492457224</v>
      </c>
    </row>
    <row r="18" spans="2:5" ht="15">
      <c r="B18" s="540" t="s">
        <v>577</v>
      </c>
      <c r="C18" s="193"/>
      <c r="D18" s="193"/>
      <c r="E18" s="195">
        <f>SUM(E13:E17)</f>
        <v>4534.114232305887</v>
      </c>
    </row>
  </sheetData>
  <mergeCells count="1">
    <mergeCell ref="B6:B7"/>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13"/>
  <sheetViews>
    <sheetView zoomScale="90" zoomScaleNormal="90" workbookViewId="0" topLeftCell="A1">
      <selection activeCell="D10" sqref="D10"/>
    </sheetView>
  </sheetViews>
  <sheetFormatPr defaultColWidth="8.8515625" defaultRowHeight="15"/>
  <cols>
    <col min="1" max="1" width="5.00390625" style="169" bestFit="1" customWidth="1"/>
    <col min="2" max="2" width="48.7109375" style="169" customWidth="1"/>
    <col min="3" max="11" width="20.7109375" style="169" customWidth="1"/>
    <col min="12" max="12" width="12.7109375" style="169" bestFit="1" customWidth="1"/>
    <col min="13" max="13" width="11.421875" style="169" customWidth="1"/>
    <col min="14" max="16384" width="8.8515625" style="169" customWidth="1"/>
  </cols>
  <sheetData>
    <row r="1" ht="18.75">
      <c r="B1" s="6" t="s">
        <v>381</v>
      </c>
    </row>
    <row r="2" ht="4.5" customHeight="1"/>
    <row r="3" spans="2:3" ht="15">
      <c r="B3" s="44" t="s">
        <v>346</v>
      </c>
      <c r="C3" s="750"/>
    </row>
    <row r="4" spans="2:3" ht="15">
      <c r="B4" s="28" t="s">
        <v>238</v>
      </c>
      <c r="C4" s="729"/>
    </row>
    <row r="5" spans="2:3" ht="15.75" thickBot="1">
      <c r="B5" s="28"/>
      <c r="C5" s="729"/>
    </row>
    <row r="6" spans="2:11" ht="46.15" customHeight="1">
      <c r="B6" s="718"/>
      <c r="C6" s="352" t="s">
        <v>132</v>
      </c>
      <c r="D6" s="353" t="s">
        <v>369</v>
      </c>
      <c r="E6" s="354" t="s">
        <v>114</v>
      </c>
      <c r="F6" s="354" t="s">
        <v>117</v>
      </c>
      <c r="G6" s="354" t="s">
        <v>239</v>
      </c>
      <c r="H6" s="47" t="s">
        <v>241</v>
      </c>
      <c r="I6" s="47" t="s">
        <v>240</v>
      </c>
      <c r="J6" s="47" t="s">
        <v>586</v>
      </c>
      <c r="K6" s="47" t="s">
        <v>314</v>
      </c>
    </row>
    <row r="7" spans="2:13" ht="15.75" thickBot="1">
      <c r="B7" s="719"/>
      <c r="C7" s="355" t="s">
        <v>323</v>
      </c>
      <c r="D7" s="356" t="s">
        <v>88</v>
      </c>
      <c r="E7" s="357" t="s">
        <v>324</v>
      </c>
      <c r="F7" s="357" t="s">
        <v>118</v>
      </c>
      <c r="G7" s="357" t="s">
        <v>118</v>
      </c>
      <c r="H7" s="178" t="s">
        <v>324</v>
      </c>
      <c r="I7" s="178" t="s">
        <v>324</v>
      </c>
      <c r="J7" s="178" t="s">
        <v>324</v>
      </c>
      <c r="K7" s="178" t="s">
        <v>324</v>
      </c>
      <c r="M7" s="74"/>
    </row>
    <row r="8" spans="2:13" ht="15">
      <c r="B8" s="99" t="s">
        <v>382</v>
      </c>
      <c r="C8" s="410"/>
      <c r="D8" s="411"/>
      <c r="E8" s="361" t="e">
        <f>#REF!</f>
        <v>#REF!</v>
      </c>
      <c r="F8" s="541">
        <v>0</v>
      </c>
      <c r="G8" s="541">
        <v>0</v>
      </c>
      <c r="H8" s="97">
        <f>H9*H10</f>
        <v>5076.626793982926</v>
      </c>
      <c r="I8" s="97">
        <v>1630</v>
      </c>
      <c r="J8" s="97">
        <v>2695.0600257294327</v>
      </c>
      <c r="K8" s="128">
        <f>H8-I8-J8</f>
        <v>751.5667682534931</v>
      </c>
      <c r="M8" s="75"/>
    </row>
    <row r="9" spans="2:13" ht="15">
      <c r="B9" s="420" t="s">
        <v>674</v>
      </c>
      <c r="C9" s="587"/>
      <c r="D9" s="588"/>
      <c r="E9" s="589"/>
      <c r="F9" s="590"/>
      <c r="G9" s="590"/>
      <c r="H9" s="581">
        <v>4886.0700615812575</v>
      </c>
      <c r="I9" s="581"/>
      <c r="J9" s="581"/>
      <c r="K9" s="582"/>
      <c r="M9" s="75"/>
    </row>
    <row r="10" spans="2:13" s="343" customFormat="1" ht="15.75" thickBot="1">
      <c r="B10" s="583" t="s">
        <v>585</v>
      </c>
      <c r="C10" s="591"/>
      <c r="D10" s="592"/>
      <c r="E10" s="593"/>
      <c r="F10" s="594"/>
      <c r="G10" s="594"/>
      <c r="H10" s="584">
        <v>1.039</v>
      </c>
      <c r="I10" s="585"/>
      <c r="J10" s="585"/>
      <c r="K10" s="586"/>
      <c r="M10" s="75"/>
    </row>
    <row r="11" spans="2:8" ht="15">
      <c r="B11" s="28"/>
      <c r="C11" s="729"/>
      <c r="G11" s="138"/>
      <c r="H11" s="139"/>
    </row>
    <row r="12" spans="2:8" ht="14.25" customHeight="1">
      <c r="B12" s="74"/>
      <c r="C12" s="729"/>
      <c r="G12" s="138"/>
      <c r="H12" s="140"/>
    </row>
    <row r="13" spans="7:8" ht="15">
      <c r="G13" s="138"/>
      <c r="H13" s="139"/>
    </row>
  </sheetData>
  <mergeCells count="1">
    <mergeCell ref="B6:B7"/>
  </mergeCells>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12"/>
  <sheetViews>
    <sheetView zoomScale="90" zoomScaleNormal="90" workbookViewId="0" topLeftCell="A1">
      <selection activeCell="H36" sqref="H36"/>
    </sheetView>
  </sheetViews>
  <sheetFormatPr defaultColWidth="8.8515625" defaultRowHeight="15"/>
  <cols>
    <col min="1" max="1" width="5.00390625" style="169" bestFit="1" customWidth="1"/>
    <col min="2" max="2" width="48.7109375" style="169" customWidth="1"/>
    <col min="3" max="10" width="20.7109375" style="169" customWidth="1"/>
    <col min="11" max="11" width="12.7109375" style="169" bestFit="1" customWidth="1"/>
    <col min="12" max="12" width="11.421875" style="169" customWidth="1"/>
    <col min="13" max="16384" width="8.8515625" style="169" customWidth="1"/>
  </cols>
  <sheetData>
    <row r="1" ht="18.75">
      <c r="B1" s="6" t="s">
        <v>379</v>
      </c>
    </row>
    <row r="2" ht="4.5" customHeight="1"/>
    <row r="3" spans="2:3" ht="15">
      <c r="B3" s="44" t="s">
        <v>345</v>
      </c>
      <c r="C3" s="750"/>
    </row>
    <row r="4" spans="2:3" ht="15">
      <c r="B4" s="28" t="s">
        <v>242</v>
      </c>
      <c r="C4" s="729"/>
    </row>
    <row r="5" spans="2:3" ht="15.75" thickBot="1">
      <c r="B5" s="28"/>
      <c r="C5" s="729"/>
    </row>
    <row r="6" spans="2:10" ht="46.15" customHeight="1">
      <c r="B6" s="718"/>
      <c r="C6" s="70" t="s">
        <v>87</v>
      </c>
      <c r="D6" s="46" t="s">
        <v>369</v>
      </c>
      <c r="E6" s="47" t="s">
        <v>114</v>
      </c>
      <c r="F6" s="47" t="s">
        <v>117</v>
      </c>
      <c r="G6" s="47" t="s">
        <v>239</v>
      </c>
      <c r="H6" s="47" t="s">
        <v>244</v>
      </c>
      <c r="I6" s="47" t="s">
        <v>243</v>
      </c>
      <c r="J6" s="47" t="s">
        <v>245</v>
      </c>
    </row>
    <row r="7" spans="2:12" ht="15.75" thickBot="1">
      <c r="B7" s="719"/>
      <c r="C7" s="98" t="s">
        <v>323</v>
      </c>
      <c r="D7" s="92" t="s">
        <v>88</v>
      </c>
      <c r="E7" s="178" t="s">
        <v>324</v>
      </c>
      <c r="F7" s="102" t="s">
        <v>118</v>
      </c>
      <c r="G7" s="102" t="s">
        <v>118</v>
      </c>
      <c r="H7" s="178" t="s">
        <v>324</v>
      </c>
      <c r="I7" s="178" t="s">
        <v>324</v>
      </c>
      <c r="J7" s="178" t="s">
        <v>324</v>
      </c>
      <c r="L7" s="74"/>
    </row>
    <row r="8" spans="2:12" ht="15">
      <c r="B8" s="99" t="s">
        <v>380</v>
      </c>
      <c r="C8" s="95"/>
      <c r="D8" s="96"/>
      <c r="E8" s="91">
        <f>E10</f>
        <v>0</v>
      </c>
      <c r="F8" s="129">
        <v>0</v>
      </c>
      <c r="G8" s="129">
        <v>0</v>
      </c>
      <c r="H8" s="97">
        <f>H9*$H$10</f>
        <v>615.2543783311716</v>
      </c>
      <c r="I8" s="97">
        <v>26</v>
      </c>
      <c r="J8" s="878">
        <f>H8+I8</f>
        <v>641.2543783311716</v>
      </c>
      <c r="K8" s="327"/>
      <c r="L8" s="879"/>
    </row>
    <row r="9" spans="2:12" ht="15">
      <c r="B9" s="880" t="s">
        <v>675</v>
      </c>
      <c r="C9" s="143"/>
      <c r="D9" s="143"/>
      <c r="E9" s="151"/>
      <c r="F9" s="152"/>
      <c r="G9" s="152"/>
      <c r="H9" s="97">
        <v>592.16013313876</v>
      </c>
      <c r="I9" s="881"/>
      <c r="J9" s="882"/>
      <c r="K9" s="327"/>
      <c r="L9" s="879"/>
    </row>
    <row r="10" spans="2:12" ht="15">
      <c r="B10" s="818" t="s">
        <v>585</v>
      </c>
      <c r="C10" s="883"/>
      <c r="D10" s="883"/>
      <c r="E10" s="884"/>
      <c r="F10" s="885"/>
      <c r="G10" s="885"/>
      <c r="H10" s="886">
        <v>1.039</v>
      </c>
      <c r="I10" s="887"/>
      <c r="J10" s="887"/>
      <c r="K10" s="888"/>
      <c r="L10" s="327"/>
    </row>
    <row r="11" spans="2:12" ht="14.25" customHeight="1">
      <c r="B11" s="28"/>
      <c r="C11" s="729"/>
      <c r="K11" s="327"/>
      <c r="L11" s="327"/>
    </row>
    <row r="12" spans="2:12" ht="15">
      <c r="B12" s="74"/>
      <c r="C12" s="729"/>
      <c r="H12" s="141"/>
      <c r="K12" s="327"/>
      <c r="L12" s="327"/>
    </row>
  </sheetData>
  <mergeCells count="1">
    <mergeCell ref="B6:B7"/>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51"/>
  <sheetViews>
    <sheetView zoomScale="90" zoomScaleNormal="90" workbookViewId="0" topLeftCell="A10">
      <selection activeCell="B27" sqref="B27"/>
    </sheetView>
  </sheetViews>
  <sheetFormatPr defaultColWidth="8.8515625" defaultRowHeight="15"/>
  <cols>
    <col min="1" max="1" width="5.00390625" style="5" bestFit="1" customWidth="1"/>
    <col min="2" max="2" width="42.8515625" style="5" bestFit="1" customWidth="1"/>
    <col min="3" max="11" width="20.7109375" style="5" customWidth="1"/>
    <col min="12" max="16384" width="8.8515625" style="5" customWidth="1"/>
  </cols>
  <sheetData>
    <row r="1" ht="18.75">
      <c r="B1" s="6" t="s">
        <v>246</v>
      </c>
    </row>
    <row r="2" ht="4.5" customHeight="1"/>
    <row r="4" spans="2:3" ht="15">
      <c r="B4" s="7" t="s">
        <v>344</v>
      </c>
      <c r="C4" s="29" t="s">
        <v>255</v>
      </c>
    </row>
    <row r="5" spans="2:3" ht="15">
      <c r="B5" s="28" t="s">
        <v>247</v>
      </c>
      <c r="C5" s="4" t="s">
        <v>316</v>
      </c>
    </row>
    <row r="6" ht="15">
      <c r="C6" s="4" t="s">
        <v>317</v>
      </c>
    </row>
    <row r="7" spans="2:11" ht="15.75" thickBot="1">
      <c r="B7" s="127"/>
      <c r="C7" s="351"/>
      <c r="D7" s="127"/>
      <c r="E7" s="127"/>
      <c r="F7" s="127"/>
      <c r="G7" s="127"/>
      <c r="H7" s="127"/>
      <c r="I7" s="127"/>
      <c r="J7" s="127"/>
      <c r="K7" s="127"/>
    </row>
    <row r="8" spans="2:11" ht="30">
      <c r="B8" s="889"/>
      <c r="C8" s="890" t="s">
        <v>68</v>
      </c>
      <c r="D8" s="891" t="s">
        <v>252</v>
      </c>
      <c r="E8" s="353" t="s">
        <v>253</v>
      </c>
      <c r="F8" s="354" t="s">
        <v>251</v>
      </c>
      <c r="G8" s="892" t="s">
        <v>69</v>
      </c>
      <c r="H8" s="890" t="s">
        <v>254</v>
      </c>
      <c r="I8" s="891" t="s">
        <v>252</v>
      </c>
      <c r="J8" s="893" t="s">
        <v>254</v>
      </c>
      <c r="K8" s="892" t="s">
        <v>297</v>
      </c>
    </row>
    <row r="9" spans="2:11" ht="15.75" thickBot="1">
      <c r="B9" s="894"/>
      <c r="C9" s="643" t="s">
        <v>3</v>
      </c>
      <c r="D9" s="895" t="s">
        <v>4</v>
      </c>
      <c r="E9" s="896"/>
      <c r="F9" s="897"/>
      <c r="G9" s="898" t="s">
        <v>89</v>
      </c>
      <c r="H9" s="643" t="s">
        <v>3</v>
      </c>
      <c r="I9" s="643" t="s">
        <v>4</v>
      </c>
      <c r="J9" s="898" t="s">
        <v>89</v>
      </c>
      <c r="K9" s="898" t="s">
        <v>89</v>
      </c>
    </row>
    <row r="10" spans="2:11" ht="15">
      <c r="B10" s="543" t="s">
        <v>248</v>
      </c>
      <c r="C10" s="899">
        <v>0</v>
      </c>
      <c r="D10" s="900">
        <v>0</v>
      </c>
      <c r="E10" s="901">
        <v>0</v>
      </c>
      <c r="F10" s="902">
        <f>D10-E10</f>
        <v>0</v>
      </c>
      <c r="G10" s="899">
        <f>C10*F10/1000</f>
        <v>0</v>
      </c>
      <c r="H10" s="899">
        <v>0</v>
      </c>
      <c r="I10" s="900">
        <v>0</v>
      </c>
      <c r="J10" s="903">
        <f>H10*I10/1000</f>
        <v>0</v>
      </c>
      <c r="K10" s="903">
        <f>G10+J10</f>
        <v>0</v>
      </c>
    </row>
    <row r="11" spans="2:11" ht="15.75" thickBot="1">
      <c r="B11" s="904" t="s">
        <v>249</v>
      </c>
      <c r="C11" s="905">
        <v>0</v>
      </c>
      <c r="D11" s="906">
        <v>0</v>
      </c>
      <c r="E11" s="907">
        <v>0</v>
      </c>
      <c r="F11" s="908">
        <f>D11-E11</f>
        <v>0</v>
      </c>
      <c r="G11" s="905">
        <f>C11*F11/1000</f>
        <v>0</v>
      </c>
      <c r="H11" s="905">
        <v>0</v>
      </c>
      <c r="I11" s="906">
        <v>0</v>
      </c>
      <c r="J11" s="905">
        <f>H11*I11/1000</f>
        <v>0</v>
      </c>
      <c r="K11" s="905">
        <f aca="true" t="shared" si="0" ref="K11">G11+J11</f>
        <v>0</v>
      </c>
    </row>
    <row r="12" spans="2:11" ht="15.75" thickBot="1">
      <c r="B12" s="378" t="s">
        <v>250</v>
      </c>
      <c r="C12" s="909">
        <f>SUM(C10:C11)</f>
        <v>0</v>
      </c>
      <c r="D12" s="875"/>
      <c r="E12" s="876"/>
      <c r="F12" s="910"/>
      <c r="G12" s="911">
        <f>SUM(G10:G11)</f>
        <v>0</v>
      </c>
      <c r="H12" s="912"/>
      <c r="I12" s="912"/>
      <c r="J12" s="911">
        <f>SUM(J10:J11)</f>
        <v>0</v>
      </c>
      <c r="K12" s="911">
        <f>SUM(K10:K11)</f>
        <v>0</v>
      </c>
    </row>
    <row r="13" spans="2:11" s="169" customFormat="1" ht="15">
      <c r="B13" s="561" t="s">
        <v>256</v>
      </c>
      <c r="C13" s="913"/>
      <c r="D13" s="914"/>
      <c r="E13" s="914"/>
      <c r="F13" s="914"/>
      <c r="G13" s="915"/>
      <c r="H13" s="916"/>
      <c r="I13" s="916"/>
      <c r="J13" s="915"/>
      <c r="K13" s="915"/>
    </row>
    <row r="15" ht="15.75">
      <c r="B15" s="649" t="s">
        <v>676</v>
      </c>
    </row>
    <row r="16" spans="2:10" ht="15">
      <c r="B16" s="26"/>
      <c r="G16" s="75"/>
      <c r="J16" s="75"/>
    </row>
    <row r="17" spans="2:11" ht="15.75">
      <c r="B17" s="649" t="s">
        <v>622</v>
      </c>
      <c r="K17" s="75"/>
    </row>
    <row r="18" ht="15.75">
      <c r="B18" s="278"/>
    </row>
    <row r="19" ht="15.75">
      <c r="B19" s="278" t="s">
        <v>621</v>
      </c>
    </row>
    <row r="21" ht="15.75">
      <c r="B21" s="278" t="s">
        <v>636</v>
      </c>
    </row>
    <row r="22" ht="15.75">
      <c r="B22" s="645" t="s">
        <v>623</v>
      </c>
    </row>
    <row r="23" ht="15.75">
      <c r="B23" s="278" t="s">
        <v>624</v>
      </c>
    </row>
    <row r="24" ht="15.75">
      <c r="B24" s="278" t="s">
        <v>625</v>
      </c>
    </row>
    <row r="25" ht="15.75">
      <c r="B25" s="278" t="s">
        <v>626</v>
      </c>
    </row>
    <row r="26" ht="15.75">
      <c r="B26" s="278"/>
    </row>
    <row r="27" ht="15.75">
      <c r="B27" s="645" t="s">
        <v>627</v>
      </c>
    </row>
    <row r="28" ht="15.75">
      <c r="B28" s="646" t="s">
        <v>628</v>
      </c>
    </row>
    <row r="29" ht="15.75">
      <c r="B29" s="646" t="s">
        <v>629</v>
      </c>
    </row>
    <row r="30" ht="15.75">
      <c r="B30" s="646" t="s">
        <v>630</v>
      </c>
    </row>
    <row r="31" ht="15.75">
      <c r="B31" s="646" t="s">
        <v>631</v>
      </c>
    </row>
    <row r="32" ht="15.75">
      <c r="B32" s="646" t="s">
        <v>632</v>
      </c>
    </row>
    <row r="33" ht="15.75">
      <c r="B33" s="646"/>
    </row>
    <row r="34" ht="15.75">
      <c r="B34" s="645" t="s">
        <v>633</v>
      </c>
    </row>
    <row r="35" ht="15.75">
      <c r="B35" s="645" t="s">
        <v>634</v>
      </c>
    </row>
    <row r="36" ht="15.75">
      <c r="B36" s="645" t="s">
        <v>635</v>
      </c>
    </row>
    <row r="38" ht="15.75">
      <c r="B38" s="278" t="s">
        <v>637</v>
      </c>
    </row>
    <row r="39" ht="15.75">
      <c r="B39" s="647"/>
    </row>
    <row r="40" ht="15.75">
      <c r="B40" s="278" t="s">
        <v>638</v>
      </c>
    </row>
    <row r="41" ht="15.75">
      <c r="B41" s="278" t="s">
        <v>639</v>
      </c>
    </row>
    <row r="42" ht="15.75">
      <c r="B42" s="278" t="s">
        <v>647</v>
      </c>
    </row>
    <row r="43" ht="15.75">
      <c r="B43" s="278"/>
    </row>
    <row r="44" ht="15.75">
      <c r="B44" s="278" t="s">
        <v>640</v>
      </c>
    </row>
    <row r="45" ht="15.75">
      <c r="B45" s="648" t="s">
        <v>641</v>
      </c>
    </row>
    <row r="46" ht="15.75">
      <c r="B46" s="648" t="s">
        <v>642</v>
      </c>
    </row>
    <row r="47" ht="15.75">
      <c r="B47" s="648" t="s">
        <v>643</v>
      </c>
    </row>
    <row r="48" ht="15.75">
      <c r="B48" s="278"/>
    </row>
    <row r="49" ht="15.75">
      <c r="B49" s="278" t="s">
        <v>644</v>
      </c>
    </row>
    <row r="50" ht="15.75">
      <c r="B50" s="648" t="s">
        <v>645</v>
      </c>
    </row>
    <row r="51" ht="15.75">
      <c r="B51" s="648" t="s">
        <v>646</v>
      </c>
    </row>
  </sheetData>
  <mergeCells count="2">
    <mergeCell ref="B8:B9"/>
    <mergeCell ref="D9:F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M94"/>
  <sheetViews>
    <sheetView zoomScale="90" zoomScaleNormal="90" workbookViewId="0" topLeftCell="A19">
      <selection activeCell="B92" sqref="B92"/>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spans="2:6" ht="18.75">
      <c r="B1" s="6" t="s">
        <v>257</v>
      </c>
      <c r="C1" s="169"/>
      <c r="D1" s="169"/>
      <c r="E1" s="169"/>
      <c r="F1" s="169"/>
    </row>
    <row r="2" spans="3:6" ht="4.5" customHeight="1">
      <c r="C2" s="169"/>
      <c r="D2" s="169"/>
      <c r="E2" s="169"/>
      <c r="F2" s="169"/>
    </row>
    <row r="4" spans="2:3" ht="15">
      <c r="B4" s="7" t="s">
        <v>342</v>
      </c>
      <c r="C4" s="4"/>
    </row>
    <row r="5" spans="2:3" ht="15">
      <c r="B5" s="28" t="s">
        <v>258</v>
      </c>
      <c r="C5" s="4"/>
    </row>
    <row r="6" ht="15">
      <c r="C6" s="4"/>
    </row>
    <row r="7" spans="2:5" ht="15">
      <c r="B7" s="28" t="s">
        <v>264</v>
      </c>
      <c r="C7" s="4"/>
      <c r="E7" s="74"/>
    </row>
    <row r="8" spans="2:6" ht="15.75" thickBot="1">
      <c r="B8" s="127"/>
      <c r="C8" s="351"/>
      <c r="D8" s="127"/>
      <c r="E8" s="127"/>
      <c r="F8" s="127"/>
    </row>
    <row r="9" spans="2:6" ht="15">
      <c r="B9" s="543" t="s">
        <v>273</v>
      </c>
      <c r="C9" s="544"/>
      <c r="D9" s="127"/>
      <c r="E9" s="127"/>
      <c r="F9" s="127"/>
    </row>
    <row r="10" spans="2:6" ht="15.75" thickBot="1">
      <c r="B10" s="545" t="s">
        <v>325</v>
      </c>
      <c r="C10" s="546">
        <f>C12+C24</f>
        <v>0</v>
      </c>
      <c r="D10" s="127"/>
      <c r="E10" s="547"/>
      <c r="F10" s="127"/>
    </row>
    <row r="11" spans="2:6" ht="15">
      <c r="B11" s="548" t="s">
        <v>274</v>
      </c>
      <c r="C11" s="549"/>
      <c r="D11" s="127"/>
      <c r="E11" s="127"/>
      <c r="F11" s="127"/>
    </row>
    <row r="12" spans="2:6" ht="15.75" thickBot="1">
      <c r="B12" s="545" t="s">
        <v>325</v>
      </c>
      <c r="C12" s="550">
        <f>C20+C22</f>
        <v>0</v>
      </c>
      <c r="D12" s="127"/>
      <c r="E12" s="547"/>
      <c r="F12" s="127"/>
    </row>
    <row r="13" spans="2:6" ht="15">
      <c r="B13" s="548" t="s">
        <v>275</v>
      </c>
      <c r="C13" s="549"/>
      <c r="D13" s="127"/>
      <c r="E13" s="127"/>
      <c r="F13" s="127"/>
    </row>
    <row r="14" spans="2:6" ht="15">
      <c r="B14" s="551" t="s">
        <v>326</v>
      </c>
      <c r="C14" s="552">
        <v>0</v>
      </c>
      <c r="D14" s="127"/>
      <c r="E14" s="127"/>
      <c r="F14" s="127"/>
    </row>
    <row r="15" spans="2:6" ht="15">
      <c r="B15" s="551" t="s">
        <v>327</v>
      </c>
      <c r="C15" s="552">
        <v>0</v>
      </c>
      <c r="D15" s="127"/>
      <c r="E15" s="127"/>
      <c r="F15" s="127"/>
    </row>
    <row r="16" spans="2:6" ht="15">
      <c r="B16" s="551" t="s">
        <v>328</v>
      </c>
      <c r="C16" s="552">
        <v>0</v>
      </c>
      <c r="D16" s="127"/>
      <c r="E16" s="127"/>
      <c r="F16" s="127"/>
    </row>
    <row r="17" spans="2:6" ht="15">
      <c r="B17" s="551" t="s">
        <v>329</v>
      </c>
      <c r="C17" s="552">
        <f>C14-C15+C16</f>
        <v>0</v>
      </c>
      <c r="D17" s="127"/>
      <c r="E17" s="127"/>
      <c r="F17" s="127"/>
    </row>
    <row r="18" spans="2:6" ht="15">
      <c r="B18" s="551" t="s">
        <v>265</v>
      </c>
      <c r="C18" s="553">
        <v>0</v>
      </c>
      <c r="D18" s="127"/>
      <c r="E18" s="127"/>
      <c r="F18" s="127"/>
    </row>
    <row r="19" spans="2:6" ht="15">
      <c r="B19" s="551" t="s">
        <v>266</v>
      </c>
      <c r="C19" s="553">
        <v>0</v>
      </c>
      <c r="D19" s="127"/>
      <c r="E19" s="127"/>
      <c r="F19" s="127"/>
    </row>
    <row r="20" spans="2:6" ht="15.75" thickBot="1">
      <c r="B20" s="554" t="s">
        <v>325</v>
      </c>
      <c r="C20" s="555">
        <f>C17+C17*(C18+C19)/100</f>
        <v>0</v>
      </c>
      <c r="D20" s="127"/>
      <c r="E20" s="547"/>
      <c r="F20" s="127"/>
    </row>
    <row r="21" spans="2:6" ht="15">
      <c r="B21" s="548" t="s">
        <v>276</v>
      </c>
      <c r="C21" s="556"/>
      <c r="D21" s="127"/>
      <c r="E21" s="127"/>
      <c r="F21" s="127"/>
    </row>
    <row r="22" spans="2:6" ht="15.75" thickBot="1">
      <c r="B22" s="545" t="s">
        <v>325</v>
      </c>
      <c r="C22" s="557">
        <f>(C20+C24)*0.2</f>
        <v>0</v>
      </c>
      <c r="D22" s="127"/>
      <c r="E22" s="547"/>
      <c r="F22" s="127"/>
    </row>
    <row r="23" spans="2:6" ht="15">
      <c r="B23" s="548" t="s">
        <v>277</v>
      </c>
      <c r="C23" s="558"/>
      <c r="D23" s="127"/>
      <c r="E23" s="127"/>
      <c r="F23" s="127"/>
    </row>
    <row r="24" spans="2:6" ht="15.75" thickBot="1">
      <c r="B24" s="545" t="s">
        <v>325</v>
      </c>
      <c r="C24" s="557">
        <f>C29+C37+C53+C66</f>
        <v>0</v>
      </c>
      <c r="D24" s="127"/>
      <c r="E24" s="547"/>
      <c r="F24" s="127"/>
    </row>
    <row r="25" spans="2:6" ht="15">
      <c r="B25" s="548" t="s">
        <v>278</v>
      </c>
      <c r="C25" s="558"/>
      <c r="D25" s="127"/>
      <c r="E25" s="127"/>
      <c r="F25" s="127"/>
    </row>
    <row r="26" spans="2:6" ht="15">
      <c r="B26" s="551" t="s">
        <v>267</v>
      </c>
      <c r="C26" s="553">
        <v>0</v>
      </c>
      <c r="D26" s="127"/>
      <c r="E26" s="127"/>
      <c r="F26" s="127"/>
    </row>
    <row r="27" spans="2:6" ht="15">
      <c r="B27" s="551" t="s">
        <v>330</v>
      </c>
      <c r="C27" s="553">
        <v>0</v>
      </c>
      <c r="D27" s="127"/>
      <c r="E27" s="127"/>
      <c r="F27" s="127"/>
    </row>
    <row r="28" spans="2:6" ht="15">
      <c r="B28" s="551" t="s">
        <v>331</v>
      </c>
      <c r="C28" s="552">
        <v>0</v>
      </c>
      <c r="D28" s="127"/>
      <c r="E28" s="127"/>
      <c r="F28" s="127"/>
    </row>
    <row r="29" spans="2:6" ht="15.75" thickBot="1">
      <c r="B29" s="545" t="s">
        <v>325</v>
      </c>
      <c r="C29" s="557">
        <f>C26*C27/10^6+C28</f>
        <v>0</v>
      </c>
      <c r="D29" s="127"/>
      <c r="E29" s="547"/>
      <c r="F29" s="127"/>
    </row>
    <row r="30" spans="2:6" ht="15">
      <c r="B30" s="548" t="s">
        <v>279</v>
      </c>
      <c r="C30" s="558"/>
      <c r="D30" s="127"/>
      <c r="E30" s="127"/>
      <c r="F30" s="127"/>
    </row>
    <row r="31" spans="2:6" ht="15">
      <c r="B31" s="551" t="s">
        <v>326</v>
      </c>
      <c r="C31" s="552">
        <v>0</v>
      </c>
      <c r="D31" s="127"/>
      <c r="E31" s="127"/>
      <c r="F31" s="127"/>
    </row>
    <row r="32" spans="2:6" ht="15">
      <c r="B32" s="551" t="s">
        <v>327</v>
      </c>
      <c r="C32" s="552">
        <v>0</v>
      </c>
      <c r="D32" s="127"/>
      <c r="E32" s="127"/>
      <c r="F32" s="127"/>
    </row>
    <row r="33" spans="2:6" ht="15">
      <c r="B33" s="551" t="s">
        <v>328</v>
      </c>
      <c r="C33" s="552">
        <v>0</v>
      </c>
      <c r="D33" s="127"/>
      <c r="E33" s="127"/>
      <c r="F33" s="127"/>
    </row>
    <row r="34" spans="2:6" ht="15">
      <c r="B34" s="551" t="s">
        <v>329</v>
      </c>
      <c r="C34" s="552">
        <f>C31-C32+C33</f>
        <v>0</v>
      </c>
      <c r="D34" s="127"/>
      <c r="E34" s="127"/>
      <c r="F34" s="127"/>
    </row>
    <row r="35" spans="2:6" ht="15">
      <c r="B35" s="551" t="s">
        <v>265</v>
      </c>
      <c r="C35" s="553">
        <v>0</v>
      </c>
      <c r="D35" s="127"/>
      <c r="E35" s="127"/>
      <c r="F35" s="127"/>
    </row>
    <row r="36" spans="2:6" ht="15">
      <c r="B36" s="551" t="s">
        <v>266</v>
      </c>
      <c r="C36" s="553">
        <v>0</v>
      </c>
      <c r="D36" s="127"/>
      <c r="E36" s="127"/>
      <c r="F36" s="127"/>
    </row>
    <row r="37" spans="2:6" ht="15.75" thickBot="1">
      <c r="B37" s="545" t="s">
        <v>325</v>
      </c>
      <c r="C37" s="557">
        <f>C34+C34*(C35+C36)/100</f>
        <v>0</v>
      </c>
      <c r="D37" s="127"/>
      <c r="E37" s="547"/>
      <c r="F37" s="127"/>
    </row>
    <row r="38" spans="2:6" ht="15">
      <c r="B38" s="548" t="s">
        <v>280</v>
      </c>
      <c r="C38" s="558"/>
      <c r="D38" s="127"/>
      <c r="E38" s="127"/>
      <c r="F38" s="127"/>
    </row>
    <row r="39" spans="2:6" ht="15">
      <c r="B39" s="551" t="s">
        <v>267</v>
      </c>
      <c r="C39" s="553">
        <v>0</v>
      </c>
      <c r="D39" s="127"/>
      <c r="E39" s="127"/>
      <c r="F39" s="127"/>
    </row>
    <row r="40" spans="2:6" ht="15">
      <c r="B40" s="551" t="s">
        <v>268</v>
      </c>
      <c r="C40" s="553">
        <v>0</v>
      </c>
      <c r="D40" s="127"/>
      <c r="E40" s="127"/>
      <c r="F40" s="127"/>
    </row>
    <row r="41" spans="2:6" ht="15">
      <c r="B41" s="551" t="s">
        <v>330</v>
      </c>
      <c r="C41" s="553">
        <v>0</v>
      </c>
      <c r="D41" s="127"/>
      <c r="E41" s="127"/>
      <c r="F41" s="127"/>
    </row>
    <row r="42" spans="2:6" ht="15">
      <c r="B42" s="551" t="s">
        <v>332</v>
      </c>
      <c r="C42" s="552">
        <f>C39*C40/100*C41/10^6</f>
        <v>0</v>
      </c>
      <c r="D42" s="127"/>
      <c r="E42" s="127"/>
      <c r="F42" s="127"/>
    </row>
    <row r="43" spans="2:6" ht="15">
      <c r="B43" s="551" t="s">
        <v>269</v>
      </c>
      <c r="C43" s="553">
        <v>0</v>
      </c>
      <c r="D43" s="127"/>
      <c r="E43" s="127"/>
      <c r="F43" s="127"/>
    </row>
    <row r="44" spans="2:6" ht="15">
      <c r="B44" s="551" t="s">
        <v>268</v>
      </c>
      <c r="C44" s="553">
        <v>0</v>
      </c>
      <c r="D44" s="127"/>
      <c r="E44" s="127"/>
      <c r="F44" s="127"/>
    </row>
    <row r="45" spans="2:6" ht="15">
      <c r="B45" s="551" t="s">
        <v>330</v>
      </c>
      <c r="C45" s="553">
        <v>0</v>
      </c>
      <c r="D45" s="127"/>
      <c r="E45" s="127"/>
      <c r="F45" s="127"/>
    </row>
    <row r="46" spans="2:6" ht="15">
      <c r="B46" s="551" t="s">
        <v>333</v>
      </c>
      <c r="C46" s="552">
        <f>C43*C44/100*C45/10^6</f>
        <v>0</v>
      </c>
      <c r="D46" s="127"/>
      <c r="E46" s="127"/>
      <c r="F46" s="127"/>
    </row>
    <row r="47" spans="2:6" ht="15">
      <c r="B47" s="551" t="s">
        <v>270</v>
      </c>
      <c r="C47" s="553">
        <v>0</v>
      </c>
      <c r="D47" s="127"/>
      <c r="E47" s="127"/>
      <c r="F47" s="127"/>
    </row>
    <row r="48" spans="2:6" ht="15">
      <c r="B48" s="551" t="s">
        <v>271</v>
      </c>
      <c r="C48" s="552">
        <v>0</v>
      </c>
      <c r="D48" s="127"/>
      <c r="E48" s="127"/>
      <c r="F48" s="127"/>
    </row>
    <row r="49" spans="2:6" ht="15">
      <c r="B49" s="551" t="s">
        <v>272</v>
      </c>
      <c r="C49" s="553">
        <f>C47*C48/100</f>
        <v>0</v>
      </c>
      <c r="D49" s="127"/>
      <c r="E49" s="127"/>
      <c r="F49" s="127"/>
    </row>
    <row r="50" spans="2:6" ht="15">
      <c r="B50" s="551" t="s">
        <v>268</v>
      </c>
      <c r="C50" s="553">
        <v>0</v>
      </c>
      <c r="D50" s="127"/>
      <c r="E50" s="127"/>
      <c r="F50" s="127"/>
    </row>
    <row r="51" spans="2:6" ht="15">
      <c r="B51" s="551" t="s">
        <v>330</v>
      </c>
      <c r="C51" s="553">
        <v>0</v>
      </c>
      <c r="D51" s="127"/>
      <c r="E51" s="127"/>
      <c r="F51" s="127"/>
    </row>
    <row r="52" spans="2:6" ht="15">
      <c r="B52" s="551" t="s">
        <v>334</v>
      </c>
      <c r="C52" s="552">
        <f>C49*C50/100*C51/10^6</f>
        <v>0</v>
      </c>
      <c r="D52" s="127"/>
      <c r="E52" s="127"/>
      <c r="F52" s="127"/>
    </row>
    <row r="53" spans="2:6" ht="15.75" thickBot="1">
      <c r="B53" s="545" t="s">
        <v>325</v>
      </c>
      <c r="C53" s="557">
        <f>C42+C46-C52</f>
        <v>0</v>
      </c>
      <c r="D53" s="127"/>
      <c r="E53" s="547"/>
      <c r="F53" s="127"/>
    </row>
    <row r="54" spans="2:6" ht="15">
      <c r="B54" s="559" t="s">
        <v>281</v>
      </c>
      <c r="C54" s="560"/>
      <c r="D54" s="127"/>
      <c r="E54" s="127"/>
      <c r="F54" s="127"/>
    </row>
    <row r="55" spans="2:6" ht="15">
      <c r="B55" s="551" t="s">
        <v>267</v>
      </c>
      <c r="C55" s="553">
        <v>0</v>
      </c>
      <c r="D55" s="127"/>
      <c r="E55" s="127"/>
      <c r="F55" s="127"/>
    </row>
    <row r="56" spans="2:6" ht="15">
      <c r="B56" s="551" t="s">
        <v>330</v>
      </c>
      <c r="C56" s="553">
        <v>0</v>
      </c>
      <c r="D56" s="127"/>
      <c r="E56" s="127"/>
      <c r="F56" s="127"/>
    </row>
    <row r="57" spans="2:6" ht="15">
      <c r="B57" s="551" t="s">
        <v>332</v>
      </c>
      <c r="C57" s="552">
        <f>C55*C56/10^6</f>
        <v>0</v>
      </c>
      <c r="D57" s="127"/>
      <c r="E57" s="127"/>
      <c r="F57" s="127"/>
    </row>
    <row r="58" spans="2:6" ht="15">
      <c r="B58" s="551" t="s">
        <v>269</v>
      </c>
      <c r="C58" s="553">
        <v>0</v>
      </c>
      <c r="D58" s="127"/>
      <c r="E58" s="127"/>
      <c r="F58" s="127"/>
    </row>
    <row r="59" spans="2:6" ht="15">
      <c r="B59" s="551" t="s">
        <v>330</v>
      </c>
      <c r="C59" s="553">
        <v>0</v>
      </c>
      <c r="D59" s="127"/>
      <c r="E59" s="127"/>
      <c r="F59" s="127"/>
    </row>
    <row r="60" spans="2:6" ht="15">
      <c r="B60" s="551" t="s">
        <v>333</v>
      </c>
      <c r="C60" s="552">
        <f>C58*C59/10^6</f>
        <v>0</v>
      </c>
      <c r="D60" s="127"/>
      <c r="E60" s="127"/>
      <c r="F60" s="127"/>
    </row>
    <row r="61" spans="2:6" ht="15">
      <c r="B61" s="551" t="s">
        <v>270</v>
      </c>
      <c r="C61" s="553">
        <v>0</v>
      </c>
      <c r="D61" s="127"/>
      <c r="E61" s="127"/>
      <c r="F61" s="127"/>
    </row>
    <row r="62" spans="2:6" ht="15">
      <c r="B62" s="551" t="s">
        <v>271</v>
      </c>
      <c r="C62" s="553">
        <v>0</v>
      </c>
      <c r="D62" s="127"/>
      <c r="E62" s="127"/>
      <c r="F62" s="127"/>
    </row>
    <row r="63" spans="2:6" ht="15">
      <c r="B63" s="551" t="s">
        <v>272</v>
      </c>
      <c r="C63" s="553">
        <f>C61*C62/100</f>
        <v>0</v>
      </c>
      <c r="D63" s="127"/>
      <c r="E63" s="127"/>
      <c r="F63" s="127"/>
    </row>
    <row r="64" spans="2:6" ht="15">
      <c r="B64" s="551" t="s">
        <v>330</v>
      </c>
      <c r="C64" s="553">
        <v>0</v>
      </c>
      <c r="D64" s="127"/>
      <c r="E64" s="127"/>
      <c r="F64" s="127"/>
    </row>
    <row r="65" spans="2:6" ht="15">
      <c r="B65" s="551" t="s">
        <v>334</v>
      </c>
      <c r="C65" s="552">
        <f>C63*C64/10^6</f>
        <v>0</v>
      </c>
      <c r="D65" s="127"/>
      <c r="E65" s="127"/>
      <c r="F65" s="127"/>
    </row>
    <row r="66" spans="2:6" ht="15.75" thickBot="1">
      <c r="B66" s="545" t="s">
        <v>325</v>
      </c>
      <c r="C66" s="557">
        <f>C57+C60-C65</f>
        <v>0</v>
      </c>
      <c r="D66" s="127"/>
      <c r="E66" s="547"/>
      <c r="F66" s="127"/>
    </row>
    <row r="67" spans="2:6" ht="15">
      <c r="B67" s="127"/>
      <c r="C67" s="351"/>
      <c r="D67" s="127"/>
      <c r="E67" s="127"/>
      <c r="F67" s="127"/>
    </row>
    <row r="68" spans="2:6" ht="15.75" thickBot="1">
      <c r="B68" s="127"/>
      <c r="C68" s="351"/>
      <c r="D68" s="127"/>
      <c r="E68" s="127"/>
      <c r="F68" s="127"/>
    </row>
    <row r="69" spans="2:8" ht="30">
      <c r="B69" s="727"/>
      <c r="C69" s="562" t="s">
        <v>263</v>
      </c>
      <c r="D69" s="563" t="s">
        <v>261</v>
      </c>
      <c r="E69" s="563" t="s">
        <v>239</v>
      </c>
      <c r="F69" s="564" t="s">
        <v>262</v>
      </c>
      <c r="H69" s="74"/>
    </row>
    <row r="70" spans="2:13" ht="15.75" thickBot="1">
      <c r="B70" s="728"/>
      <c r="C70" s="565" t="s">
        <v>324</v>
      </c>
      <c r="D70" s="566" t="s">
        <v>118</v>
      </c>
      <c r="E70" s="566" t="s">
        <v>118</v>
      </c>
      <c r="F70" s="567" t="s">
        <v>324</v>
      </c>
      <c r="M70" s="74"/>
    </row>
    <row r="71" spans="2:8" ht="15">
      <c r="B71" s="568" t="s">
        <v>582</v>
      </c>
      <c r="C71" s="569">
        <f>C12</f>
        <v>0</v>
      </c>
      <c r="D71" s="570">
        <v>0</v>
      </c>
      <c r="E71" s="570">
        <v>0</v>
      </c>
      <c r="F71" s="571">
        <v>5302</v>
      </c>
      <c r="G71" s="5" t="s">
        <v>581</v>
      </c>
      <c r="H71" s="75"/>
    </row>
    <row r="72" spans="2:8" ht="15.75" thickBot="1">
      <c r="B72" s="572" t="s">
        <v>259</v>
      </c>
      <c r="C72" s="573">
        <f>C24</f>
        <v>0</v>
      </c>
      <c r="D72" s="574">
        <v>0</v>
      </c>
      <c r="E72" s="574">
        <v>0</v>
      </c>
      <c r="F72" s="575">
        <f aca="true" t="shared" si="0" ref="F72">C72-C72*(D72+E72)/100</f>
        <v>0</v>
      </c>
      <c r="G72" s="5" t="s">
        <v>542</v>
      </c>
      <c r="H72" s="75"/>
    </row>
    <row r="73" spans="2:8" ht="15.75" thickBot="1">
      <c r="B73" s="301" t="s">
        <v>260</v>
      </c>
      <c r="C73" s="576">
        <f>C71+C72</f>
        <v>0</v>
      </c>
      <c r="D73" s="577"/>
      <c r="E73" s="577"/>
      <c r="F73" s="578">
        <f>F71+F72</f>
        <v>5302</v>
      </c>
      <c r="H73" s="75"/>
    </row>
    <row r="74" spans="2:6" ht="15">
      <c r="B74" s="579" t="s">
        <v>256</v>
      </c>
      <c r="C74" s="580"/>
      <c r="D74" s="580"/>
      <c r="E74" s="580"/>
      <c r="F74" s="580"/>
    </row>
    <row r="75" spans="2:6" s="169" customFormat="1" ht="15">
      <c r="B75" s="561"/>
      <c r="C75" s="127"/>
      <c r="D75" s="127"/>
      <c r="E75" s="127"/>
      <c r="F75" s="127"/>
    </row>
    <row r="76" ht="15">
      <c r="C76" s="75"/>
    </row>
    <row r="77" s="169" customFormat="1" ht="15">
      <c r="C77" s="75"/>
    </row>
    <row r="78" ht="15">
      <c r="C78" s="75"/>
    </row>
    <row r="79" spans="2:8" ht="15">
      <c r="B79" s="44" t="s">
        <v>343</v>
      </c>
      <c r="C79" s="75"/>
      <c r="D79" s="169"/>
      <c r="E79" s="169"/>
      <c r="F79" s="169"/>
      <c r="G79" s="169"/>
      <c r="H79" s="169"/>
    </row>
    <row r="80" spans="2:8" ht="15">
      <c r="B80" s="28" t="s">
        <v>282</v>
      </c>
      <c r="C80" s="75"/>
      <c r="D80" s="169"/>
      <c r="E80" s="169"/>
      <c r="F80" s="169"/>
      <c r="G80" s="169"/>
      <c r="H80" s="169"/>
    </row>
    <row r="81" spans="2:3" ht="15.75" thickBot="1">
      <c r="B81" s="28"/>
      <c r="C81" s="4"/>
    </row>
    <row r="82" spans="2:12" ht="61.15" customHeight="1">
      <c r="B82" s="718"/>
      <c r="C82" s="132" t="s">
        <v>283</v>
      </c>
      <c r="D82" s="46" t="s">
        <v>369</v>
      </c>
      <c r="E82" s="47" t="s">
        <v>284</v>
      </c>
      <c r="F82" s="132" t="s">
        <v>291</v>
      </c>
      <c r="G82" s="47" t="s">
        <v>119</v>
      </c>
      <c r="H82" s="70" t="s">
        <v>117</v>
      </c>
      <c r="I82" s="46" t="s">
        <v>239</v>
      </c>
      <c r="J82" s="47" t="s">
        <v>292</v>
      </c>
      <c r="L82" s="74"/>
    </row>
    <row r="83" spans="2:13" ht="15.75" thickBot="1">
      <c r="B83" s="719"/>
      <c r="C83" s="101" t="s">
        <v>323</v>
      </c>
      <c r="D83" s="92" t="s">
        <v>88</v>
      </c>
      <c r="E83" s="93" t="s">
        <v>324</v>
      </c>
      <c r="F83" s="137" t="s">
        <v>118</v>
      </c>
      <c r="G83" s="102" t="s">
        <v>324</v>
      </c>
      <c r="H83" s="135" t="s">
        <v>118</v>
      </c>
      <c r="I83" s="136" t="s">
        <v>118</v>
      </c>
      <c r="J83" s="93" t="s">
        <v>324</v>
      </c>
      <c r="M83" s="74"/>
    </row>
    <row r="84" spans="2:13" ht="15">
      <c r="B84" s="99" t="s">
        <v>296</v>
      </c>
      <c r="C84" s="148"/>
      <c r="D84" s="96"/>
      <c r="E84" s="91"/>
      <c r="F84" s="158"/>
      <c r="G84" s="129"/>
      <c r="H84" s="154"/>
      <c r="I84" s="149"/>
      <c r="J84" s="142">
        <f>SUM(J85,J88,J91,J92)</f>
        <v>2581</v>
      </c>
      <c r="L84" s="75"/>
      <c r="M84" s="75"/>
    </row>
    <row r="85" spans="2:13" ht="15">
      <c r="B85" s="145" t="s">
        <v>285</v>
      </c>
      <c r="C85" s="150"/>
      <c r="D85" s="143"/>
      <c r="E85" s="63">
        <f>SUM(E86:E87)</f>
        <v>0</v>
      </c>
      <c r="F85" s="159">
        <v>0</v>
      </c>
      <c r="G85" s="63">
        <f>E85-E85*F85</f>
        <v>0</v>
      </c>
      <c r="H85" s="156">
        <v>0</v>
      </c>
      <c r="I85" s="151">
        <v>0</v>
      </c>
      <c r="J85" s="147">
        <v>2581</v>
      </c>
      <c r="K85" s="169" t="s">
        <v>581</v>
      </c>
      <c r="L85" s="75"/>
      <c r="M85" s="75"/>
    </row>
    <row r="86" spans="2:13" ht="15">
      <c r="B86" s="146" t="s">
        <v>289</v>
      </c>
      <c r="C86" s="188">
        <v>0</v>
      </c>
      <c r="D86" s="182">
        <v>0</v>
      </c>
      <c r="E86" s="63">
        <f>C86*D86/10^6</f>
        <v>0</v>
      </c>
      <c r="F86" s="159"/>
      <c r="G86" s="144"/>
      <c r="H86" s="155"/>
      <c r="I86" s="152"/>
      <c r="J86" s="147"/>
      <c r="M86" s="75"/>
    </row>
    <row r="87" spans="2:13" ht="15">
      <c r="B87" s="146" t="s">
        <v>290</v>
      </c>
      <c r="C87" s="188">
        <v>0</v>
      </c>
      <c r="D87" s="182">
        <v>0</v>
      </c>
      <c r="E87" s="63">
        <f>C87*D87/10^6</f>
        <v>0</v>
      </c>
      <c r="F87" s="159"/>
      <c r="G87" s="144"/>
      <c r="H87" s="155"/>
      <c r="I87" s="152"/>
      <c r="J87" s="147"/>
      <c r="M87" s="75"/>
    </row>
    <row r="88" spans="2:13" ht="15">
      <c r="B88" s="145" t="s">
        <v>286</v>
      </c>
      <c r="C88" s="189"/>
      <c r="D88" s="182"/>
      <c r="E88" s="63">
        <f>SUM(E89:E90)</f>
        <v>0</v>
      </c>
      <c r="F88" s="159">
        <v>0</v>
      </c>
      <c r="G88" s="63">
        <f>E88-E88*F88</f>
        <v>0</v>
      </c>
      <c r="H88" s="156">
        <v>0</v>
      </c>
      <c r="I88" s="151">
        <v>0</v>
      </c>
      <c r="J88" s="147">
        <f>G88-G88*(H88+I88)/100</f>
        <v>0</v>
      </c>
      <c r="L88" s="75"/>
      <c r="M88" s="75"/>
    </row>
    <row r="89" spans="2:13" ht="15">
      <c r="B89" s="146" t="s">
        <v>289</v>
      </c>
      <c r="C89" s="188">
        <v>0</v>
      </c>
      <c r="D89" s="182">
        <v>0</v>
      </c>
      <c r="E89" s="63">
        <f>C89*D89/10^6</f>
        <v>0</v>
      </c>
      <c r="F89" s="159"/>
      <c r="G89" s="144"/>
      <c r="H89" s="155"/>
      <c r="I89" s="152"/>
      <c r="J89" s="147"/>
      <c r="M89" s="75"/>
    </row>
    <row r="90" spans="2:13" ht="15">
      <c r="B90" s="146" t="s">
        <v>290</v>
      </c>
      <c r="C90" s="188">
        <v>0</v>
      </c>
      <c r="D90" s="182">
        <v>0</v>
      </c>
      <c r="E90" s="63">
        <f>C90*D90/10^6</f>
        <v>0</v>
      </c>
      <c r="F90" s="159"/>
      <c r="G90" s="144"/>
      <c r="H90" s="155"/>
      <c r="I90" s="152"/>
      <c r="J90" s="147"/>
      <c r="M90" s="75"/>
    </row>
    <row r="91" spans="2:13" ht="15">
      <c r="B91" s="145" t="s">
        <v>287</v>
      </c>
      <c r="C91" s="188">
        <v>0</v>
      </c>
      <c r="D91" s="182">
        <v>0</v>
      </c>
      <c r="E91" s="63">
        <f>C91*D91/10^6</f>
        <v>0</v>
      </c>
      <c r="F91" s="159">
        <v>0</v>
      </c>
      <c r="G91" s="63">
        <f>E91-E91*F91</f>
        <v>0</v>
      </c>
      <c r="H91" s="156">
        <v>0</v>
      </c>
      <c r="I91" s="151">
        <v>0</v>
      </c>
      <c r="J91" s="147">
        <f>G91-G91*(H91+I91)/100</f>
        <v>0</v>
      </c>
      <c r="L91" s="75"/>
      <c r="M91" s="75"/>
    </row>
    <row r="92" spans="2:13" ht="15.75" thickBot="1">
      <c r="B92" s="65" t="s">
        <v>288</v>
      </c>
      <c r="C92" s="190">
        <v>0</v>
      </c>
      <c r="D92" s="183">
        <v>0</v>
      </c>
      <c r="E92" s="62">
        <f>C92*D92/10^6</f>
        <v>0</v>
      </c>
      <c r="F92" s="160">
        <v>0</v>
      </c>
      <c r="G92" s="62">
        <f>E92-E92*F92</f>
        <v>0</v>
      </c>
      <c r="H92" s="157">
        <v>0</v>
      </c>
      <c r="I92" s="69">
        <v>0</v>
      </c>
      <c r="J92" s="153">
        <f>G92-G92*(H92+I92)/100</f>
        <v>0</v>
      </c>
      <c r="L92" s="75"/>
      <c r="M92" s="75"/>
    </row>
    <row r="93" spans="2:3" ht="15">
      <c r="B93" s="28"/>
      <c r="C93" s="4"/>
    </row>
    <row r="94" spans="2:9" ht="14.25" customHeight="1">
      <c r="B94" s="74"/>
      <c r="C94" s="4"/>
      <c r="I94" s="141"/>
    </row>
  </sheetData>
  <mergeCells count="2">
    <mergeCell ref="B69:B70"/>
    <mergeCell ref="B82:B83"/>
  </mergeCells>
  <printOptions/>
  <pageMargins left="0.7" right="0.7" top="0.787401575" bottom="0.787401575" header="0.3" footer="0.3"/>
  <pageSetup horizontalDpi="600" verticalDpi="600" orientation="portrait" paperSize="9" scale="50" r:id="rId3"/>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9"/>
  <sheetViews>
    <sheetView zoomScale="90" zoomScaleNormal="90" workbookViewId="0" topLeftCell="A1">
      <selection activeCell="A1" sqref="A1:XFD1048576"/>
    </sheetView>
  </sheetViews>
  <sheetFormatPr defaultColWidth="8.8515625" defaultRowHeight="15"/>
  <cols>
    <col min="1" max="1" width="5.00390625" style="169" bestFit="1" customWidth="1"/>
    <col min="2" max="2" width="73.8515625" style="169" customWidth="1"/>
    <col min="3" max="4" width="13.421875" style="169" customWidth="1"/>
    <col min="5" max="10" width="20.7109375" style="169" customWidth="1"/>
    <col min="11" max="16384" width="8.8515625" style="169" customWidth="1"/>
  </cols>
  <sheetData>
    <row r="1" spans="2:3" ht="18.75">
      <c r="B1" s="6" t="s">
        <v>294</v>
      </c>
      <c r="C1" s="6"/>
    </row>
    <row r="2" ht="4.5" customHeight="1"/>
    <row r="4" spans="2:4" ht="15">
      <c r="B4" s="7" t="s">
        <v>341</v>
      </c>
      <c r="C4" s="7"/>
      <c r="D4" s="729"/>
    </row>
    <row r="5" spans="2:4" ht="15">
      <c r="B5" s="28" t="s">
        <v>293</v>
      </c>
      <c r="C5" s="28"/>
      <c r="D5" s="729"/>
    </row>
    <row r="6" ht="15">
      <c r="D6" s="729"/>
    </row>
    <row r="7" spans="2:4" ht="15">
      <c r="B7" s="28" t="s">
        <v>376</v>
      </c>
      <c r="C7" s="28"/>
      <c r="D7" s="729"/>
    </row>
    <row r="8" ht="15.75" thickBot="1">
      <c r="D8" s="729"/>
    </row>
    <row r="9" spans="2:4" ht="15.75" thickBot="1">
      <c r="B9" s="917" t="s">
        <v>295</v>
      </c>
      <c r="C9" s="918"/>
      <c r="D9" s="919">
        <v>0</v>
      </c>
    </row>
    <row r="10" spans="2:4" ht="15.75" thickBot="1">
      <c r="B10" s="131" t="s">
        <v>677</v>
      </c>
      <c r="C10" s="920">
        <v>105.43892043427832</v>
      </c>
      <c r="D10" s="921">
        <v>103.60393126562563</v>
      </c>
    </row>
    <row r="11" spans="2:5" ht="15">
      <c r="B11" s="43" t="s">
        <v>678</v>
      </c>
      <c r="C11" s="922"/>
      <c r="D11" s="923">
        <v>4987</v>
      </c>
      <c r="E11" s="169" t="s">
        <v>679</v>
      </c>
    </row>
    <row r="12" spans="2:4" ht="15.75" thickBot="1">
      <c r="B12" s="180" t="s">
        <v>680</v>
      </c>
      <c r="C12" s="924"/>
      <c r="D12" s="925">
        <f>D11/D10*C10</f>
        <v>5075.327642322846</v>
      </c>
    </row>
    <row r="13" spans="2:4" ht="15">
      <c r="B13" s="543" t="str">
        <f>"Capital stock as of 31.12."&amp;RIGHT($B$4,4)-1&amp;" (in constant 2010 prices, million NAC)"</f>
        <v>Capital stock as of 31.12.2019 (in constant 2010 prices, million NAC)</v>
      </c>
      <c r="C13" s="926"/>
      <c r="D13" s="927">
        <v>0</v>
      </c>
    </row>
    <row r="14" spans="2:4" ht="15.75" thickBot="1">
      <c r="B14" s="407" t="str">
        <f>"Capital stock as of 31.12."&amp;RIGHT($B$4,4)&amp;" (in constant 2010 prices, million NAC)"</f>
        <v>Capital stock as of 31.12.2020 (in constant 2010 prices, million NAC)</v>
      </c>
      <c r="C14" s="928"/>
      <c r="D14" s="929">
        <f>D13+D12-D16</f>
        <v>5075.327642322846</v>
      </c>
    </row>
    <row r="15" spans="2:4" ht="15">
      <c r="B15" s="381" t="s">
        <v>335</v>
      </c>
      <c r="C15" s="930"/>
      <c r="D15" s="931">
        <f>D16*D10/100</f>
        <v>0</v>
      </c>
    </row>
    <row r="16" spans="2:4" ht="15.75" thickBot="1">
      <c r="B16" s="407" t="s">
        <v>336</v>
      </c>
      <c r="C16" s="928"/>
      <c r="D16" s="929">
        <f>D13*D9+D12*(1-(1-D9)^0.5)</f>
        <v>0</v>
      </c>
    </row>
    <row r="17" ht="15">
      <c r="D17" s="729"/>
    </row>
    <row r="18" ht="15">
      <c r="D18" s="729"/>
    </row>
    <row r="19" spans="2:3" ht="15">
      <c r="B19" s="134"/>
      <c r="C19" s="134"/>
    </row>
  </sheetData>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E27"/>
  <sheetViews>
    <sheetView zoomScale="90" zoomScaleNormal="90" workbookViewId="0" topLeftCell="A1">
      <selection activeCell="B14" sqref="B14"/>
    </sheetView>
  </sheetViews>
  <sheetFormatPr defaultColWidth="8.8515625" defaultRowHeight="15"/>
  <cols>
    <col min="1" max="1" width="5.00390625" style="169" bestFit="1" customWidth="1"/>
    <col min="2" max="2" width="67.421875" style="169" customWidth="1"/>
    <col min="3" max="12" width="20.7109375" style="169" customWidth="1"/>
    <col min="13" max="16384" width="8.8515625" style="169" customWidth="1"/>
  </cols>
  <sheetData>
    <row r="1" ht="18.75">
      <c r="B1" s="6" t="s">
        <v>378</v>
      </c>
    </row>
    <row r="2" ht="4.5" customHeight="1"/>
    <row r="4" spans="2:3" ht="15">
      <c r="B4" s="7" t="s">
        <v>340</v>
      </c>
      <c r="C4" s="729" t="s">
        <v>317</v>
      </c>
    </row>
    <row r="5" spans="2:5" ht="15">
      <c r="B5" s="28" t="s">
        <v>298</v>
      </c>
      <c r="C5" s="729"/>
      <c r="D5" s="74"/>
      <c r="E5" s="74"/>
    </row>
    <row r="6" ht="15">
      <c r="C6" s="729"/>
    </row>
    <row r="7" spans="2:3" ht="15">
      <c r="B7" s="28" t="s">
        <v>299</v>
      </c>
      <c r="C7" s="729"/>
    </row>
    <row r="8" spans="3:5" ht="15.75" thickBot="1">
      <c r="C8" s="729"/>
      <c r="E8" s="123"/>
    </row>
    <row r="9" spans="2:3" ht="15">
      <c r="B9" s="161" t="s">
        <v>20</v>
      </c>
      <c r="C9" s="932">
        <v>449</v>
      </c>
    </row>
    <row r="10" spans="2:3" ht="15">
      <c r="B10" s="162" t="s">
        <v>21</v>
      </c>
      <c r="C10" s="933">
        <v>0</v>
      </c>
    </row>
    <row r="11" spans="2:3" ht="15">
      <c r="B11" s="162" t="s">
        <v>300</v>
      </c>
      <c r="C11" s="933">
        <v>0</v>
      </c>
    </row>
    <row r="12" spans="2:3" ht="15">
      <c r="B12" s="162" t="s">
        <v>301</v>
      </c>
      <c r="C12" s="933">
        <v>0</v>
      </c>
    </row>
    <row r="13" spans="2:3" ht="15">
      <c r="B13" s="162" t="s">
        <v>22</v>
      </c>
      <c r="C13" s="933">
        <v>0</v>
      </c>
    </row>
    <row r="14" spans="2:3" ht="15.75" thickBot="1">
      <c r="B14" s="163" t="s">
        <v>302</v>
      </c>
      <c r="C14" s="934">
        <v>-469</v>
      </c>
    </row>
    <row r="15" spans="2:5" ht="15.75" thickBot="1">
      <c r="B15" s="131" t="s">
        <v>299</v>
      </c>
      <c r="C15" s="935">
        <f>SUM(C9:C14)</f>
        <v>-20</v>
      </c>
      <c r="E15" s="75"/>
    </row>
    <row r="16" ht="15">
      <c r="C16" s="729"/>
    </row>
    <row r="17" spans="2:3" ht="15">
      <c r="B17" s="127" t="s">
        <v>303</v>
      </c>
      <c r="C17" s="766"/>
    </row>
    <row r="18" spans="2:3" ht="15.75" thickBot="1">
      <c r="B18" s="127"/>
      <c r="C18" s="766"/>
    </row>
    <row r="19" spans="2:3" ht="15">
      <c r="B19" s="548" t="s">
        <v>304</v>
      </c>
      <c r="C19" s="936">
        <v>0</v>
      </c>
    </row>
    <row r="20" spans="2:3" ht="15">
      <c r="B20" s="937" t="s">
        <v>305</v>
      </c>
      <c r="C20" s="938">
        <v>0</v>
      </c>
    </row>
    <row r="21" spans="2:3" ht="15">
      <c r="B21" s="937" t="str">
        <f>"Price Index Input 1 for "&amp;RIGHT($B$4,4)-1&amp;" (2010=100)"</f>
        <v>Price Index Input 1 for 2019 (2010=100)</v>
      </c>
      <c r="C21" s="938">
        <v>0</v>
      </c>
    </row>
    <row r="22" spans="2:3" ht="15.75" thickBot="1">
      <c r="B22" s="937" t="str">
        <f>"Price Index Input 1 for "&amp;RIGHT($B$4,4)&amp;" (2010=100)"</f>
        <v>Price Index Input 1 for 2020 (2010=100)</v>
      </c>
      <c r="C22" s="938">
        <v>0</v>
      </c>
    </row>
    <row r="23" spans="2:5" ht="15.75" thickBot="1">
      <c r="B23" s="378" t="s">
        <v>303</v>
      </c>
      <c r="C23" s="939" t="e">
        <f>(C20/C22-C19/C21)*C22</f>
        <v>#DIV/0!</v>
      </c>
      <c r="E23" s="75"/>
    </row>
    <row r="24" spans="2:3" ht="15">
      <c r="B24" s="127"/>
      <c r="C24" s="127"/>
    </row>
    <row r="25" spans="2:3" ht="15">
      <c r="B25" s="127" t="s">
        <v>377</v>
      </c>
      <c r="C25" s="127"/>
    </row>
    <row r="26" spans="2:3" ht="15.75" thickBot="1">
      <c r="B26" s="127"/>
      <c r="C26" s="127"/>
    </row>
    <row r="27" spans="2:5" ht="15.75" thickBot="1">
      <c r="B27" s="378" t="s">
        <v>377</v>
      </c>
      <c r="C27" s="939" t="e">
        <f>C15+C23</f>
        <v>#DIV/0!</v>
      </c>
      <c r="E27" s="75"/>
    </row>
  </sheetData>
  <printOptions/>
  <pageMargins left="0.7" right="0.7" top="0.787401575" bottom="0.787401575" header="0.3" footer="0.3"/>
  <pageSetup horizontalDpi="600" verticalDpi="600" orientation="portrait" paperSize="9" r:id="rId3"/>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zoomScale="90" zoomScaleNormal="90" workbookViewId="0" topLeftCell="A1">
      <selection activeCell="B15" sqref="B15"/>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306</v>
      </c>
      <c r="D1" s="127"/>
    </row>
    <row r="2" ht="4.5" customHeight="1"/>
    <row r="3" spans="2:6" ht="15">
      <c r="B3" s="44" t="s">
        <v>339</v>
      </c>
      <c r="C3" s="67"/>
      <c r="D3" s="67"/>
      <c r="E3" s="67"/>
      <c r="F3" s="67"/>
    </row>
    <row r="4" spans="2:6" ht="15">
      <c r="B4" s="28" t="s">
        <v>307</v>
      </c>
      <c r="C4" s="67"/>
      <c r="D4" s="67"/>
      <c r="E4" s="67"/>
      <c r="F4" s="67"/>
    </row>
    <row r="5" spans="2:6" ht="15.75" thickBot="1">
      <c r="B5" s="28"/>
      <c r="C5" s="67"/>
      <c r="D5" s="74"/>
      <c r="E5" s="67"/>
      <c r="F5" s="67"/>
    </row>
    <row r="6" spans="2:3" ht="16.5" customHeight="1">
      <c r="B6" s="724" t="s">
        <v>194</v>
      </c>
      <c r="C6" s="118" t="s">
        <v>89</v>
      </c>
    </row>
    <row r="7" spans="2:4" ht="15">
      <c r="B7" s="725"/>
      <c r="C7" s="119" t="s">
        <v>10</v>
      </c>
      <c r="D7" s="66"/>
    </row>
    <row r="8" spans="2:4" ht="15.75" thickBot="1">
      <c r="B8" s="726"/>
      <c r="C8" s="120" t="s">
        <v>324</v>
      </c>
      <c r="D8" s="67"/>
    </row>
    <row r="9" spans="1:4" ht="15">
      <c r="A9" s="122"/>
      <c r="B9" s="71" t="s">
        <v>309</v>
      </c>
      <c r="C9" s="165">
        <f>SUM(C10:C11)</f>
        <v>206</v>
      </c>
      <c r="D9" s="141"/>
    </row>
    <row r="10" spans="1:3" ht="15">
      <c r="A10" s="164"/>
      <c r="B10" s="191" t="s">
        <v>584</v>
      </c>
      <c r="C10" s="124">
        <v>90</v>
      </c>
    </row>
    <row r="11" spans="1:3" ht="15.75" thickBot="1">
      <c r="A11" s="122"/>
      <c r="B11" s="191" t="s">
        <v>583</v>
      </c>
      <c r="C11" s="124">
        <v>116</v>
      </c>
    </row>
    <row r="12" spans="1:4" ht="15.75" thickBot="1">
      <c r="A12" s="122"/>
      <c r="B12" s="115" t="s">
        <v>308</v>
      </c>
      <c r="C12" s="125">
        <f>SUM(C10:C11)</f>
        <v>206</v>
      </c>
      <c r="D12" s="141"/>
    </row>
    <row r="14" spans="2:3" ht="15">
      <c r="B14" s="74"/>
      <c r="C14" s="75"/>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5"/>
  <sheetViews>
    <sheetView workbookViewId="0" topLeftCell="A1">
      <selection activeCell="G37" sqref="G37"/>
    </sheetView>
  </sheetViews>
  <sheetFormatPr defaultColWidth="8.8515625" defaultRowHeight="15"/>
  <cols>
    <col min="1" max="1" width="5.00390625" style="5" bestFit="1" customWidth="1"/>
    <col min="2" max="2" width="42.8515625" style="5" bestFit="1" customWidth="1"/>
    <col min="3" max="3" width="18.57421875" style="5" customWidth="1"/>
    <col min="4" max="4" width="11.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44</v>
      </c>
    </row>
    <row r="2" ht="4.5" customHeight="1"/>
    <row r="3" spans="2:3" ht="15">
      <c r="B3" s="7" t="s">
        <v>417</v>
      </c>
      <c r="C3" s="4" t="s">
        <v>27</v>
      </c>
    </row>
    <row r="4" spans="2:3" ht="15">
      <c r="B4" s="8" t="s">
        <v>45</v>
      </c>
      <c r="C4" s="4" t="s">
        <v>316</v>
      </c>
    </row>
    <row r="5" ht="14.25" customHeight="1">
      <c r="C5" s="4" t="s">
        <v>317</v>
      </c>
    </row>
    <row r="6" ht="14.25" customHeight="1" thickBot="1"/>
    <row r="7" spans="2:4" ht="16.5" customHeight="1" thickBot="1">
      <c r="B7" s="86"/>
      <c r="C7" s="87" t="s">
        <v>3</v>
      </c>
      <c r="D7" s="9"/>
    </row>
    <row r="8" spans="1:14" ht="15">
      <c r="A8" s="10">
        <v>1</v>
      </c>
      <c r="B8" s="84" t="s">
        <v>501</v>
      </c>
      <c r="C8" s="41">
        <f>32.419+79.27</f>
        <v>111.689</v>
      </c>
      <c r="D8" s="169"/>
      <c r="E8" s="169"/>
      <c r="F8" s="169"/>
      <c r="G8" s="169"/>
      <c r="H8" s="169"/>
      <c r="I8" s="169"/>
      <c r="J8" s="169"/>
      <c r="K8" s="169"/>
      <c r="L8" s="169"/>
      <c r="M8" s="169"/>
      <c r="N8" s="169"/>
    </row>
    <row r="9" spans="1:14" ht="15.75" thickBot="1">
      <c r="A9" s="10">
        <v>2</v>
      </c>
      <c r="B9" s="11" t="s">
        <v>500</v>
      </c>
      <c r="C9" s="321">
        <f>C8*0.95</f>
        <v>106.10454999999999</v>
      </c>
      <c r="D9" s="169"/>
      <c r="E9" s="169"/>
      <c r="F9" s="169"/>
      <c r="G9" s="169"/>
      <c r="H9" s="169"/>
      <c r="I9" s="169"/>
      <c r="J9" s="169"/>
      <c r="K9" s="169"/>
      <c r="L9" s="169"/>
      <c r="M9" s="169"/>
      <c r="N9" s="169"/>
    </row>
    <row r="10" spans="1:14" ht="15">
      <c r="A10" s="169"/>
      <c r="B10" s="12" t="s">
        <v>2</v>
      </c>
      <c r="C10" s="323">
        <f>C9</f>
        <v>106.10454999999999</v>
      </c>
      <c r="D10" s="169"/>
      <c r="E10" s="169"/>
      <c r="F10" s="169"/>
      <c r="G10" s="169"/>
      <c r="H10" s="169"/>
      <c r="I10" s="169"/>
      <c r="J10" s="169"/>
      <c r="K10" s="169"/>
      <c r="L10" s="169"/>
      <c r="M10" s="169"/>
      <c r="N10" s="169"/>
    </row>
    <row r="11" spans="2:3" s="169" customFormat="1" ht="15.75" thickBot="1">
      <c r="B11" s="13" t="s">
        <v>411</v>
      </c>
      <c r="C11" s="36">
        <f>C10</f>
        <v>106.10454999999999</v>
      </c>
    </row>
    <row r="12" spans="2:3" s="169" customFormat="1" ht="15">
      <c r="B12" s="14"/>
      <c r="C12" s="15"/>
    </row>
    <row r="13" spans="2:3" s="169" customFormat="1" ht="15">
      <c r="B13" s="14"/>
      <c r="C13" s="15"/>
    </row>
    <row r="14" spans="2:3" s="169" customFormat="1" ht="15.75" thickBot="1">
      <c r="B14" s="16"/>
      <c r="C14" s="17"/>
    </row>
    <row r="15" spans="2:14" s="169" customFormat="1" ht="16.5" customHeight="1">
      <c r="B15" s="657" t="s">
        <v>1</v>
      </c>
      <c r="C15" s="659" t="s">
        <v>3</v>
      </c>
      <c r="D15" s="661" t="s">
        <v>408</v>
      </c>
      <c r="E15" s="655" t="s">
        <v>5</v>
      </c>
      <c r="F15" s="656"/>
      <c r="G15" s="655" t="s">
        <v>6</v>
      </c>
      <c r="H15" s="656"/>
      <c r="I15" s="655" t="s">
        <v>12</v>
      </c>
      <c r="J15" s="656"/>
      <c r="K15" s="655" t="s">
        <v>7</v>
      </c>
      <c r="L15" s="656"/>
      <c r="N15" s="26"/>
    </row>
    <row r="16" spans="2:12" s="169" customFormat="1" ht="15.75" thickBot="1">
      <c r="B16" s="665"/>
      <c r="C16" s="666"/>
      <c r="D16" s="662"/>
      <c r="E16" s="81" t="s">
        <v>10</v>
      </c>
      <c r="F16" s="82" t="s">
        <v>11</v>
      </c>
      <c r="G16" s="81" t="s">
        <v>10</v>
      </c>
      <c r="H16" s="82" t="s">
        <v>11</v>
      </c>
      <c r="I16" s="81" t="s">
        <v>10</v>
      </c>
      <c r="J16" s="82" t="s">
        <v>11</v>
      </c>
      <c r="K16" s="81" t="s">
        <v>10</v>
      </c>
      <c r="L16" s="83" t="s">
        <v>11</v>
      </c>
    </row>
    <row r="17" spans="1:14" s="169" customFormat="1" ht="15">
      <c r="A17" s="10">
        <v>7</v>
      </c>
      <c r="B17" s="76" t="s">
        <v>502</v>
      </c>
      <c r="C17" s="77">
        <f>C11</f>
        <v>106.10454999999999</v>
      </c>
      <c r="D17" s="78">
        <v>159.41</v>
      </c>
      <c r="E17" s="79">
        <f>SUM(D17*C17/100)</f>
        <v>169.141263155</v>
      </c>
      <c r="F17" s="80">
        <f>E17*C24/D24</f>
        <v>167.953558930469</v>
      </c>
      <c r="G17" s="79"/>
      <c r="H17" s="80"/>
      <c r="I17" s="79"/>
      <c r="J17" s="80"/>
      <c r="K17" s="79"/>
      <c r="L17" s="80"/>
      <c r="N17" s="28"/>
    </row>
    <row r="18" spans="1:14" ht="15.75" thickBot="1">
      <c r="A18" s="10">
        <v>16</v>
      </c>
      <c r="B18" s="18" t="s">
        <v>25</v>
      </c>
      <c r="C18" s="32">
        <v>0</v>
      </c>
      <c r="D18" s="19" t="s">
        <v>315</v>
      </c>
      <c r="E18" s="20" t="s">
        <v>315</v>
      </c>
      <c r="F18" s="21"/>
      <c r="G18" s="20"/>
      <c r="H18" s="21"/>
      <c r="I18" s="20"/>
      <c r="J18" s="21"/>
      <c r="K18" s="20"/>
      <c r="L18" s="21"/>
      <c r="N18" s="28"/>
    </row>
    <row r="19" spans="1:12" ht="15.75" thickBot="1">
      <c r="A19" s="10">
        <v>17</v>
      </c>
      <c r="B19" s="22" t="s">
        <v>9</v>
      </c>
      <c r="C19" s="33">
        <f>SUM(C17:C18)</f>
        <v>106.10454999999999</v>
      </c>
      <c r="D19" s="322"/>
      <c r="E19" s="24">
        <f>E17</f>
        <v>169.141263155</v>
      </c>
      <c r="F19" s="25">
        <f>F17</f>
        <v>167.953558930469</v>
      </c>
      <c r="G19" s="24">
        <v>0</v>
      </c>
      <c r="H19" s="25">
        <v>0</v>
      </c>
      <c r="I19" s="24">
        <v>0</v>
      </c>
      <c r="J19" s="25">
        <v>0</v>
      </c>
      <c r="K19" s="24">
        <f>E19+G19-I19</f>
        <v>169.141263155</v>
      </c>
      <c r="L19" s="25">
        <f>F19+H19-J19</f>
        <v>167.953558930469</v>
      </c>
    </row>
    <row r="20" spans="3:12" ht="15">
      <c r="C20" s="14"/>
      <c r="E20" s="14"/>
      <c r="F20" s="14"/>
      <c r="G20" s="14"/>
      <c r="H20" s="14"/>
      <c r="I20" s="14"/>
      <c r="J20" s="14"/>
      <c r="K20" s="14"/>
      <c r="L20" s="14"/>
    </row>
    <row r="21" ht="15">
      <c r="B21" s="26"/>
    </row>
    <row r="22" ht="15.75" thickBot="1"/>
    <row r="23" spans="2:4" ht="15.75" thickBot="1">
      <c r="B23" s="86"/>
      <c r="C23" s="89">
        <v>2019</v>
      </c>
      <c r="D23" s="89">
        <v>2020</v>
      </c>
    </row>
    <row r="24" spans="2:4" ht="15">
      <c r="B24" s="181" t="s">
        <v>412</v>
      </c>
      <c r="C24" s="90">
        <v>110.3</v>
      </c>
      <c r="D24" s="90">
        <v>111.08</v>
      </c>
    </row>
    <row r="25" spans="2:4" ht="15.75" thickBot="1">
      <c r="B25" s="180" t="s">
        <v>413</v>
      </c>
      <c r="C25" s="27">
        <v>166.73</v>
      </c>
      <c r="D25" s="27">
        <v>217.11</v>
      </c>
    </row>
  </sheetData>
  <mergeCells count="7">
    <mergeCell ref="K15:L15"/>
    <mergeCell ref="B15:B16"/>
    <mergeCell ref="C15:C16"/>
    <mergeCell ref="D15:D16"/>
    <mergeCell ref="E15:F15"/>
    <mergeCell ref="G15:H15"/>
    <mergeCell ref="I15:J15"/>
  </mergeCells>
  <conditionalFormatting sqref="C21 N17:N18">
    <cfRule type="cellIs" priority="13" dxfId="1" operator="equal">
      <formula>FALSE</formula>
    </cfRule>
    <cfRule type="cellIs" priority="14" dxfId="0" operator="equal">
      <formula>TRUE</formula>
    </cfRule>
  </conditionalFormatting>
  <conditionalFormatting sqref="E21">
    <cfRule type="cellIs" priority="11" dxfId="1" operator="equal">
      <formula>FALSE</formula>
    </cfRule>
    <cfRule type="cellIs" priority="12" dxfId="0" operator="equal">
      <formula>TRUE</formula>
    </cfRule>
  </conditionalFormatting>
  <conditionalFormatting sqref="F21">
    <cfRule type="cellIs" priority="9" dxfId="1" operator="equal">
      <formula>FALSE</formula>
    </cfRule>
    <cfRule type="cellIs" priority="10" dxfId="0" operator="equal">
      <formula>TRUE</formula>
    </cfRule>
  </conditionalFormatting>
  <conditionalFormatting sqref="K21">
    <cfRule type="cellIs" priority="7" dxfId="1" operator="equal">
      <formula>FALSE</formula>
    </cfRule>
    <cfRule type="cellIs" priority="8" dxfId="0" operator="equal">
      <formula>TRUE</formula>
    </cfRule>
  </conditionalFormatting>
  <conditionalFormatting sqref="L21">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5"/>
  <sheetViews>
    <sheetView zoomScale="90" zoomScaleNormal="90" workbookViewId="0" topLeftCell="A1">
      <selection activeCell="C24" sqref="C24"/>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46</v>
      </c>
    </row>
    <row r="2" ht="4.5" customHeight="1"/>
    <row r="3" spans="2:3" ht="15">
      <c r="B3" s="7" t="s">
        <v>337</v>
      </c>
      <c r="C3" s="4" t="s">
        <v>27</v>
      </c>
    </row>
    <row r="4" spans="2:3" ht="15">
      <c r="B4" s="8" t="s">
        <v>47</v>
      </c>
      <c r="C4" s="4" t="s">
        <v>316</v>
      </c>
    </row>
    <row r="5" ht="14.25" customHeight="1">
      <c r="C5" s="4" t="s">
        <v>317</v>
      </c>
    </row>
    <row r="6" ht="14.25" customHeight="1" thickBot="1"/>
    <row r="7" spans="2:4" ht="16.5" customHeight="1" thickBot="1">
      <c r="B7" s="86"/>
      <c r="C7" s="87" t="s">
        <v>3</v>
      </c>
      <c r="D7" s="9"/>
    </row>
    <row r="8" spans="1:3" ht="15">
      <c r="A8" s="10">
        <v>1</v>
      </c>
      <c r="B8" s="84" t="s">
        <v>0</v>
      </c>
      <c r="C8" s="85">
        <f>2545267/1000</f>
        <v>2545.267</v>
      </c>
    </row>
    <row r="9" spans="1:3" ht="15">
      <c r="A9" s="10">
        <v>2</v>
      </c>
      <c r="B9" s="11" t="s">
        <v>8</v>
      </c>
      <c r="C9" s="30" t="s">
        <v>315</v>
      </c>
    </row>
    <row r="10" spans="1:3" ht="15">
      <c r="A10" s="10">
        <v>3</v>
      </c>
      <c r="B10" s="12" t="s">
        <v>2</v>
      </c>
      <c r="C10" s="31">
        <v>0</v>
      </c>
    </row>
    <row r="11" spans="1:3" ht="15">
      <c r="A11" s="10">
        <v>6</v>
      </c>
      <c r="B11" s="11" t="s">
        <v>29</v>
      </c>
      <c r="C11" s="30" t="s">
        <v>315</v>
      </c>
    </row>
    <row r="12" spans="2:3" ht="15.75" thickBot="1">
      <c r="B12" s="13" t="s">
        <v>30</v>
      </c>
      <c r="C12" s="36">
        <f>C8</f>
        <v>2545.267</v>
      </c>
    </row>
    <row r="13" spans="2:3" ht="15">
      <c r="B13" s="14"/>
      <c r="C13" s="15"/>
    </row>
    <row r="14" spans="2:3" ht="15.75" thickBot="1">
      <c r="B14" s="16"/>
      <c r="C14" s="17"/>
    </row>
    <row r="15" spans="2:14" ht="16.5" customHeight="1">
      <c r="B15" s="657" t="s">
        <v>1</v>
      </c>
      <c r="C15" s="659" t="s">
        <v>3</v>
      </c>
      <c r="D15" s="661" t="s">
        <v>408</v>
      </c>
      <c r="E15" s="663" t="s">
        <v>5</v>
      </c>
      <c r="F15" s="664"/>
      <c r="G15" s="663" t="s">
        <v>6</v>
      </c>
      <c r="H15" s="664"/>
      <c r="I15" s="663" t="s">
        <v>12</v>
      </c>
      <c r="J15" s="664"/>
      <c r="K15" s="655" t="s">
        <v>7</v>
      </c>
      <c r="L15" s="656"/>
      <c r="N15" s="26"/>
    </row>
    <row r="16" spans="2:12" ht="15.75" thickBot="1">
      <c r="B16" s="658"/>
      <c r="C16" s="660"/>
      <c r="D16" s="662"/>
      <c r="E16" s="81" t="s">
        <v>10</v>
      </c>
      <c r="F16" s="82" t="s">
        <v>11</v>
      </c>
      <c r="G16" s="81" t="s">
        <v>10</v>
      </c>
      <c r="H16" s="82" t="s">
        <v>11</v>
      </c>
      <c r="I16" s="81" t="s">
        <v>10</v>
      </c>
      <c r="J16" s="82" t="s">
        <v>11</v>
      </c>
      <c r="K16" s="81" t="s">
        <v>10</v>
      </c>
      <c r="L16" s="83" t="s">
        <v>11</v>
      </c>
    </row>
    <row r="17" spans="1:14" ht="15">
      <c r="A17" s="10">
        <v>7</v>
      </c>
      <c r="B17" s="76" t="s">
        <v>502</v>
      </c>
      <c r="C17" s="77">
        <f>C12</f>
        <v>2545.267</v>
      </c>
      <c r="D17" s="78">
        <v>20.05</v>
      </c>
      <c r="E17" s="79">
        <f>SUM(C17*D17/100)</f>
        <v>510.3260335</v>
      </c>
      <c r="F17" s="80">
        <f>E17*C24/D24</f>
        <v>469.34723479999997</v>
      </c>
      <c r="G17" s="79"/>
      <c r="H17" s="80"/>
      <c r="I17" s="79"/>
      <c r="J17" s="80"/>
      <c r="K17" s="79"/>
      <c r="L17" s="80"/>
      <c r="N17" s="28"/>
    </row>
    <row r="18" spans="1:14" ht="15.75" thickBot="1">
      <c r="A18" s="10">
        <v>16</v>
      </c>
      <c r="B18" s="18" t="s">
        <v>25</v>
      </c>
      <c r="C18" s="32">
        <v>0</v>
      </c>
      <c r="D18" s="19" t="s">
        <v>315</v>
      </c>
      <c r="E18" s="20" t="s">
        <v>315</v>
      </c>
      <c r="F18" s="21"/>
      <c r="G18" s="20"/>
      <c r="H18" s="21"/>
      <c r="I18" s="20"/>
      <c r="J18" s="21"/>
      <c r="K18" s="20"/>
      <c r="L18" s="21"/>
      <c r="N18" s="28"/>
    </row>
    <row r="19" spans="1:12" ht="15.75" thickBot="1">
      <c r="A19" s="10">
        <v>17</v>
      </c>
      <c r="B19" s="22" t="s">
        <v>9</v>
      </c>
      <c r="C19" s="33">
        <f>SUM(C17:C18)</f>
        <v>2545.267</v>
      </c>
      <c r="D19" s="23"/>
      <c r="E19" s="24">
        <f>E17</f>
        <v>510.3260335</v>
      </c>
      <c r="F19" s="25">
        <f>F17</f>
        <v>469.34723479999997</v>
      </c>
      <c r="G19" s="24">
        <v>0</v>
      </c>
      <c r="H19" s="25">
        <v>0</v>
      </c>
      <c r="I19" s="24">
        <v>0</v>
      </c>
      <c r="J19" s="25">
        <v>0</v>
      </c>
      <c r="K19" s="24">
        <f>E19+G19-I19</f>
        <v>510.3260335</v>
      </c>
      <c r="L19" s="25">
        <f>F19+H19-J19</f>
        <v>469.34723479999997</v>
      </c>
    </row>
    <row r="20" spans="3:12" ht="15">
      <c r="C20" s="14"/>
      <c r="E20" s="14"/>
      <c r="F20" s="14"/>
      <c r="G20" s="14"/>
      <c r="H20" s="14"/>
      <c r="I20" s="14"/>
      <c r="J20" s="14"/>
      <c r="K20" s="14"/>
      <c r="L20" s="14"/>
    </row>
    <row r="21" ht="15">
      <c r="B21" s="26"/>
    </row>
    <row r="22" ht="15.75" thickBot="1"/>
    <row r="23" spans="2:4" ht="15.75" thickBot="1">
      <c r="B23" s="86"/>
      <c r="C23" s="89">
        <v>2019</v>
      </c>
      <c r="D23" s="89">
        <v>2020</v>
      </c>
    </row>
    <row r="24" spans="2:4" ht="15">
      <c r="B24" s="181" t="s">
        <v>412</v>
      </c>
      <c r="C24" s="90">
        <v>68.52471200297288</v>
      </c>
      <c r="D24" s="90">
        <v>74.50761798587887</v>
      </c>
    </row>
    <row r="25" spans="2:4" ht="15.75" thickBot="1">
      <c r="B25" s="180" t="s">
        <v>413</v>
      </c>
      <c r="C25" s="27">
        <v>131.84507577649222</v>
      </c>
      <c r="D25" s="27">
        <v>143.87591004174823</v>
      </c>
    </row>
  </sheetData>
  <mergeCells count="7">
    <mergeCell ref="K15:L15"/>
    <mergeCell ref="B15:B16"/>
    <mergeCell ref="C15:C16"/>
    <mergeCell ref="D15:D16"/>
    <mergeCell ref="E15:F15"/>
    <mergeCell ref="G15:H15"/>
    <mergeCell ref="I15:J15"/>
  </mergeCells>
  <conditionalFormatting sqref="C21 N17:N18">
    <cfRule type="cellIs" priority="13" dxfId="1" operator="equal">
      <formula>FALSE</formula>
    </cfRule>
    <cfRule type="cellIs" priority="14" dxfId="0" operator="equal">
      <formula>TRUE</formula>
    </cfRule>
  </conditionalFormatting>
  <conditionalFormatting sqref="E21">
    <cfRule type="cellIs" priority="11" dxfId="1" operator="equal">
      <formula>FALSE</formula>
    </cfRule>
    <cfRule type="cellIs" priority="12" dxfId="0" operator="equal">
      <formula>TRUE</formula>
    </cfRule>
  </conditionalFormatting>
  <conditionalFormatting sqref="F21">
    <cfRule type="cellIs" priority="9" dxfId="1" operator="equal">
      <formula>FALSE</formula>
    </cfRule>
    <cfRule type="cellIs" priority="10" dxfId="0" operator="equal">
      <formula>TRUE</formula>
    </cfRule>
  </conditionalFormatting>
  <conditionalFormatting sqref="K21">
    <cfRule type="cellIs" priority="7" dxfId="1" operator="equal">
      <formula>FALSE</formula>
    </cfRule>
    <cfRule type="cellIs" priority="8" dxfId="0" operator="equal">
      <formula>TRUE</formula>
    </cfRule>
  </conditionalFormatting>
  <conditionalFormatting sqref="L21">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90" zoomScaleNormal="90" workbookViewId="0" topLeftCell="A1">
      <selection activeCell="F4" sqref="F4"/>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1:12" ht="18.75">
      <c r="A1" s="127"/>
      <c r="B1" s="376" t="s">
        <v>48</v>
      </c>
      <c r="C1" s="127"/>
      <c r="D1" s="127"/>
      <c r="E1" s="127"/>
      <c r="F1" s="127"/>
      <c r="G1" s="127"/>
      <c r="H1" s="127"/>
      <c r="I1" s="127"/>
      <c r="J1" s="127"/>
      <c r="K1" s="127"/>
      <c r="L1" s="127"/>
    </row>
    <row r="2" spans="1:12" ht="4.5" customHeight="1">
      <c r="A2" s="127"/>
      <c r="B2" s="127"/>
      <c r="C2" s="127"/>
      <c r="D2" s="127"/>
      <c r="E2" s="127"/>
      <c r="F2" s="127"/>
      <c r="G2" s="127"/>
      <c r="H2" s="127"/>
      <c r="I2" s="127"/>
      <c r="J2" s="127"/>
      <c r="K2" s="127"/>
      <c r="L2" s="127"/>
    </row>
    <row r="3" spans="1:12" ht="15">
      <c r="A3" s="127"/>
      <c r="B3" s="377" t="s">
        <v>338</v>
      </c>
      <c r="C3" s="351" t="s">
        <v>27</v>
      </c>
      <c r="D3" s="127"/>
      <c r="E3" s="127"/>
      <c r="F3" s="127"/>
      <c r="G3" s="127"/>
      <c r="H3" s="127"/>
      <c r="I3" s="127"/>
      <c r="J3" s="127"/>
      <c r="K3" s="127"/>
      <c r="L3" s="127"/>
    </row>
    <row r="4" spans="1:12" ht="15.75">
      <c r="A4" s="127"/>
      <c r="B4" s="127" t="s">
        <v>49</v>
      </c>
      <c r="C4" s="351" t="s">
        <v>316</v>
      </c>
      <c r="D4" s="127"/>
      <c r="E4" s="127"/>
      <c r="F4" s="198" t="s">
        <v>503</v>
      </c>
      <c r="G4" s="127"/>
      <c r="H4" s="127"/>
      <c r="I4" s="127"/>
      <c r="J4" s="127"/>
      <c r="K4" s="127"/>
      <c r="L4" s="127"/>
    </row>
    <row r="5" spans="1:12" ht="14.25" customHeight="1">
      <c r="A5" s="127"/>
      <c r="B5" s="127"/>
      <c r="C5" s="351" t="s">
        <v>317</v>
      </c>
      <c r="D5" s="127"/>
      <c r="E5" s="127"/>
      <c r="F5" s="127"/>
      <c r="G5" s="127"/>
      <c r="H5" s="127"/>
      <c r="I5" s="127"/>
      <c r="J5" s="127"/>
      <c r="K5" s="127"/>
      <c r="L5" s="127"/>
    </row>
    <row r="6" spans="1:12" ht="14.25" customHeight="1" thickBot="1">
      <c r="A6" s="127"/>
      <c r="B6" s="127"/>
      <c r="C6" s="127"/>
      <c r="D6" s="127"/>
      <c r="E6" s="127"/>
      <c r="F6" s="127"/>
      <c r="G6" s="127"/>
      <c r="H6" s="127"/>
      <c r="I6" s="127"/>
      <c r="J6" s="127"/>
      <c r="K6" s="127"/>
      <c r="L6" s="127"/>
    </row>
    <row r="7" spans="1:12" ht="16.5" customHeight="1" thickBot="1">
      <c r="A7" s="127"/>
      <c r="B7" s="378"/>
      <c r="C7" s="379" t="s">
        <v>3</v>
      </c>
      <c r="D7" s="380"/>
      <c r="E7" s="127"/>
      <c r="F7" s="127"/>
      <c r="G7" s="127"/>
      <c r="H7" s="127"/>
      <c r="I7" s="127"/>
      <c r="J7" s="127"/>
      <c r="K7" s="127"/>
      <c r="L7" s="127"/>
    </row>
    <row r="8" spans="1:12" ht="15">
      <c r="A8" s="595">
        <v>1</v>
      </c>
      <c r="B8" s="381" t="s">
        <v>0</v>
      </c>
      <c r="C8" s="596">
        <v>0</v>
      </c>
      <c r="D8" s="127"/>
      <c r="E8" s="127"/>
      <c r="F8" s="127"/>
      <c r="G8" s="127"/>
      <c r="H8" s="127"/>
      <c r="I8" s="127"/>
      <c r="J8" s="127"/>
      <c r="K8" s="127"/>
      <c r="L8" s="127"/>
    </row>
    <row r="9" spans="1:12" ht="15">
      <c r="A9" s="595">
        <v>2</v>
      </c>
      <c r="B9" s="382" t="s">
        <v>8</v>
      </c>
      <c r="C9" s="383" t="s">
        <v>315</v>
      </c>
      <c r="D9" s="127"/>
      <c r="E9" s="127"/>
      <c r="F9" s="127"/>
      <c r="G9" s="127"/>
      <c r="H9" s="127"/>
      <c r="I9" s="127"/>
      <c r="J9" s="127"/>
      <c r="K9" s="127"/>
      <c r="L9" s="127"/>
    </row>
    <row r="10" spans="1:12" ht="15">
      <c r="A10" s="595">
        <v>3</v>
      </c>
      <c r="B10" s="384" t="s">
        <v>2</v>
      </c>
      <c r="C10" s="597">
        <v>0</v>
      </c>
      <c r="D10" s="127"/>
      <c r="E10" s="127"/>
      <c r="F10" s="127"/>
      <c r="G10" s="127"/>
      <c r="H10" s="127"/>
      <c r="I10" s="127"/>
      <c r="J10" s="127"/>
      <c r="K10" s="127"/>
      <c r="L10" s="127"/>
    </row>
    <row r="11" spans="1:12" ht="15">
      <c r="A11" s="595">
        <v>6</v>
      </c>
      <c r="B11" s="382" t="s">
        <v>29</v>
      </c>
      <c r="C11" s="383" t="s">
        <v>315</v>
      </c>
      <c r="D11" s="127"/>
      <c r="E11" s="127"/>
      <c r="F11" s="127"/>
      <c r="G11" s="127"/>
      <c r="H11" s="127"/>
      <c r="I11" s="127"/>
      <c r="J11" s="127"/>
      <c r="K11" s="127"/>
      <c r="L11" s="127"/>
    </row>
    <row r="12" spans="1:12" ht="15.75" thickBot="1">
      <c r="A12" s="127"/>
      <c r="B12" s="385" t="s">
        <v>30</v>
      </c>
      <c r="C12" s="598">
        <f>IF(ISNUMBER(C11)=TRUE,C10-C11,C10)</f>
        <v>0</v>
      </c>
      <c r="D12" s="127"/>
      <c r="E12" s="127"/>
      <c r="F12" s="127"/>
      <c r="G12" s="127"/>
      <c r="H12" s="127"/>
      <c r="I12" s="127"/>
      <c r="J12" s="127"/>
      <c r="K12" s="127"/>
      <c r="L12" s="127"/>
    </row>
    <row r="13" spans="1:12" ht="15">
      <c r="A13" s="127"/>
      <c r="B13" s="386"/>
      <c r="C13" s="387"/>
      <c r="D13" s="127"/>
      <c r="E13" s="127"/>
      <c r="F13" s="127"/>
      <c r="G13" s="127"/>
      <c r="H13" s="127"/>
      <c r="I13" s="127"/>
      <c r="J13" s="127"/>
      <c r="K13" s="127"/>
      <c r="L13" s="127"/>
    </row>
    <row r="14" spans="1:12" ht="15.75" thickBot="1">
      <c r="A14" s="127"/>
      <c r="B14" s="388"/>
      <c r="C14" s="389"/>
      <c r="D14" s="127"/>
      <c r="E14" s="127"/>
      <c r="F14" s="127"/>
      <c r="G14" s="127"/>
      <c r="H14" s="127"/>
      <c r="I14" s="127"/>
      <c r="J14" s="127"/>
      <c r="K14" s="127"/>
      <c r="L14" s="127"/>
    </row>
    <row r="15" spans="1:14" ht="16.5" customHeight="1">
      <c r="A15" s="127"/>
      <c r="B15" s="669" t="s">
        <v>1</v>
      </c>
      <c r="C15" s="671" t="s">
        <v>3</v>
      </c>
      <c r="D15" s="673" t="s">
        <v>4</v>
      </c>
      <c r="E15" s="675" t="s">
        <v>5</v>
      </c>
      <c r="F15" s="676"/>
      <c r="G15" s="675" t="s">
        <v>6</v>
      </c>
      <c r="H15" s="676"/>
      <c r="I15" s="675" t="s">
        <v>12</v>
      </c>
      <c r="J15" s="676"/>
      <c r="K15" s="667" t="s">
        <v>7</v>
      </c>
      <c r="L15" s="668"/>
      <c r="N15" s="26"/>
    </row>
    <row r="16" spans="1:12" ht="15.75" thickBot="1">
      <c r="A16" s="127"/>
      <c r="B16" s="670"/>
      <c r="C16" s="672"/>
      <c r="D16" s="674"/>
      <c r="E16" s="390" t="s">
        <v>10</v>
      </c>
      <c r="F16" s="391" t="s">
        <v>11</v>
      </c>
      <c r="G16" s="390" t="s">
        <v>10</v>
      </c>
      <c r="H16" s="391" t="s">
        <v>11</v>
      </c>
      <c r="I16" s="390" t="s">
        <v>10</v>
      </c>
      <c r="J16" s="391" t="s">
        <v>11</v>
      </c>
      <c r="K16" s="390" t="s">
        <v>10</v>
      </c>
      <c r="L16" s="392" t="s">
        <v>11</v>
      </c>
    </row>
    <row r="17" spans="1:14" ht="15">
      <c r="A17" s="595">
        <v>7</v>
      </c>
      <c r="B17" s="381" t="s">
        <v>31</v>
      </c>
      <c r="C17" s="599" t="s">
        <v>315</v>
      </c>
      <c r="D17" s="393" t="s">
        <v>315</v>
      </c>
      <c r="E17" s="394" t="s">
        <v>315</v>
      </c>
      <c r="F17" s="395"/>
      <c r="G17" s="394"/>
      <c r="H17" s="395"/>
      <c r="I17" s="394"/>
      <c r="J17" s="395"/>
      <c r="K17" s="394"/>
      <c r="L17" s="395"/>
      <c r="N17" s="28"/>
    </row>
    <row r="18" spans="1:14" ht="15">
      <c r="A18" s="595">
        <v>8</v>
      </c>
      <c r="B18" s="396" t="s">
        <v>32</v>
      </c>
      <c r="C18" s="600" t="s">
        <v>315</v>
      </c>
      <c r="D18" s="397"/>
      <c r="E18" s="398"/>
      <c r="F18" s="399"/>
      <c r="G18" s="398"/>
      <c r="H18" s="399"/>
      <c r="I18" s="398"/>
      <c r="J18" s="399"/>
      <c r="K18" s="398"/>
      <c r="L18" s="399"/>
      <c r="N18" s="28"/>
    </row>
    <row r="19" spans="1:14" ht="15">
      <c r="A19" s="595">
        <v>10</v>
      </c>
      <c r="B19" s="396" t="s">
        <v>33</v>
      </c>
      <c r="C19" s="600" t="s">
        <v>315</v>
      </c>
      <c r="D19" s="397" t="s">
        <v>315</v>
      </c>
      <c r="E19" s="398" t="s">
        <v>315</v>
      </c>
      <c r="F19" s="399"/>
      <c r="G19" s="398"/>
      <c r="H19" s="399"/>
      <c r="I19" s="398"/>
      <c r="J19" s="399"/>
      <c r="K19" s="398"/>
      <c r="L19" s="399"/>
      <c r="N19" s="28"/>
    </row>
    <row r="20" spans="1:14" ht="15">
      <c r="A20" s="595">
        <v>11</v>
      </c>
      <c r="B20" s="396" t="s">
        <v>34</v>
      </c>
      <c r="C20" s="600" t="s">
        <v>315</v>
      </c>
      <c r="D20" s="397" t="s">
        <v>315</v>
      </c>
      <c r="E20" s="398" t="s">
        <v>315</v>
      </c>
      <c r="F20" s="399"/>
      <c r="G20" s="398"/>
      <c r="H20" s="399"/>
      <c r="I20" s="398"/>
      <c r="J20" s="399"/>
      <c r="K20" s="398"/>
      <c r="L20" s="399"/>
      <c r="N20" s="28"/>
    </row>
    <row r="21" spans="1:14" ht="15">
      <c r="A21" s="595" t="s">
        <v>35</v>
      </c>
      <c r="B21" s="396" t="s">
        <v>36</v>
      </c>
      <c r="C21" s="600" t="s">
        <v>315</v>
      </c>
      <c r="D21" s="397" t="s">
        <v>315</v>
      </c>
      <c r="E21" s="398" t="s">
        <v>315</v>
      </c>
      <c r="F21" s="399"/>
      <c r="G21" s="398"/>
      <c r="H21" s="399"/>
      <c r="I21" s="398"/>
      <c r="J21" s="399"/>
      <c r="K21" s="398"/>
      <c r="L21" s="399"/>
      <c r="N21" s="28"/>
    </row>
    <row r="22" spans="1:14" ht="15">
      <c r="A22" s="595" t="s">
        <v>37</v>
      </c>
      <c r="B22" s="396" t="s">
        <v>38</v>
      </c>
      <c r="C22" s="600">
        <v>0</v>
      </c>
      <c r="D22" s="397">
        <v>0</v>
      </c>
      <c r="E22" s="398">
        <v>0</v>
      </c>
      <c r="F22" s="399"/>
      <c r="G22" s="398"/>
      <c r="H22" s="399"/>
      <c r="I22" s="398"/>
      <c r="J22" s="399"/>
      <c r="K22" s="398"/>
      <c r="L22" s="399"/>
      <c r="N22" s="28"/>
    </row>
    <row r="23" spans="1:14" ht="15">
      <c r="A23" s="595" t="s">
        <v>39</v>
      </c>
      <c r="B23" s="396" t="s">
        <v>40</v>
      </c>
      <c r="C23" s="600" t="s">
        <v>315</v>
      </c>
      <c r="D23" s="397" t="s">
        <v>315</v>
      </c>
      <c r="E23" s="398" t="s">
        <v>315</v>
      </c>
      <c r="F23" s="399"/>
      <c r="G23" s="398"/>
      <c r="H23" s="399"/>
      <c r="I23" s="398"/>
      <c r="J23" s="399"/>
      <c r="K23" s="398"/>
      <c r="L23" s="399"/>
      <c r="N23" s="28"/>
    </row>
    <row r="24" spans="1:14" ht="15">
      <c r="A24" s="595">
        <v>13</v>
      </c>
      <c r="B24" s="396" t="s">
        <v>41</v>
      </c>
      <c r="C24" s="600" t="s">
        <v>315</v>
      </c>
      <c r="D24" s="397" t="s">
        <v>315</v>
      </c>
      <c r="E24" s="398" t="s">
        <v>315</v>
      </c>
      <c r="F24" s="399"/>
      <c r="G24" s="398"/>
      <c r="H24" s="399"/>
      <c r="I24" s="398"/>
      <c r="J24" s="399"/>
      <c r="K24" s="398"/>
      <c r="L24" s="399"/>
      <c r="N24" s="28"/>
    </row>
    <row r="25" spans="1:14" ht="15.75" thickBot="1">
      <c r="A25" s="595">
        <v>16</v>
      </c>
      <c r="B25" s="396" t="s">
        <v>25</v>
      </c>
      <c r="C25" s="600" t="s">
        <v>315</v>
      </c>
      <c r="D25" s="397" t="s">
        <v>315</v>
      </c>
      <c r="E25" s="398" t="s">
        <v>315</v>
      </c>
      <c r="F25" s="399"/>
      <c r="G25" s="398"/>
      <c r="H25" s="399"/>
      <c r="I25" s="398"/>
      <c r="J25" s="399"/>
      <c r="K25" s="398"/>
      <c r="L25" s="399"/>
      <c r="N25" s="28"/>
    </row>
    <row r="26" spans="1:12" ht="15.75" thickBot="1">
      <c r="A26" s="595">
        <v>17</v>
      </c>
      <c r="B26" s="400" t="s">
        <v>9</v>
      </c>
      <c r="C26" s="601">
        <f>SUM(C17:C25)</f>
        <v>0</v>
      </c>
      <c r="D26" s="401"/>
      <c r="E26" s="402">
        <v>0</v>
      </c>
      <c r="F26" s="403">
        <v>0</v>
      </c>
      <c r="G26" s="402">
        <v>0</v>
      </c>
      <c r="H26" s="403">
        <v>0</v>
      </c>
      <c r="I26" s="402">
        <v>0</v>
      </c>
      <c r="J26" s="403">
        <v>0</v>
      </c>
      <c r="K26" s="402">
        <f>E26+G26-I26</f>
        <v>0</v>
      </c>
      <c r="L26" s="403">
        <f>F26+H26-J26</f>
        <v>0</v>
      </c>
    </row>
    <row r="27" spans="1:12" ht="15">
      <c r="A27" s="127"/>
      <c r="B27" s="127"/>
      <c r="C27" s="386"/>
      <c r="D27" s="127"/>
      <c r="E27" s="386"/>
      <c r="F27" s="386"/>
      <c r="G27" s="386"/>
      <c r="H27" s="386"/>
      <c r="I27" s="386"/>
      <c r="J27" s="386"/>
      <c r="K27" s="386"/>
      <c r="L27" s="386"/>
    </row>
    <row r="28" spans="1:12" ht="15">
      <c r="A28" s="127"/>
      <c r="B28" s="26"/>
      <c r="C28" s="127"/>
      <c r="D28" s="127"/>
      <c r="E28" s="127"/>
      <c r="F28" s="127"/>
      <c r="G28" s="127"/>
      <c r="H28" s="127"/>
      <c r="I28" s="127"/>
      <c r="J28" s="127"/>
      <c r="K28" s="127"/>
      <c r="L28" s="127"/>
    </row>
    <row r="29" spans="1:12" ht="15.75" thickBot="1">
      <c r="A29" s="127"/>
      <c r="B29" s="127"/>
      <c r="C29" s="127"/>
      <c r="D29" s="127"/>
      <c r="E29" s="127"/>
      <c r="F29" s="127"/>
      <c r="G29" s="127"/>
      <c r="H29" s="127"/>
      <c r="I29" s="127"/>
      <c r="J29" s="127"/>
      <c r="K29" s="127"/>
      <c r="L29" s="127"/>
    </row>
    <row r="30" spans="1:12" ht="15.75" thickBot="1">
      <c r="A30" s="127"/>
      <c r="B30" s="378"/>
      <c r="C30" s="404">
        <v>2020</v>
      </c>
      <c r="D30" s="127"/>
      <c r="E30" s="127"/>
      <c r="F30" s="127"/>
      <c r="G30" s="127"/>
      <c r="H30" s="127"/>
      <c r="I30" s="127"/>
      <c r="J30" s="127"/>
      <c r="K30" s="127"/>
      <c r="L30" s="127"/>
    </row>
    <row r="31" spans="1:12" ht="15">
      <c r="A31" s="127"/>
      <c r="B31" s="405" t="s">
        <v>318</v>
      </c>
      <c r="C31" s="406">
        <v>0</v>
      </c>
      <c r="D31" s="127"/>
      <c r="E31" s="127"/>
      <c r="F31" s="127"/>
      <c r="G31" s="127"/>
      <c r="H31" s="127"/>
      <c r="I31" s="127"/>
      <c r="J31" s="127"/>
      <c r="K31" s="127"/>
      <c r="L31" s="127"/>
    </row>
    <row r="32" spans="1:12" ht="15.75" thickBot="1">
      <c r="A32" s="127"/>
      <c r="B32" s="407" t="s">
        <v>319</v>
      </c>
      <c r="C32" s="408">
        <v>0</v>
      </c>
      <c r="D32" s="127"/>
      <c r="E32" s="127"/>
      <c r="F32" s="127"/>
      <c r="G32" s="127"/>
      <c r="H32" s="127"/>
      <c r="I32" s="127"/>
      <c r="J32" s="127"/>
      <c r="K32" s="127"/>
      <c r="L32" s="127"/>
    </row>
    <row r="33" spans="1:12" ht="15">
      <c r="A33" s="127"/>
      <c r="B33" s="127"/>
      <c r="C33" s="127"/>
      <c r="D33" s="127"/>
      <c r="E33" s="127"/>
      <c r="F33" s="127"/>
      <c r="G33" s="127"/>
      <c r="H33" s="127"/>
      <c r="I33" s="127"/>
      <c r="J33" s="127"/>
      <c r="K33" s="127"/>
      <c r="L33" s="127"/>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3"/>
  <sheetViews>
    <sheetView zoomScale="90" zoomScaleNormal="90" workbookViewId="0" topLeftCell="A1">
      <selection activeCell="C23" sqref="C23"/>
    </sheetView>
  </sheetViews>
  <sheetFormatPr defaultColWidth="8.8515625" defaultRowHeight="15"/>
  <cols>
    <col min="1" max="1" width="5.00390625" style="5" bestFit="1" customWidth="1"/>
    <col min="2" max="2" width="42.8515625" style="5" bestFit="1" customWidth="1"/>
    <col min="3" max="3" width="20.7109375" style="5" bestFit="1" customWidth="1"/>
    <col min="4" max="4" width="11.4218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50</v>
      </c>
    </row>
    <row r="2" ht="4.5" customHeight="1"/>
    <row r="3" spans="2:3" ht="15">
      <c r="B3" s="7" t="s">
        <v>504</v>
      </c>
      <c r="C3" s="4" t="s">
        <v>505</v>
      </c>
    </row>
    <row r="4" spans="2:3" ht="15">
      <c r="B4" s="8"/>
      <c r="C4" s="4" t="s">
        <v>316</v>
      </c>
    </row>
    <row r="5" ht="14.25" customHeight="1">
      <c r="C5" s="4" t="s">
        <v>317</v>
      </c>
    </row>
    <row r="6" ht="14.25" customHeight="1" thickBot="1"/>
    <row r="7" spans="2:4" ht="16.5" customHeight="1" thickBot="1">
      <c r="B7" s="86"/>
      <c r="C7" s="87" t="s">
        <v>506</v>
      </c>
      <c r="D7" s="9"/>
    </row>
    <row r="8" spans="1:3" ht="15">
      <c r="A8" s="10">
        <v>1</v>
      </c>
      <c r="B8" s="84" t="s">
        <v>0</v>
      </c>
      <c r="C8" s="85">
        <v>1963.25</v>
      </c>
    </row>
    <row r="9" spans="1:3" ht="15">
      <c r="A9" s="10">
        <v>3</v>
      </c>
      <c r="B9" s="12" t="s">
        <v>2</v>
      </c>
      <c r="C9" s="31">
        <f>C8</f>
        <v>1963.25</v>
      </c>
    </row>
    <row r="10" spans="2:3" ht="15.75" thickBot="1">
      <c r="B10" s="13" t="s">
        <v>30</v>
      </c>
      <c r="C10" s="36">
        <f>IF(ISNUMBER(#REF!)=TRUE,C9-#REF!,C9)</f>
        <v>1963.25</v>
      </c>
    </row>
    <row r="11" spans="2:3" ht="15">
      <c r="B11" s="14"/>
      <c r="C11" s="15"/>
    </row>
    <row r="12" spans="2:3" ht="15.75" thickBot="1">
      <c r="B12" s="16"/>
      <c r="C12" s="17"/>
    </row>
    <row r="13" spans="2:14" ht="16.5" customHeight="1">
      <c r="B13" s="657" t="s">
        <v>1</v>
      </c>
      <c r="C13" s="659" t="s">
        <v>3</v>
      </c>
      <c r="D13" s="661" t="s">
        <v>508</v>
      </c>
      <c r="E13" s="663" t="s">
        <v>5</v>
      </c>
      <c r="F13" s="664"/>
      <c r="G13" s="663" t="s">
        <v>6</v>
      </c>
      <c r="H13" s="664"/>
      <c r="I13" s="663" t="s">
        <v>12</v>
      </c>
      <c r="J13" s="664"/>
      <c r="K13" s="655" t="s">
        <v>7</v>
      </c>
      <c r="L13" s="656"/>
      <c r="N13" s="26"/>
    </row>
    <row r="14" spans="2:12" ht="15.75" thickBot="1">
      <c r="B14" s="658"/>
      <c r="C14" s="660"/>
      <c r="D14" s="662"/>
      <c r="E14" s="81" t="s">
        <v>10</v>
      </c>
      <c r="F14" s="82" t="s">
        <v>11</v>
      </c>
      <c r="G14" s="81" t="s">
        <v>10</v>
      </c>
      <c r="H14" s="82" t="s">
        <v>11</v>
      </c>
      <c r="I14" s="81" t="s">
        <v>10</v>
      </c>
      <c r="J14" s="82" t="s">
        <v>11</v>
      </c>
      <c r="K14" s="81" t="s">
        <v>10</v>
      </c>
      <c r="L14" s="83" t="s">
        <v>11</v>
      </c>
    </row>
    <row r="15" spans="1:14" ht="15">
      <c r="A15" s="10">
        <v>7</v>
      </c>
      <c r="B15" s="76" t="s">
        <v>507</v>
      </c>
      <c r="C15" s="77">
        <f>C10</f>
        <v>1963.25</v>
      </c>
      <c r="D15" s="324">
        <v>1.16</v>
      </c>
      <c r="E15" s="79">
        <f>SUM(D15*C15)</f>
        <v>2277.37</v>
      </c>
      <c r="F15" s="80">
        <f>E15*C22/D22</f>
        <v>2277.37</v>
      </c>
      <c r="G15" s="79"/>
      <c r="H15" s="80"/>
      <c r="I15" s="79"/>
      <c r="J15" s="80"/>
      <c r="K15" s="79"/>
      <c r="L15" s="80"/>
      <c r="N15" s="28"/>
    </row>
    <row r="16" spans="1:14" ht="15.75" thickBot="1">
      <c r="A16" s="10">
        <v>16</v>
      </c>
      <c r="B16" s="18" t="s">
        <v>25</v>
      </c>
      <c r="C16" s="32">
        <v>0</v>
      </c>
      <c r="D16" s="19" t="s">
        <v>315</v>
      </c>
      <c r="E16" s="20" t="s">
        <v>315</v>
      </c>
      <c r="F16" s="21"/>
      <c r="G16" s="20"/>
      <c r="H16" s="21"/>
      <c r="I16" s="20"/>
      <c r="J16" s="21"/>
      <c r="K16" s="20"/>
      <c r="L16" s="21"/>
      <c r="N16" s="28"/>
    </row>
    <row r="17" spans="1:12" ht="15.75" thickBot="1">
      <c r="A17" s="10">
        <v>17</v>
      </c>
      <c r="B17" s="22" t="s">
        <v>9</v>
      </c>
      <c r="C17" s="33">
        <f>SUM(C15:C16)</f>
        <v>1963.25</v>
      </c>
      <c r="D17" s="23"/>
      <c r="E17" s="24">
        <f>E15</f>
        <v>2277.37</v>
      </c>
      <c r="F17" s="25">
        <f>F15</f>
        <v>2277.37</v>
      </c>
      <c r="G17" s="24">
        <v>0</v>
      </c>
      <c r="H17" s="25">
        <v>0</v>
      </c>
      <c r="I17" s="24">
        <v>0</v>
      </c>
      <c r="J17" s="25">
        <v>0</v>
      </c>
      <c r="K17" s="24">
        <f>E17+G17-I17</f>
        <v>2277.37</v>
      </c>
      <c r="L17" s="25">
        <f>F17+H17-J17</f>
        <v>2277.37</v>
      </c>
    </row>
    <row r="18" spans="3:12" ht="15">
      <c r="C18" s="14"/>
      <c r="E18" s="14"/>
      <c r="F18" s="14"/>
      <c r="G18" s="14"/>
      <c r="H18" s="14"/>
      <c r="I18" s="14"/>
      <c r="J18" s="14"/>
      <c r="K18" s="14"/>
      <c r="L18" s="14"/>
    </row>
    <row r="19" ht="15">
      <c r="B19" s="26"/>
    </row>
    <row r="20" ht="15.75" thickBot="1"/>
    <row r="21" spans="2:4" ht="15.75" thickBot="1">
      <c r="B21" s="86"/>
      <c r="C21" s="89">
        <v>2019</v>
      </c>
      <c r="D21" s="89">
        <v>2020</v>
      </c>
    </row>
    <row r="22" spans="2:4" ht="15">
      <c r="B22" s="170" t="s">
        <v>509</v>
      </c>
      <c r="C22" s="90">
        <v>1.16</v>
      </c>
      <c r="D22" s="90">
        <v>1.16</v>
      </c>
    </row>
    <row r="23" spans="2:4" ht="15.75" thickBot="1">
      <c r="B23" s="325" t="s">
        <v>510</v>
      </c>
      <c r="C23" s="27">
        <v>1819.85</v>
      </c>
      <c r="D23" s="27">
        <v>1963.25</v>
      </c>
    </row>
  </sheetData>
  <mergeCells count="7">
    <mergeCell ref="K13:L13"/>
    <mergeCell ref="B13:B14"/>
    <mergeCell ref="C13:C14"/>
    <mergeCell ref="D13:D14"/>
    <mergeCell ref="E13:F13"/>
    <mergeCell ref="G13:H13"/>
    <mergeCell ref="I13:J13"/>
  </mergeCells>
  <conditionalFormatting sqref="C19 N15:N16">
    <cfRule type="cellIs" priority="13" dxfId="1" operator="equal">
      <formula>FALSE</formula>
    </cfRule>
    <cfRule type="cellIs" priority="14" dxfId="0" operator="equal">
      <formula>TRUE</formula>
    </cfRule>
  </conditionalFormatting>
  <conditionalFormatting sqref="E19">
    <cfRule type="cellIs" priority="11" dxfId="1" operator="equal">
      <formula>FALSE</formula>
    </cfRule>
    <cfRule type="cellIs" priority="12" dxfId="0" operator="equal">
      <formula>TRUE</formula>
    </cfRule>
  </conditionalFormatting>
  <conditionalFormatting sqref="F19">
    <cfRule type="cellIs" priority="9" dxfId="1" operator="equal">
      <formula>FALSE</formula>
    </cfRule>
    <cfRule type="cellIs" priority="10" dxfId="0" operator="equal">
      <formula>TRUE</formula>
    </cfRule>
  </conditionalFormatting>
  <conditionalFormatting sqref="K19">
    <cfRule type="cellIs" priority="7" dxfId="1" operator="equal">
      <formula>FALSE</formula>
    </cfRule>
    <cfRule type="cellIs" priority="8" dxfId="0" operator="equal">
      <formula>TRUE</formula>
    </cfRule>
  </conditionalFormatting>
  <conditionalFormatting sqref="L19">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5"/>
  <sheetViews>
    <sheetView zoomScale="90" zoomScaleNormal="90" workbookViewId="0" topLeftCell="A1">
      <selection activeCell="H29" sqref="H29"/>
    </sheetView>
  </sheetViews>
  <sheetFormatPr defaultColWidth="8.8515625" defaultRowHeight="15"/>
  <cols>
    <col min="1" max="1" width="5.00390625" style="5" bestFit="1" customWidth="1"/>
    <col min="2" max="2" width="42.8515625" style="5" bestFit="1" customWidth="1"/>
    <col min="3" max="3" width="20.7109375" style="5" bestFit="1" customWidth="1"/>
    <col min="4" max="4" width="10.140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51</v>
      </c>
    </row>
    <row r="2" ht="4.5" customHeight="1"/>
    <row r="3" spans="2:3" ht="15">
      <c r="B3" s="7" t="s">
        <v>512</v>
      </c>
      <c r="C3" s="4" t="s">
        <v>27</v>
      </c>
    </row>
    <row r="4" spans="2:3" ht="15">
      <c r="B4" s="8" t="s">
        <v>52</v>
      </c>
      <c r="C4" s="4" t="s">
        <v>316</v>
      </c>
    </row>
    <row r="5" ht="14.25" customHeight="1">
      <c r="C5" s="4" t="s">
        <v>317</v>
      </c>
    </row>
    <row r="6" ht="14.25" customHeight="1" thickBot="1"/>
    <row r="7" spans="2:4" ht="16.5" customHeight="1" thickBot="1">
      <c r="B7" s="86"/>
      <c r="C7" s="87" t="s">
        <v>3</v>
      </c>
      <c r="D7" s="9"/>
    </row>
    <row r="8" spans="1:3" ht="15">
      <c r="A8" s="10">
        <v>1</v>
      </c>
      <c r="B8" s="84" t="s">
        <v>0</v>
      </c>
      <c r="C8" s="85">
        <f>11390/1000</f>
        <v>11.39</v>
      </c>
    </row>
    <row r="9" spans="1:3" ht="15">
      <c r="A9" s="10">
        <v>2</v>
      </c>
      <c r="B9" s="11" t="s">
        <v>8</v>
      </c>
      <c r="C9" s="30">
        <v>0</v>
      </c>
    </row>
    <row r="10" spans="1:3" ht="15">
      <c r="A10" s="10">
        <v>3</v>
      </c>
      <c r="B10" s="12" t="s">
        <v>2</v>
      </c>
      <c r="C10" s="31">
        <f>C8</f>
        <v>11.39</v>
      </c>
    </row>
    <row r="11" spans="1:3" ht="15">
      <c r="A11" s="10">
        <v>6</v>
      </c>
      <c r="B11" s="11" t="s">
        <v>29</v>
      </c>
      <c r="C11" s="30">
        <v>0</v>
      </c>
    </row>
    <row r="12" spans="2:3" ht="15.75" thickBot="1">
      <c r="B12" s="13" t="s">
        <v>30</v>
      </c>
      <c r="C12" s="36">
        <f>IF(ISNUMBER(C11)=TRUE,C10-C11,C10)</f>
        <v>11.39</v>
      </c>
    </row>
    <row r="13" spans="2:3" ht="15">
      <c r="B13" s="14"/>
      <c r="C13" s="15"/>
    </row>
    <row r="14" spans="2:3" ht="15.75" thickBot="1">
      <c r="B14" s="16"/>
      <c r="C14" s="17"/>
    </row>
    <row r="15" spans="2:14" ht="16.5" customHeight="1">
      <c r="B15" s="657" t="s">
        <v>1</v>
      </c>
      <c r="C15" s="659" t="s">
        <v>3</v>
      </c>
      <c r="D15" s="661" t="s">
        <v>408</v>
      </c>
      <c r="E15" s="663" t="s">
        <v>5</v>
      </c>
      <c r="F15" s="664"/>
      <c r="G15" s="663" t="s">
        <v>6</v>
      </c>
      <c r="H15" s="664"/>
      <c r="I15" s="663" t="s">
        <v>12</v>
      </c>
      <c r="J15" s="664"/>
      <c r="K15" s="655" t="s">
        <v>7</v>
      </c>
      <c r="L15" s="656"/>
      <c r="N15" s="26"/>
    </row>
    <row r="16" spans="2:12" ht="15.75" thickBot="1">
      <c r="B16" s="658"/>
      <c r="C16" s="660"/>
      <c r="D16" s="662"/>
      <c r="E16" s="81" t="s">
        <v>10</v>
      </c>
      <c r="F16" s="82" t="s">
        <v>11</v>
      </c>
      <c r="G16" s="81" t="s">
        <v>10</v>
      </c>
      <c r="H16" s="82" t="s">
        <v>11</v>
      </c>
      <c r="I16" s="81" t="s">
        <v>10</v>
      </c>
      <c r="J16" s="82" t="s">
        <v>11</v>
      </c>
      <c r="K16" s="81" t="s">
        <v>10</v>
      </c>
      <c r="L16" s="83" t="s">
        <v>11</v>
      </c>
    </row>
    <row r="17" spans="1:14" ht="15">
      <c r="A17" s="10">
        <v>7</v>
      </c>
      <c r="B17" s="76" t="s">
        <v>511</v>
      </c>
      <c r="C17" s="77">
        <f>C8</f>
        <v>11.39</v>
      </c>
      <c r="D17" s="78">
        <v>1995.8</v>
      </c>
      <c r="E17" s="79">
        <f>SUM(C17*D17/100)</f>
        <v>227.32162</v>
      </c>
      <c r="F17" s="80">
        <f>E17*C24/D24</f>
        <v>219.19470479253735</v>
      </c>
      <c r="G17" s="79"/>
      <c r="H17" s="80"/>
      <c r="I17" s="79"/>
      <c r="J17" s="80"/>
      <c r="K17" s="79"/>
      <c r="L17" s="80"/>
      <c r="N17" s="28"/>
    </row>
    <row r="18" spans="1:14" ht="15.75" thickBot="1">
      <c r="A18" s="10">
        <v>16</v>
      </c>
      <c r="B18" s="18" t="s">
        <v>25</v>
      </c>
      <c r="C18" s="32">
        <v>0</v>
      </c>
      <c r="D18" s="19" t="s">
        <v>315</v>
      </c>
      <c r="E18" s="20" t="s">
        <v>315</v>
      </c>
      <c r="F18" s="21"/>
      <c r="G18" s="20"/>
      <c r="H18" s="21"/>
      <c r="I18" s="20"/>
      <c r="J18" s="21"/>
      <c r="K18" s="20"/>
      <c r="L18" s="21"/>
      <c r="N18" s="28"/>
    </row>
    <row r="19" spans="1:12" ht="15.75" thickBot="1">
      <c r="A19" s="10">
        <v>17</v>
      </c>
      <c r="B19" s="22" t="s">
        <v>9</v>
      </c>
      <c r="C19" s="33">
        <f>SUM(C17:C18)</f>
        <v>11.39</v>
      </c>
      <c r="D19" s="23"/>
      <c r="E19" s="24">
        <f>E17</f>
        <v>227.32162</v>
      </c>
      <c r="F19" s="24">
        <f>F17</f>
        <v>219.19470479253735</v>
      </c>
      <c r="G19" s="24">
        <v>0</v>
      </c>
      <c r="H19" s="24">
        <v>0</v>
      </c>
      <c r="I19" s="24">
        <v>0</v>
      </c>
      <c r="J19" s="24">
        <v>0</v>
      </c>
      <c r="K19" s="24">
        <f>E19+G19-I19</f>
        <v>227.32162</v>
      </c>
      <c r="L19" s="25">
        <f>F19+H19-J19</f>
        <v>219.19470479253735</v>
      </c>
    </row>
    <row r="20" spans="3:12" ht="15">
      <c r="C20" s="14"/>
      <c r="E20" s="14"/>
      <c r="F20" s="14"/>
      <c r="G20" s="14"/>
      <c r="H20" s="14"/>
      <c r="I20" s="14"/>
      <c r="J20" s="14"/>
      <c r="K20" s="14"/>
      <c r="L20" s="14"/>
    </row>
    <row r="21" ht="15">
      <c r="B21" s="26"/>
    </row>
    <row r="22" ht="15.75" thickBot="1"/>
    <row r="23" spans="2:4" ht="15.75" thickBot="1">
      <c r="B23" s="86"/>
      <c r="C23" s="89">
        <v>2019</v>
      </c>
      <c r="D23" s="89">
        <v>2020</v>
      </c>
    </row>
    <row r="24" spans="2:4" ht="15">
      <c r="B24" s="181" t="s">
        <v>412</v>
      </c>
      <c r="C24" s="90">
        <v>107.1499777030661</v>
      </c>
      <c r="D24" s="90">
        <v>111.12269585836334</v>
      </c>
    </row>
    <row r="25" spans="2:5" ht="15.75" thickBot="1">
      <c r="B25" s="180" t="s">
        <v>413</v>
      </c>
      <c r="C25" s="27"/>
      <c r="D25" s="27"/>
      <c r="E25" s="5" t="s">
        <v>528</v>
      </c>
    </row>
  </sheetData>
  <mergeCells count="7">
    <mergeCell ref="K15:L15"/>
    <mergeCell ref="B15:B16"/>
    <mergeCell ref="C15:C16"/>
    <mergeCell ref="D15:D16"/>
    <mergeCell ref="E15:F15"/>
    <mergeCell ref="G15:H15"/>
    <mergeCell ref="I15:J15"/>
  </mergeCells>
  <conditionalFormatting sqref="C21 N17:N18">
    <cfRule type="cellIs" priority="13" dxfId="1" operator="equal">
      <formula>FALSE</formula>
    </cfRule>
    <cfRule type="cellIs" priority="14" dxfId="0" operator="equal">
      <formula>TRUE</formula>
    </cfRule>
  </conditionalFormatting>
  <conditionalFormatting sqref="E21">
    <cfRule type="cellIs" priority="11" dxfId="1" operator="equal">
      <formula>FALSE</formula>
    </cfRule>
    <cfRule type="cellIs" priority="12" dxfId="0" operator="equal">
      <formula>TRUE</formula>
    </cfRule>
  </conditionalFormatting>
  <conditionalFormatting sqref="F21">
    <cfRule type="cellIs" priority="9" dxfId="1" operator="equal">
      <formula>FALSE</formula>
    </cfRule>
    <cfRule type="cellIs" priority="10" dxfId="0" operator="equal">
      <formula>TRUE</formula>
    </cfRule>
  </conditionalFormatting>
  <conditionalFormatting sqref="K21">
    <cfRule type="cellIs" priority="7" dxfId="1" operator="equal">
      <formula>FALSE</formula>
    </cfRule>
    <cfRule type="cellIs" priority="8" dxfId="0" operator="equal">
      <formula>TRUE</formula>
    </cfRule>
  </conditionalFormatting>
  <conditionalFormatting sqref="L21">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 Fornavn Efternavn</cp:lastModifiedBy>
  <cp:lastPrinted>2016-09-08T14:26:34Z</cp:lastPrinted>
  <dcterms:created xsi:type="dcterms:W3CDTF">2016-01-21T15:35:08Z</dcterms:created>
  <dcterms:modified xsi:type="dcterms:W3CDTF">2024-03-04T10:40:38Z</dcterms:modified>
  <cp:category/>
  <cp:version/>
  <cp:contentType/>
  <cp:contentStatus/>
</cp:coreProperties>
</file>