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SE"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'Instructions'!$B$1:$I$52</definedName>
    <definedName name="_xlnm.Print_Area" localSheetId="1">'Part I'!$B$1:$N$253</definedName>
    <definedName name="_xlnm.Print_Area" localSheetId="5">'SE'!$A$1:$AS$148</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<sst xmlns="http://schemas.openxmlformats.org/spreadsheetml/2006/main" count="3698" uniqueCount="2147">
  <si>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</si>
  <si>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</si>
  <si>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</si>
  <si>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</si>
  <si>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</si>
  <si>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</si>
  <si>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</si>
  <si>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</si>
  <si>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</si>
  <si>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</si>
  <si>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</si>
  <si>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</si>
  <si>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</si>
  <si>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</si>
  <si>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</si>
  <si>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</si>
  <si>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</si>
  <si>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</si>
  <si>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</si>
  <si>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</si>
  <si>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</si>
  <si>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</si>
  <si>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</si>
  <si>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</si>
  <si>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</si>
  <si>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</si>
  <si>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</si>
  <si>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</si>
  <si>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</si>
  <si>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</si>
  <si>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</si>
  <si>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</si>
  <si>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</si>
  <si>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</si>
  <si>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</si>
  <si>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</si>
  <si>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</si>
  <si>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</si>
  <si>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</si>
  <si>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</si>
  <si>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</si>
  <si>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</si>
  <si>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</si>
  <si>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</si>
  <si>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</si>
  <si>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</si>
  <si>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</si>
  <si>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</si>
  <si>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</si>
  <si>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</si>
  <si>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</si>
  <si>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</si>
  <si>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</si>
  <si>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</si>
  <si>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</si>
  <si>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</si>
  <si>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</si>
  <si>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</si>
  <si>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</si>
  <si>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</si>
  <si>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</si>
  <si>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</si>
  <si>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</si>
  <si>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</si>
  <si>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</si>
  <si>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</si>
  <si>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</si>
  <si>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</si>
  <si>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</si>
  <si>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</si>
  <si>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</si>
  <si>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</si>
  <si>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</si>
  <si>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</si>
  <si>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</si>
  <si>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</si>
  <si>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</si>
  <si>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</si>
  <si>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</si>
  <si>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</si>
  <si>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</si>
  <si>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</si>
  <si>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</si>
  <si>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</si>
  <si>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</si>
  <si>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</si>
  <si>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</si>
  <si>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</si>
  <si>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</si>
  <si>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</si>
  <si>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</si>
  <si>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</si>
  <si>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</si>
  <si>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</si>
  <si>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</si>
  <si>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</si>
  <si>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</si>
  <si>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</si>
  <si>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</si>
  <si>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</si>
  <si>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</si>
  <si>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</si>
  <si>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</si>
  <si>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</si>
  <si>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</si>
  <si>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</si>
  <si>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</si>
  <si>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</si>
  <si>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</si>
  <si>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</si>
  <si>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</si>
  <si>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</si>
  <si>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</si>
  <si>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</si>
  <si>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</si>
  <si>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</si>
  <si>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</si>
  <si>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</si>
  <si>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</si>
  <si>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</si>
  <si>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</si>
  <si>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</si>
  <si>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</si>
  <si>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</si>
  <si>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</si>
  <si>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</si>
  <si>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</si>
  <si>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</si>
  <si>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</si>
  <si>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</si>
  <si>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</si>
  <si>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</si>
  <si>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</si>
  <si>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</si>
  <si>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</si>
  <si>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</si>
  <si>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</si>
  <si>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</si>
  <si>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</si>
  <si>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</si>
  <si>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</si>
  <si>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</si>
  <si>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</si>
  <si>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</si>
  <si>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</si>
  <si>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</si>
  <si>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</si>
  <si>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</si>
  <si>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</si>
  <si>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</si>
  <si>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</si>
  <si>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</si>
  <si>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</si>
  <si>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</si>
  <si>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</si>
  <si>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</si>
  <si>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</si>
  <si>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</si>
  <si>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</si>
  <si>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</si>
  <si>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</si>
  <si>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</si>
  <si>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</si>
  <si>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</si>
  <si>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</si>
  <si>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</si>
  <si>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</si>
  <si>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</si>
  <si>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</si>
  <si>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</si>
  <si>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</si>
  <si>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</si>
  <si>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</si>
  <si>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</si>
  <si>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</si>
  <si>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</si>
  <si>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</si>
  <si>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</si>
  <si>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</si>
  <si>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</si>
  <si>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</si>
  <si>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</si>
  <si>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</si>
  <si>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</si>
  <si>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</si>
  <si>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</si>
  <si>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</si>
  <si>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</si>
  <si>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</si>
  <si>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</si>
  <si>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</si>
  <si>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</si>
  <si>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</si>
  <si>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</si>
  <si>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</si>
  <si>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</si>
  <si>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</si>
  <si>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</si>
  <si>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</si>
  <si>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</si>
  <si>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</si>
  <si>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</si>
  <si>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</si>
  <si>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</si>
  <si>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</si>
  <si>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</si>
  <si>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</si>
  <si>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</si>
  <si>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</si>
  <si>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</si>
  <si>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</si>
  <si>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</si>
  <si>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</si>
  <si>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</si>
  <si>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</si>
  <si>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</si>
  <si>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</si>
  <si>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</si>
  <si>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</si>
  <si>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</si>
  <si>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</si>
  <si>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</si>
  <si>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</si>
  <si>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</si>
  <si>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</si>
  <si>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</si>
  <si>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</si>
  <si>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</si>
  <si>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</si>
  <si>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</si>
  <si>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</si>
  <si>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</si>
  <si>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</si>
  <si>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</si>
  <si>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</si>
  <si>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</si>
  <si>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</si>
  <si>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</si>
  <si>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</si>
  <si>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</si>
  <si>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</si>
  <si>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</si>
  <si>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</si>
  <si>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</si>
  <si>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</si>
  <si>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</si>
  <si>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</si>
  <si>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</si>
  <si>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</si>
  <si>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</si>
  <si>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</si>
  <si>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</si>
  <si>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</si>
  <si>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</si>
  <si>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</si>
  <si>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</si>
  <si>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</si>
  <si>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</si>
  <si>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</si>
  <si>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</si>
  <si>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</si>
  <si>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</si>
  <si>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</si>
  <si>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</si>
  <si>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</si>
  <si>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</si>
  <si>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</si>
  <si>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</si>
  <si>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</si>
  <si>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</si>
  <si>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</si>
  <si>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</si>
  <si>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</si>
  <si>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</si>
  <si>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</si>
  <si>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</si>
  <si>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</si>
  <si>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</si>
  <si>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</si>
  <si>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</si>
  <si>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</si>
  <si>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</si>
  <si>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</si>
  <si>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</si>
  <si>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</si>
  <si>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</si>
  <si>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</si>
  <si>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</si>
  <si>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</si>
  <si>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</si>
  <si>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</si>
  <si>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</si>
  <si>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</si>
  <si>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</si>
  <si>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</si>
  <si>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</si>
  <si>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</si>
  <si>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</si>
  <si>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</si>
  <si>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</si>
  <si>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</si>
  <si>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</si>
  <si>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</si>
  <si>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</si>
  <si>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</si>
  <si>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</si>
  <si>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</si>
  <si>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</si>
  <si>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</si>
  <si>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</si>
  <si>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</si>
  <si>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</si>
  <si>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</si>
  <si>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</si>
  <si>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</si>
  <si>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</si>
  <si>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</si>
  <si>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</si>
  <si>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</si>
  <si>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</si>
  <si>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</si>
  <si>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</si>
  <si>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</si>
  <si>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</si>
  <si>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</si>
  <si>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</si>
  <si>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</si>
  <si>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</si>
  <si>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</si>
  <si>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</si>
  <si>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</si>
  <si>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</si>
  <si>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</si>
  <si>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</si>
  <si>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</si>
  <si>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</si>
  <si>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</si>
  <si>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</si>
  <si>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</si>
  <si>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</si>
  <si>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</si>
  <si>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</si>
  <si>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</si>
  <si>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</si>
  <si>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</si>
  <si>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</si>
  <si>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</si>
  <si>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</si>
  <si>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</si>
  <si>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</si>
  <si>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</si>
  <si>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</si>
  <si>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</si>
  <si>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</si>
  <si>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</si>
  <si>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</si>
  <si>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</si>
  <si>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</si>
  <si>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</si>
  <si>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</si>
  <si>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</si>
  <si>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</si>
  <si>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</si>
  <si>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</si>
  <si>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</si>
  <si>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</si>
  <si>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</si>
  <si>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</si>
  <si>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</si>
  <si>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</si>
  <si>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</si>
  <si>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</si>
  <si>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</si>
  <si>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</si>
  <si>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</si>
  <si>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</si>
  <si>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</si>
  <si>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</si>
  <si>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</si>
  <si>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</si>
  <si>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</si>
  <si>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</si>
  <si>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</si>
  <si>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</si>
  <si>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</si>
  <si>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</si>
  <si>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</si>
  <si>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</si>
  <si>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</si>
  <si>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</si>
  <si>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</si>
  <si>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</si>
  <si>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</si>
  <si>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</si>
  <si>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</si>
  <si>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</si>
  <si>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</si>
  <si>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</si>
  <si>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</si>
  <si>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</si>
  <si>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</si>
  <si>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</si>
  <si>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</si>
  <si>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</si>
  <si>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</si>
  <si>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</si>
  <si>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</si>
  <si>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</si>
  <si>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</si>
  <si>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</si>
  <si>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</si>
  <si>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</si>
  <si>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</si>
  <si>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</si>
  <si>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</si>
  <si>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</si>
  <si>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</si>
  <si>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</si>
  <si>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</si>
  <si>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</si>
  <si>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</si>
  <si>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</si>
  <si>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</si>
  <si>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</si>
  <si>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</si>
  <si>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</si>
  <si>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</si>
  <si>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</si>
  <si>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</si>
  <si>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</si>
  <si>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</si>
  <si>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</si>
  <si>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</si>
  <si>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</si>
  <si>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</si>
  <si>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</si>
  <si>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</si>
  <si>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</si>
  <si>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</si>
  <si>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</si>
  <si>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</si>
  <si>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</si>
  <si>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</si>
  <si>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</si>
  <si>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</si>
  <si>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</si>
  <si>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</si>
  <si>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</si>
  <si>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</si>
  <si>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</si>
  <si>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</si>
  <si>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</si>
  <si>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</si>
  <si>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</si>
  <si>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</si>
  <si>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</si>
  <si>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</si>
  <si>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</si>
  <si>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</si>
  <si>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</si>
  <si>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</si>
  <si>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</si>
  <si>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</si>
  <si>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</si>
  <si>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</si>
  <si>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</si>
  <si>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</si>
  <si>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</si>
  <si>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</si>
  <si>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</si>
  <si>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</si>
  <si>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</si>
  <si>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</si>
  <si>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</si>
  <si>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</si>
  <si>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</si>
  <si>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</si>
  <si>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</si>
  <si>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</si>
  <si>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</si>
  <si>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</si>
  <si>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</si>
  <si>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</si>
  <si>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</si>
  <si>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</si>
  <si>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</si>
  <si>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</si>
  <si>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</si>
  <si>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</si>
  <si>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</si>
  <si>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</si>
  <si>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</si>
  <si>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</si>
  <si>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</si>
  <si>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</si>
  <si>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</si>
  <si>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</si>
  <si>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</si>
  <si>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</si>
  <si>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</si>
  <si>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</si>
  <si>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</si>
  <si>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</si>
  <si>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</si>
  <si>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</si>
  <si>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</si>
  <si>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</si>
  <si>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</si>
  <si>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</si>
  <si>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</si>
  <si>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</si>
  <si>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</si>
  <si>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</si>
  <si>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</si>
  <si>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</si>
  <si>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</si>
  <si>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</si>
  <si>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</si>
  <si>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</si>
  <si>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</si>
  <si>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</si>
  <si>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</si>
  <si>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</si>
  <si>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</si>
  <si>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</si>
  <si>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</si>
  <si>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</si>
  <si>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</si>
  <si>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</si>
  <si>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</si>
  <si>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</si>
  <si>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</si>
  <si>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</si>
  <si>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</si>
  <si>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</si>
  <si>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</si>
  <si>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</si>
  <si>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</si>
  <si>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</si>
  <si>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</si>
  <si>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</si>
  <si>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</si>
  <si>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</si>
  <si>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</si>
  <si>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</si>
  <si>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</si>
  <si>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</si>
  <si>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</si>
  <si>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</si>
  <si>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</si>
  <si>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</si>
  <si>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</si>
  <si>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</si>
  <si>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</si>
  <si>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</si>
  <si>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</si>
  <si>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</si>
  <si>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</si>
  <si>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</si>
  <si>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</si>
  <si>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</si>
  <si>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</si>
  <si>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</si>
  <si>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</si>
  <si>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</si>
  <si>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</si>
  <si>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</si>
  <si>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</si>
  <si>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</si>
  <si>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</si>
  <si>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</si>
  <si>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</si>
  <si>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</si>
  <si>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</si>
  <si>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</si>
  <si>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</si>
  <si>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</si>
  <si>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</si>
  <si>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</si>
  <si>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</si>
  <si>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</si>
  <si>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</si>
  <si>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</si>
  <si>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</si>
  <si>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</si>
  <si>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</si>
  <si>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</si>
  <si>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</si>
  <si>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</si>
  <si>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</si>
  <si>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</si>
  <si>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</si>
  <si>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</si>
  <si>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</si>
  <si>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</si>
  <si>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</si>
  <si>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</si>
  <si>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</si>
  <si>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</si>
  <si>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</si>
  <si>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</si>
  <si>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</si>
  <si>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</si>
  <si>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</si>
  <si>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</si>
  <si>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</si>
  <si>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</si>
  <si>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</si>
  <si>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</si>
  <si>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</si>
  <si>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</si>
  <si>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</si>
  <si>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</si>
  <si>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</si>
  <si>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</si>
  <si>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</si>
  <si>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</si>
  <si>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</si>
  <si>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</si>
  <si>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</si>
  <si>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</si>
  <si>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</si>
  <si>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</si>
  <si>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</si>
  <si>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</si>
  <si>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</si>
  <si>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</si>
  <si>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</si>
  <si>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</si>
  <si>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</si>
  <si>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</si>
  <si>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</si>
  <si>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</si>
  <si>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</si>
  <si>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</si>
  <si>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</si>
  <si>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SWEDEN</t>
  </si>
  <si>
    <t>REGISTER</t>
  </si>
  <si>
    <t>ACCOUNT NUMBER ALSO AT THE NORDBANK</t>
  </si>
  <si>
    <t>FINANSIELL INFORMATION</t>
  </si>
  <si>
    <t>SVERIGE</t>
  </si>
  <si>
    <t>KONTOHAVARE</t>
  </si>
  <si>
    <t>NAMN</t>
  </si>
  <si>
    <t>ADRESS</t>
  </si>
  <si>
    <t>POSTADRESS</t>
  </si>
  <si>
    <t>VAT  NUMMER</t>
  </si>
  <si>
    <t>BANKUPPLYSNINGAR</t>
  </si>
  <si>
    <t>KONTONUMMER</t>
  </si>
  <si>
    <t>NORDBANKENS  KONTONUMMER</t>
  </si>
  <si>
    <t>IBAN (Ej Obligatorisk)</t>
  </si>
  <si>
    <t>VALUTAKONTO</t>
  </si>
  <si>
    <t>NOTERINGAR :</t>
  </si>
  <si>
    <r>
      <t xml:space="preserve">BANKENS STÄMPEL + UNDERSKRIFT AV BANKENS REPRESENTANT </t>
    </r>
    <r>
      <rPr>
        <b/>
        <sz val="10"/>
        <rFont val="Arial"/>
        <family val="2"/>
      </rPr>
      <t xml:space="preserve"> (Båda Obligatoriska)</t>
    </r>
  </si>
  <si>
    <r>
      <t>DATUM + KONTOHAVARENS UNDERSKRIFT :</t>
    </r>
    <r>
      <rPr>
        <b/>
        <sz val="12"/>
        <rFont val="Arial"/>
        <family val="2"/>
      </rPr>
      <t xml:space="preserve"> </t>
    </r>
    <r>
      <rPr>
        <b/>
        <sz val="10"/>
        <rFont val="Arial"/>
        <family val="2"/>
      </rPr>
      <t>(Obligatorisk)</t>
    </r>
  </si>
  <si>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</si>
  <si>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</si>
  <si>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</si>
  <si>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</si>
  <si>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</si>
  <si>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</si>
  <si>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</si>
  <si>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</si>
  <si>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</si>
  <si>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</si>
  <si>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</si>
  <si>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</si>
  <si>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</si>
  <si>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</si>
  <si>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</si>
  <si>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</si>
  <si>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</si>
  <si>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</si>
  <si>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</si>
  <si>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</si>
  <si>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</si>
  <si>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</si>
  <si>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</si>
  <si>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</si>
  <si>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</si>
  <si>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</si>
  <si>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</si>
  <si>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</si>
  <si>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</si>
  <si>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</si>
  <si>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</si>
  <si>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</si>
  <si>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</si>
  <si>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</si>
  <si>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</si>
  <si>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</si>
  <si>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</si>
  <si>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</si>
  <si>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</si>
  <si>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</si>
  <si>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</si>
  <si>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</si>
  <si>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</si>
  <si>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</si>
  <si>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</si>
  <si>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</si>
  <si>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ORT</t>
  </si>
  <si>
    <t>KONTAKTPERSON</t>
  </si>
  <si>
    <t>E - MAIL</t>
  </si>
  <si>
    <t>TELEFON</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</si>
  <si>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</si>
  <si>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</si>
  <si>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</si>
  <si>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</si>
  <si>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</si>
  <si>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</si>
  <si>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</si>
  <si>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</si>
  <si>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</si>
  <si>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</si>
  <si>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</si>
  <si>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</si>
  <si>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</si>
  <si>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</si>
  <si>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</si>
  <si>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</si>
  <si>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</si>
  <si>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</si>
  <si>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</si>
  <si>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</si>
  <si>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</si>
  <si>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</si>
  <si>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</si>
  <si>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ACCOUNT NUMBER</t>
  </si>
  <si>
    <t>CURRENCY</t>
  </si>
  <si>
    <t>REMARKS :</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</si>
  <si>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</si>
  <si>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</si>
  <si>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</si>
  <si>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</si>
  <si>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</si>
  <si>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</si>
  <si>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</si>
  <si>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</si>
  <si>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</si>
  <si>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</si>
  <si>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</si>
  <si>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</si>
  <si>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</si>
  <si>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</si>
  <si>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</si>
  <si>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</si>
  <si>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</si>
  <si>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</si>
  <si>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</si>
  <si>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</si>
  <si>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</si>
  <si>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</si>
  <si>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</si>
  <si>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</si>
  <si>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</si>
  <si>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</si>
  <si>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</si>
  <si>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</si>
  <si>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</si>
  <si>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</si>
  <si>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</si>
  <si>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</si>
  <si>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</si>
  <si>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</si>
  <si>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</si>
  <si>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</si>
  <si>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</si>
  <si>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</si>
  <si>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</si>
  <si>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</si>
  <si>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</si>
  <si>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</si>
  <si>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</si>
  <si>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</si>
  <si>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</si>
  <si>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</si>
  <si>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</si>
  <si>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</si>
  <si>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</si>
  <si>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</si>
  <si>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</si>
  <si>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</si>
  <si>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</si>
  <si>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</si>
  <si>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</si>
  <si>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</si>
  <si>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</si>
  <si>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</si>
  <si>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</si>
  <si>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</si>
  <si>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</si>
  <si>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</si>
  <si>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</si>
  <si>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</si>
  <si>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</si>
  <si>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</si>
  <si>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</si>
  <si>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</si>
  <si>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</si>
  <si>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</si>
  <si>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</si>
  <si>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</si>
  <si>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</si>
  <si>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</si>
  <si>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</si>
  <si>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</si>
  <si>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</si>
  <si>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</si>
  <si>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</si>
  <si>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</si>
  <si>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</si>
  <si>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</si>
  <si>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</si>
  <si>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</si>
  <si>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</si>
  <si>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</si>
  <si>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</si>
  <si>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</si>
  <si>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</si>
  <si>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</si>
  <si>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</si>
  <si>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</si>
  <si>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</si>
  <si>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</si>
  <si>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</si>
  <si>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</si>
  <si>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</si>
  <si>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</si>
  <si>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</si>
  <si>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</si>
  <si>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</si>
  <si>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</si>
  <si>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</si>
  <si>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</si>
  <si>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</si>
  <si>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</si>
  <si>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</si>
  <si>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</si>
  <si>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</si>
  <si>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</si>
  <si>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</si>
  <si>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</si>
  <si>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</si>
  <si>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</si>
  <si>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</si>
  <si>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</si>
  <si>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</si>
  <si>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</si>
  <si>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</si>
  <si>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</si>
  <si>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</si>
  <si>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</si>
  <si>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</si>
  <si>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</si>
  <si>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</si>
  <si>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</si>
  <si>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</si>
  <si>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</si>
  <si>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</si>
  <si>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</si>
  <si>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</si>
  <si>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</si>
  <si>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</si>
  <si>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</si>
  <si>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</si>
  <si>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</si>
  <si>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</si>
  <si>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</si>
  <si>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</si>
  <si>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</si>
  <si>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</si>
  <si>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</si>
  <si>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</si>
  <si>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</si>
  <si>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</si>
  <si>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</si>
  <si>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</si>
  <si>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</si>
  <si>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</si>
  <si>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</si>
  <si>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</si>
  <si>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</si>
  <si>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</si>
  <si>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</si>
  <si>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</si>
  <si>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</si>
  <si>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</si>
  <si>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</si>
  <si>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</si>
  <si>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</si>
  <si>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</si>
  <si>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</si>
  <si>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</si>
  <si>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</si>
  <si>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</si>
  <si>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</si>
  <si>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</si>
  <si>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</si>
  <si>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</si>
  <si>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</si>
  <si>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</si>
  <si>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</si>
  <si>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</si>
  <si>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</si>
  <si>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</si>
  <si>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</si>
  <si>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</si>
  <si>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</si>
  <si>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</si>
  <si>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</si>
  <si>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</si>
  <si>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</si>
  <si>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</si>
  <si>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</si>
  <si>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</si>
  <si>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</si>
  <si>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</si>
  <si>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</si>
  <si>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</si>
  <si>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</si>
  <si>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</si>
  <si>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</si>
  <si>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</si>
  <si>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</si>
  <si>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</si>
  <si>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</si>
  <si>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</si>
  <si>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</si>
  <si>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</si>
  <si>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</si>
  <si>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</si>
  <si>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</si>
  <si>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</si>
  <si>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</si>
  <si>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</si>
  <si>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</si>
  <si>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</si>
  <si>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</si>
  <si>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</si>
  <si>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</si>
  <si>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</si>
  <si>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</si>
  <si>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</si>
  <si>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</si>
  <si>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</si>
  <si>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</si>
  <si>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</si>
  <si>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</si>
  <si>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</si>
  <si>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</si>
  <si>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</si>
  <si>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</si>
  <si>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</si>
  <si>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</si>
  <si>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</si>
  <si>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</si>
  <si>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</si>
  <si>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</si>
  <si>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</si>
  <si>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</si>
  <si>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</si>
  <si>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</si>
  <si>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</si>
  <si>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</si>
  <si>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</si>
  <si>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</si>
  <si>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</si>
  <si>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</si>
  <si>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</si>
  <si>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</si>
  <si>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</si>
  <si>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</si>
  <si>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</si>
  <si>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</si>
  <si>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</si>
  <si>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</si>
  <si>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</si>
  <si>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</si>
  <si>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</si>
  <si>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</si>
  <si>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</si>
  <si>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</si>
  <si>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</si>
  <si>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</si>
  <si>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</si>
  <si>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</si>
  <si>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</si>
  <si>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</si>
  <si>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</si>
  <si>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</si>
  <si>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</si>
  <si>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</si>
  <si>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</si>
  <si>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</si>
  <si>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</si>
  <si>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</si>
  <si>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</si>
  <si>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</si>
  <si>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</si>
  <si>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</si>
  <si>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</si>
  <si>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</si>
  <si>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</si>
  <si>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</si>
  <si>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</si>
  <si>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</si>
  <si>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</si>
  <si>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</si>
  <si>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</si>
  <si>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</si>
  <si>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</si>
  <si>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</si>
  <si>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</si>
  <si>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</si>
  <si>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</si>
  <si>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</si>
  <si>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</si>
  <si>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</si>
  <si>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</si>
  <si>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</si>
  <si>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</si>
  <si>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</si>
  <si>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</si>
  <si>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</si>
  <si>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</si>
  <si>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</si>
  <si>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</si>
  <si>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</si>
  <si>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</si>
  <si>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</si>
  <si>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</si>
  <si>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</si>
  <si>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</si>
  <si>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</si>
  <si>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</si>
  <si>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</si>
  <si>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</si>
  <si>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</si>
  <si>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</si>
  <si>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</si>
  <si>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</si>
  <si>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</si>
  <si>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</si>
  <si>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</si>
  <si>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</si>
  <si>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</si>
  <si>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</si>
  <si>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</si>
  <si>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</si>
  <si>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</si>
  <si>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</si>
  <si>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</si>
  <si>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</si>
  <si>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</si>
  <si>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</si>
  <si>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</si>
  <si>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</si>
  <si>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</si>
  <si>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</si>
  <si>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</si>
  <si>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</si>
  <si>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</si>
  <si>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</si>
  <si>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</si>
  <si>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</si>
  <si>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</si>
  <si>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</si>
  <si>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</si>
  <si>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</si>
  <si>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</si>
  <si>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</si>
  <si>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</si>
  <si>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</si>
  <si>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</si>
  <si>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</si>
  <si>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</si>
  <si>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</si>
  <si>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</si>
  <si>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</si>
  <si>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</si>
  <si>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</si>
  <si>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</si>
  <si>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</si>
  <si>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</si>
  <si>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</si>
  <si>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</si>
  <si>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</si>
  <si>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</si>
  <si>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</si>
  <si>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</si>
  <si>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</si>
  <si>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</si>
  <si>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</si>
  <si>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</si>
  <si>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</si>
  <si>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</si>
  <si>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</si>
  <si>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</si>
  <si>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</si>
  <si>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</si>
  <si>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</si>
  <si>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</si>
  <si>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</si>
  <si>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</si>
  <si>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</si>
  <si>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</si>
  <si>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</si>
  <si>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</si>
  <si>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</si>
  <si>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</si>
  <si>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</si>
  <si>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</si>
  <si>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</si>
  <si>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</si>
  <si>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</si>
  <si>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</si>
  <si>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</si>
  <si>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</si>
  <si>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</si>
  <si>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</si>
  <si>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</si>
  <si>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</si>
  <si>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</si>
  <si>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</si>
  <si>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</si>
  <si>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</si>
  <si>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</si>
  <si>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</si>
  <si>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</si>
  <si>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</si>
  <si>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</si>
  <si>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</si>
  <si>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</si>
  <si>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</si>
  <si>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</si>
  <si>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</si>
  <si>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</si>
  <si>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</si>
  <si>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</si>
  <si>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</si>
  <si>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</si>
  <si>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</si>
  <si>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</si>
  <si>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</si>
  <si>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</si>
  <si>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</si>
  <si>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</si>
  <si>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</si>
  <si>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</si>
  <si>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</si>
  <si>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</si>
  <si>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</si>
  <si>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</si>
  <si>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</si>
  <si>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</si>
  <si>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</si>
  <si>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</si>
  <si>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</si>
  <si>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</si>
  <si>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</si>
  <si>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</si>
  <si>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</si>
  <si>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</si>
  <si>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</si>
  <si>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</si>
  <si>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</si>
  <si>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</si>
  <si>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</si>
  <si>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</si>
  <si>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</si>
  <si>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</si>
  <si>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</si>
  <si>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</si>
  <si>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</si>
  <si>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</si>
  <si>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</si>
  <si>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</si>
  <si>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</si>
  <si>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</si>
  <si>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</si>
  <si>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</si>
  <si>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</si>
  <si>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</si>
  <si>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</si>
  <si>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</si>
  <si>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</si>
  <si>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</si>
  <si>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</si>
  <si>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</si>
  <si>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</si>
  <si>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</si>
  <si>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</si>
  <si>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</si>
  <si>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</si>
  <si>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</si>
  <si>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</si>
  <si>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</si>
  <si>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</si>
  <si>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</si>
  <si>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</si>
  <si>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</si>
  <si>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</si>
  <si>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</si>
  <si>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</si>
  <si>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</si>
  <si>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</si>
  <si>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</si>
  <si>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</si>
  <si>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</si>
  <si>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</si>
  <si>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</si>
  <si>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</si>
  <si>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</si>
  <si>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</si>
  <si>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</si>
  <si>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</si>
  <si>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</si>
  <si>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</si>
  <si>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</si>
  <si>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</si>
  <si>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</si>
  <si>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</si>
  <si>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</si>
  <si>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</si>
  <si>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</si>
  <si>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</si>
  <si>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</si>
  <si>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</si>
  <si>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</si>
  <si>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</si>
  <si>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</si>
  <si>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</si>
  <si>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</si>
  <si>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</si>
  <si>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</si>
  <si>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</si>
  <si>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</si>
  <si>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</si>
  <si>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</si>
  <si>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</si>
  <si>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</si>
  <si>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</si>
  <si>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</si>
  <si>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</si>
  <si>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</si>
  <si>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</si>
  <si>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</si>
  <si>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</si>
  <si>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</si>
  <si>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</si>
  <si>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</si>
  <si>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</si>
  <si>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</si>
  <si>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</si>
  <si>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</si>
  <si>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</si>
  <si>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</si>
  <si>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</si>
  <si>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</si>
  <si>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</si>
  <si>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</si>
  <si>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</si>
  <si>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</si>
  <si>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</si>
  <si>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</si>
  <si>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</si>
  <si>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</si>
  <si>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</si>
  <si>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</si>
  <si>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</si>
  <si>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</si>
  <si>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</si>
  <si>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</si>
  <si>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</si>
  <si>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</si>
  <si>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</si>
  <si>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</si>
  <si>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</si>
  <si>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</si>
  <si>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</si>
  <si>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</si>
  <si>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</si>
  <si>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</si>
  <si>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</si>
  <si>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</si>
  <si>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</si>
  <si>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</si>
  <si>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</si>
  <si>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</si>
  <si>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</si>
  <si>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</si>
  <si>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</si>
  <si>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</si>
  <si>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</si>
  <si>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</si>
  <si>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</si>
  <si>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</si>
  <si>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</si>
  <si>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</si>
  <si>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</si>
  <si>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</si>
  <si>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</si>
  <si>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</si>
  <si>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</si>
  <si>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</si>
  <si>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</si>
  <si>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</si>
  <si>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</si>
  <si>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</si>
  <si>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</si>
  <si>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</si>
  <si>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</si>
  <si>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</si>
  <si>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</si>
  <si>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</si>
  <si>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</si>
  <si>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</si>
  <si>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</si>
  <si>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</si>
  <si>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</si>
  <si>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</si>
  <si>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</si>
  <si>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</si>
  <si>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</si>
  <si>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</si>
  <si>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</si>
  <si>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</si>
  <si>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</si>
  <si>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</si>
  <si>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</si>
  <si>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</si>
  <si>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</si>
  <si>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</si>
  <si>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</si>
  <si>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</si>
  <si>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</si>
  <si>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</si>
  <si>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</si>
  <si>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</si>
  <si>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</si>
  <si>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</si>
  <si>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</si>
  <si>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</si>
  <si>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</si>
  <si>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</si>
  <si>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</si>
  <si>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</si>
  <si>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</si>
  <si>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</si>
  <si>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</si>
  <si>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</si>
  <si>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</si>
  <si>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</si>
  <si>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</si>
  <si>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</si>
  <si>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</si>
  <si>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</si>
  <si>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</si>
  <si>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</si>
  <si>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</si>
  <si>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</si>
  <si>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</si>
  <si>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</si>
  <si>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</si>
  <si>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</si>
  <si>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</si>
  <si>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</si>
  <si>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</si>
  <si>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</si>
  <si>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</si>
  <si>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</si>
  <si>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</si>
  <si>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</si>
  <si>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</si>
  <si>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</si>
  <si>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</si>
  <si>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</si>
  <si>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</si>
  <si>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</si>
  <si>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</si>
  <si>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</si>
  <si>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</si>
  <si>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</si>
  <si>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</si>
  <si>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</si>
  <si>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</si>
  <si>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</si>
  <si>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</si>
  <si>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</si>
  <si>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</si>
  <si>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</si>
  <si>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</si>
  <si>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</si>
  <si>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</si>
  <si>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</si>
  <si>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</si>
  <si>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</si>
  <si>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</si>
  <si>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</si>
  <si>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</si>
  <si>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</si>
  <si>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</si>
  <si>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</si>
  <si>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</si>
  <si>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</si>
  <si>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</si>
  <si>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</si>
  <si>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</si>
  <si>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</si>
  <si>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</si>
  <si>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</si>
  <si>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</si>
  <si>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</si>
  <si>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</si>
  <si>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</si>
  <si>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</si>
  <si>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</si>
  <si>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</si>
  <si>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</si>
  <si>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</si>
  <si>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</si>
  <si>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</si>
  <si>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</si>
  <si>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</si>
  <si>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</si>
  <si>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</si>
  <si>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</si>
  <si>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</si>
  <si>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</si>
  <si>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</si>
  <si>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</si>
  <si>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</si>
  <si>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</si>
  <si>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</si>
  <si>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</si>
  <si>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</si>
  <si>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</si>
  <si>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</si>
  <si>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</si>
  <si>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</si>
  <si>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</si>
  <si>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</si>
  <si>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</si>
  <si>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</si>
  <si>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</si>
  <si>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</si>
  <si>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</si>
  <si>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</si>
  <si>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</si>
  <si>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</si>
  <si>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</si>
  <si>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</si>
  <si>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</si>
  <si>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</si>
  <si>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</si>
  <si>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</si>
  <si>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</si>
  <si>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</si>
  <si>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</si>
  <si>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</si>
  <si>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</si>
  <si>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</si>
  <si>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</si>
  <si>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</si>
  <si>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</si>
  <si>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</si>
  <si>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</si>
  <si>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</si>
  <si>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</si>
  <si>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</si>
  <si>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</si>
  <si>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</si>
  <si>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</si>
  <si>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</si>
  <si>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</si>
  <si>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</si>
  <si>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</si>
  <si>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</si>
  <si>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</si>
  <si>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</si>
  <si>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</si>
  <si>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</si>
  <si>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</si>
  <si>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</si>
  <si>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</si>
  <si>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</si>
  <si>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</si>
  <si>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</si>
  <si>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</si>
  <si>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</si>
  <si>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</si>
  <si>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</si>
  <si>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</si>
  <si>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</si>
  <si>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</si>
  <si>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</si>
  <si>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</si>
  <si>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</si>
  <si>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</si>
  <si>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</si>
  <si>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</si>
  <si>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</si>
  <si>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</si>
  <si>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</si>
  <si>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</si>
  <si>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</si>
  <si>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</si>
  <si>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</si>
  <si>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</si>
  <si>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</si>
  <si>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</si>
  <si>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</si>
  <si>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</si>
  <si>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</si>
  <si>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</si>
  <si>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</si>
  <si>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</si>
  <si>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</si>
  <si>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</si>
  <si>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</si>
  <si>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</si>
  <si>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</si>
  <si>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</si>
  <si>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</si>
  <si>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</si>
  <si>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</si>
  <si>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</si>
  <si>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</si>
  <si>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</si>
  <si>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</si>
  <si>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</si>
  <si>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</si>
  <si>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</si>
  <si>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</si>
  <si>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</si>
  <si>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</si>
  <si>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</si>
  <si>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</si>
  <si>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</si>
  <si>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</si>
  <si>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</si>
  <si>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</si>
  <si>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</si>
  <si>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</si>
  <si>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</si>
  <si>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</si>
  <si>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</si>
  <si>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</si>
  <si>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</si>
  <si>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</si>
  <si>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</si>
  <si>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</si>
  <si>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</si>
  <si>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</si>
  <si>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</si>
  <si>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</si>
  <si>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</si>
  <si>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</si>
  <si>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</si>
  <si>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</si>
  <si>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</si>
  <si>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</si>
  <si>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</si>
  <si>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</si>
  <si>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</si>
  <si>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</si>
  <si>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</si>
  <si>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</si>
  <si>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</si>
  <si>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</si>
  <si>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</si>
  <si>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</si>
  <si>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</si>
  <si>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</si>
  <si>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</si>
  <si>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</si>
  <si>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</si>
  <si>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</si>
  <si>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</si>
  <si>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</si>
  <si>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</si>
  <si>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</si>
  <si>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</si>
  <si>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</si>
  <si>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</si>
  <si>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</si>
  <si>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</si>
  <si>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</si>
  <si>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</si>
  <si>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</si>
  <si>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</si>
  <si>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</si>
  <si>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</si>
  <si>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</si>
  <si>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</si>
  <si>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</si>
  <si>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</si>
  <si>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</si>
  <si>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</si>
  <si>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</si>
  <si>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</si>
  <si>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</si>
  <si>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</si>
  <si>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</si>
  <si>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</si>
  <si>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</si>
  <si>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</si>
  <si>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</si>
  <si>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</si>
  <si>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</si>
  <si>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</si>
  <si>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</si>
  <si>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</si>
  <si>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</si>
  <si>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</si>
  <si>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</si>
  <si>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</si>
  <si>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</si>
  <si>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</si>
  <si>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</si>
  <si>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</si>
  <si>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</si>
  <si>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</si>
  <si>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</si>
  <si>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</si>
  <si>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</si>
  <si>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</si>
  <si>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</si>
  <si>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</si>
  <si>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</si>
  <si>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</si>
  <si>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</si>
  <si>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</si>
  <si>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</si>
  <si>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</si>
  <si>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</si>
  <si>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</si>
  <si>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</si>
  <si>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</si>
  <si>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</si>
  <si>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</si>
  <si>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</si>
  <si>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</si>
  <si>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</si>
  <si>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</si>
  <si>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</si>
  <si>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</si>
  <si>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</si>
  <si>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</si>
  <si>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</si>
  <si>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</si>
  <si>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</si>
  <si>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</si>
  <si>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</si>
  <si>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</si>
  <si>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</si>
  <si>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</si>
  <si>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</si>
  <si>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</si>
  <si>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</si>
  <si>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</si>
  <si>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</si>
  <si>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</si>
  <si>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</si>
  <si>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</si>
  <si>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</si>
  <si>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</si>
  <si>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</si>
  <si>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</si>
  <si>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</si>
  <si>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</si>
  <si>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</si>
  <si>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</si>
  <si>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</si>
  <si>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</si>
  <si>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</si>
  <si>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</si>
  <si>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</si>
  <si>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</si>
  <si>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</si>
  <si>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</si>
  <si>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</si>
  <si>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</si>
  <si>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</si>
  <si>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</si>
  <si>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</si>
  <si>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</si>
  <si>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</si>
  <si>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</si>
  <si>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</si>
  <si>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</si>
  <si>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</si>
  <si>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</si>
  <si>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</si>
  <si>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</si>
  <si>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</si>
  <si>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</si>
  <si>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</si>
  <si>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</si>
  <si>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</si>
  <si>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</si>
  <si>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</si>
  <si>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</si>
  <si>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</si>
  <si>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</si>
  <si>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</si>
  <si>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</si>
  <si>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</si>
  <si>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</si>
  <si>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</si>
  <si>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</si>
  <si>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</si>
  <si>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</si>
  <si>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</si>
  <si>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</si>
  <si>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</si>
  <si>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</si>
  <si>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</si>
  <si>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</si>
  <si>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</si>
  <si>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</si>
  <si>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</si>
  <si>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</si>
  <si>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</si>
  <si>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</si>
  <si>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</si>
  <si>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</si>
  <si>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</si>
  <si>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</si>
  <si>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</si>
  <si>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</si>
  <si>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</si>
  <si>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</si>
  <si>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</si>
  <si>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</si>
  <si>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</si>
  <si>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</si>
  <si>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</si>
  <si>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</si>
  <si>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</si>
  <si>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</si>
  <si>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</si>
  <si>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</si>
  <si>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</si>
  <si>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</si>
  <si>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</si>
  <si>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</si>
  <si>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</si>
  <si>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</si>
  <si>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</si>
  <si>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</si>
  <si>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</si>
  <si>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</si>
  <si>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</si>
  <si>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</si>
  <si>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</si>
  <si>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</si>
  <si>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</si>
  <si>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</si>
  <si>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</si>
  <si>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</si>
  <si>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</si>
  <si>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</si>
  <si>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</si>
  <si>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</si>
  <si>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</si>
  <si>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</si>
  <si>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</si>
  <si>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</si>
  <si>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</si>
  <si>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</si>
  <si>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</si>
  <si>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</si>
  <si>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</si>
  <si>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</si>
  <si>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</si>
  <si>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</si>
  <si>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</si>
  <si>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</si>
  <si>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</si>
  <si>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</si>
  <si>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</si>
  <si>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</si>
  <si>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</si>
  <si>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</si>
  <si>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</si>
  <si>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</si>
  <si>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</si>
  <si>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</si>
  <si>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</si>
  <si>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</si>
  <si>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</si>
  <si>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</si>
  <si>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</si>
  <si>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</si>
  <si>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</si>
  <si>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</si>
  <si>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</si>
  <si>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</si>
  <si>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</si>
  <si>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</si>
  <si>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</si>
  <si>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</si>
  <si>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</si>
  <si>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</si>
  <si>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</si>
  <si>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</si>
  <si>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</si>
  <si>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</si>
  <si>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</si>
  <si>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</si>
  <si>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</si>
  <si>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</si>
  <si>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</si>
  <si>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</si>
  <si>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</si>
  <si>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</si>
  <si>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</si>
  <si>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</si>
  <si>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</si>
  <si>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</si>
  <si>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</si>
  <si>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</si>
  <si>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</si>
  <si>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</si>
  <si>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</si>
  <si>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</si>
  <si>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</si>
  <si>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</si>
  <si>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</si>
  <si>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</si>
  <si>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</si>
  <si>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</si>
  <si>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</si>
  <si>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</si>
  <si>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</si>
  <si>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</si>
  <si>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</si>
  <si>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</si>
  <si>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</si>
  <si>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</si>
  <si>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</si>
  <si>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</si>
  <si>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</si>
  <si>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</si>
  <si>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</si>
  <si>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</si>
  <si>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</si>
  <si>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</si>
  <si>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</si>
  <si>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</si>
  <si>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</si>
  <si>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</si>
  <si>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</si>
  <si>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</si>
  <si>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</si>
  <si>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</si>
  <si>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</si>
  <si>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</si>
  <si>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</si>
  <si>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</si>
  <si>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</si>
  <si>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</si>
  <si>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</si>
  <si>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</si>
  <si>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</si>
  <si>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</si>
  <si>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</si>
  <si>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</si>
  <si>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</si>
  <si>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</si>
  <si>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</si>
  <si>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</si>
  <si>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</si>
  <si>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</si>
  <si>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</si>
  <si>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</si>
  <si>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</si>
  <si>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</si>
  <si>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</si>
  <si>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</si>
  <si>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</si>
  <si>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</si>
  <si>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</si>
  <si>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</si>
  <si>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</si>
  <si>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</si>
  <si>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</si>
  <si>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</si>
  <si>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</si>
  <si>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</si>
  <si>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</si>
  <si>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</si>
  <si>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</si>
  <si>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</si>
  <si>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</si>
  <si>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</si>
  <si>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</si>
  <si>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</si>
  <si>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</si>
  <si>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</si>
  <si>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</si>
  <si>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</si>
  <si>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</si>
  <si>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</si>
  <si>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</si>
  <si>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</si>
  <si>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</si>
  <si>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</si>
  <si>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</si>
  <si>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</si>
  <si>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</si>
  <si>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</si>
  <si>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</si>
  <si>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</si>
  <si>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</si>
  <si>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</si>
  <si>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</si>
  <si>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</si>
  <si>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</si>
  <si>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</si>
  <si>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</si>
  <si>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</si>
  <si>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</si>
  <si>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</si>
  <si>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</si>
  <si>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</si>
  <si>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</si>
  <si>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</si>
  <si>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</si>
  <si>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</si>
  <si>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</si>
  <si>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</si>
  <si>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</si>
  <si>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</si>
  <si>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</si>
  <si>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</si>
  <si>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</si>
  <si>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</si>
  <si>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</si>
  <si>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</si>
  <si>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</si>
  <si>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</si>
  <si>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</si>
  <si>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</si>
  <si>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</si>
  <si>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</si>
  <si>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</si>
  <si>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</si>
  <si>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</si>
  <si>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</si>
  <si>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</si>
  <si>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</si>
  <si>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</si>
  <si>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</si>
  <si>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</si>
  <si>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</si>
  <si>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</si>
  <si>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r>
      <t xml:space="preserve">BANK STAMP + SIGNATURE BANK REPRESENTATIVE </t>
    </r>
    <r>
      <rPr>
        <b/>
        <sz val="10"/>
        <rFont val="Arial"/>
        <family val="2"/>
      </rPr>
      <t xml:space="preserve"> (Both Obligatory)</t>
    </r>
  </si>
  <si>
    <r>
      <t>DATE + SIGNATURE ACCOUNT HOLDER :</t>
    </r>
    <r>
      <rPr>
        <b/>
        <sz val="12"/>
        <rFont val="Arial"/>
        <family val="2"/>
      </rPr>
      <t xml:space="preserve"> (</t>
    </r>
    <r>
      <rPr>
        <b/>
        <sz val="10"/>
        <rFont val="Arial"/>
        <family val="2"/>
      </rPr>
      <t>Obligatory</t>
    </r>
    <r>
      <rPr>
        <b/>
        <sz val="12"/>
        <rFont val="Arial"/>
        <family val="2"/>
      </rPr>
      <t>)</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</si>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</sst>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7">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sz val="12"/>
      <color indexed="9"/>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7">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0" borderId="0" xfId="0" applyFont="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5" fillId="10" borderId="28" xfId="0" applyFont="1" applyFill="1" applyBorder="1" applyAlignment="1" applyProtection="1">
      <alignment horizontal="center" wrapText="1"/>
      <protection hidden="1"/>
    </xf>
    <xf numFmtId="0" fontId="65"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6"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6" xfId="0" applyBorder="1" applyAlignment="1" applyProtection="1">
      <alignment horizontal="center"/>
      <protection hidden="1"/>
    </xf>
    <xf numFmtId="0" fontId="4" fillId="0" borderId="75" xfId="0" applyFont="1"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9" borderId="77" xfId="0" applyFont="1" applyFill="1" applyBorder="1" applyAlignment="1" applyProtection="1">
      <alignment horizontal="left"/>
      <protection locked="0"/>
    </xf>
    <xf numFmtId="0" fontId="4" fillId="0" borderId="0"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0" xfId="0" applyFont="1" applyAlignment="1" applyProtection="1">
      <alignment horizontal="center"/>
      <protection hidden="1"/>
    </xf>
    <xf numFmtId="0" fontId="0" fillId="0" borderId="27" xfId="0" applyFont="1" applyBorder="1" applyAlignment="1" applyProtection="1">
      <alignment horizontal="center"/>
      <protection hidden="1"/>
    </xf>
    <xf numFmtId="0" fontId="11" fillId="0" borderId="0" xfId="0" applyFont="1" applyAlignment="1" applyProtection="1">
      <alignment horizontal="center"/>
      <protection hidden="1"/>
    </xf>
    <xf numFmtId="0" fontId="59"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4" fillId="0" borderId="40" xfId="0" applyFont="1" applyBorder="1" applyAlignment="1" applyProtection="1">
      <alignment horizontal="center"/>
      <protection hidden="1"/>
    </xf>
    <xf numFmtId="0" fontId="61" fillId="0" borderId="19" xfId="0" applyFont="1" applyFill="1" applyBorder="1" applyAlignment="1" applyProtection="1">
      <alignment horizontal="center"/>
      <protection hidden="1"/>
    </xf>
    <xf numFmtId="0" fontId="61" fillId="0" borderId="0" xfId="0" applyFont="1" applyFill="1" applyBorder="1" applyAlignment="1" applyProtection="1">
      <alignment horizontal="center"/>
      <protection hidden="1"/>
    </xf>
    <xf numFmtId="0" fontId="61" fillId="0" borderId="27" xfId="0" applyFont="1" applyFill="1" applyBorder="1" applyAlignment="1" applyProtection="1">
      <alignment horizontal="center"/>
      <protection hidden="1"/>
    </xf>
    <xf numFmtId="0" fontId="0" fillId="0" borderId="69" xfId="0" applyBorder="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3" t="str">
        <f>Lbl_Title_Line1</f>
        <v>FORMULAIRE DE DEMANDE 2002</v>
      </c>
      <c r="C2" s="524"/>
      <c r="D2" s="524"/>
      <c r="E2" s="524"/>
      <c r="F2" s="524"/>
      <c r="G2" s="524"/>
      <c r="H2" s="524"/>
      <c r="I2" s="525"/>
      <c r="J2" s="274"/>
    </row>
    <row r="3" spans="2:10" s="273" customFormat="1" ht="17.25">
      <c r="B3" s="537" t="str">
        <f>lbl_soustitre</f>
        <v>Programme d'action communautaire de lutte contre l'exclusion sociale 2002-2006</v>
      </c>
      <c r="C3" s="538"/>
      <c r="D3" s="538"/>
      <c r="E3" s="538"/>
      <c r="F3" s="538"/>
      <c r="G3" s="538"/>
      <c r="H3" s="538"/>
      <c r="I3" s="474"/>
      <c r="J3" s="274"/>
    </row>
    <row r="4" spans="2:10" s="256" customFormat="1" ht="56.25" customHeight="1">
      <c r="B4" s="526" t="str">
        <f>Lbl_Title_Line2</f>
        <v>PROGRAMME D'ÉCHANGE TRANSNATIONAL - PHASE I</v>
      </c>
      <c r="C4" s="527"/>
      <c r="D4" s="527"/>
      <c r="E4" s="527"/>
      <c r="F4" s="527"/>
      <c r="G4" s="527"/>
      <c r="H4" s="527"/>
      <c r="I4" s="528"/>
      <c r="J4" s="255"/>
    </row>
    <row r="5" spans="2:10" s="273" customFormat="1" ht="18" customHeight="1" thickBot="1">
      <c r="B5" s="529" t="str">
        <f>Lbl_Title_Line4&amp;" "&amp;'Part I'!J7</f>
        <v>LIGNE BUDGETAIRE B3-4105</v>
      </c>
      <c r="C5" s="530"/>
      <c r="D5" s="530"/>
      <c r="E5" s="530"/>
      <c r="F5" s="530"/>
      <c r="G5" s="530"/>
      <c r="H5" s="530"/>
      <c r="I5" s="531"/>
      <c r="J5" s="274"/>
    </row>
    <row r="6" spans="2:10" s="252" customFormat="1" ht="18" customHeight="1">
      <c r="B6" s="253"/>
      <c r="C6" s="253"/>
      <c r="D6" s="253"/>
      <c r="E6" s="253"/>
      <c r="F6" s="253"/>
      <c r="G6" s="253"/>
      <c r="H6" s="253"/>
      <c r="I6" s="253"/>
      <c r="J6" s="254"/>
    </row>
    <row r="7" spans="2:9" ht="27.75" customHeight="1" thickBot="1">
      <c r="B7" s="536" t="str">
        <f>Blb_Choix_Lng</f>
        <v>Choisissez votre langue / Please select the language of your choice / Wählen Sie Ihre Sprache </v>
      </c>
      <c r="C7" s="536"/>
      <c r="D7" s="536"/>
      <c r="E7" s="536"/>
      <c r="F7" s="536"/>
      <c r="G7" s="536"/>
      <c r="H7" s="536"/>
      <c r="I7" s="536"/>
    </row>
    <row r="8" spans="2:9" ht="12.75" customHeight="1">
      <c r="B8" s="260"/>
      <c r="C8" s="260"/>
      <c r="D8" s="260"/>
      <c r="E8" s="458" t="s">
        <v>1189</v>
      </c>
      <c r="F8" s="459"/>
      <c r="G8" s="534">
        <f>IF(OR(E8="Allemand",E8="German",E8="Deutsch"),"X","")</f>
      </c>
      <c r="H8" s="535"/>
      <c r="I8" s="535"/>
    </row>
    <row r="9" spans="2:9" s="250" customFormat="1" ht="17.25">
      <c r="B9" s="261"/>
      <c r="C9" s="261"/>
      <c r="D9" s="261"/>
      <c r="E9" s="460"/>
      <c r="F9" s="461"/>
      <c r="G9" s="532">
        <f>IF(OR(E8="English",E8="Anglais",E8="Englisch"),"X","")</f>
      </c>
      <c r="H9" s="533"/>
      <c r="I9" s="533"/>
    </row>
    <row r="10" spans="2:9" ht="15" customHeight="1" thickBot="1">
      <c r="B10" s="456"/>
      <c r="C10" s="456"/>
      <c r="D10" s="457"/>
      <c r="E10" s="462"/>
      <c r="F10" s="454"/>
      <c r="G10" s="534" t="str">
        <f>IF(OR(E8="Français",E8="French",E8="Französisch"),"X","")</f>
        <v>X</v>
      </c>
      <c r="H10" s="535"/>
      <c r="I10" s="535"/>
    </row>
    <row r="11" spans="2:9" s="251" customFormat="1" ht="51.75" customHeight="1">
      <c r="B11" s="455" t="str">
        <f>Lbl_Choix_FR</f>
        <v>Après avoir sélectionné la langue souhaitée (le français est la langue par défaut ) et lu les instructions ci-après, vous pouvez passer au formulaire "Part I". L'accès est possible par les tabulations/onglets en bas à gauche de cet écran.</v>
      </c>
      <c r="C11" s="455"/>
      <c r="D11" s="455"/>
      <c r="E11" s="455"/>
      <c r="F11" s="455"/>
      <c r="G11" s="455"/>
      <c r="H11" s="455"/>
      <c r="I11" s="455"/>
    </row>
    <row r="12" spans="2:9" s="251" customFormat="1" ht="46.5" customHeight="1">
      <c r="B12" s="521"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1"/>
      <c r="D12" s="521"/>
      <c r="E12" s="521"/>
      <c r="F12" s="521"/>
      <c r="G12" s="521"/>
      <c r="H12" s="521"/>
      <c r="I12" s="521"/>
    </row>
    <row r="13" spans="2:9" s="23" customFormat="1" ht="48.75" customHeight="1">
      <c r="B13" s="521"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1"/>
      <c r="D13" s="521"/>
      <c r="E13" s="521"/>
      <c r="F13" s="521"/>
      <c r="G13" s="521"/>
      <c r="H13" s="521"/>
      <c r="I13" s="521"/>
    </row>
    <row r="14" spans="2:9" s="23" customFormat="1" ht="30" customHeight="1">
      <c r="B14" s="258"/>
      <c r="C14" s="258"/>
      <c r="D14" s="258"/>
      <c r="E14" s="258"/>
      <c r="F14" s="258"/>
      <c r="G14" s="258"/>
      <c r="H14" s="258"/>
      <c r="I14" s="258"/>
    </row>
    <row r="15" spans="2:9" s="272" customFormat="1" ht="48.75" customHeight="1">
      <c r="B15" s="452" t="str">
        <f>Lbl_Fill_Form</f>
        <v>COMMENT REMPLIR LE FORMULAIRE :</v>
      </c>
      <c r="C15" s="452"/>
      <c r="D15" s="452"/>
      <c r="E15" s="452"/>
      <c r="F15" s="452"/>
      <c r="G15" s="452"/>
      <c r="H15" s="452"/>
      <c r="I15" s="452"/>
    </row>
    <row r="16" spans="2:9" s="249" customFormat="1" ht="45" customHeight="1">
      <c r="B16" s="518" t="str">
        <f>Lbl_Line1</f>
        <v>1. Veuillez lire les lignes directrices relatives à l'appel à propositions VP/2002/010  concernant des projets d'échange et de coopération transnationale visant à combattre l'exclusion sociale (au titre de la ligne B3-4105 du budget 2002).</v>
      </c>
      <c r="C16" s="518"/>
      <c r="D16" s="518"/>
      <c r="E16" s="518"/>
      <c r="F16" s="518"/>
      <c r="G16" s="518"/>
      <c r="H16" s="518"/>
      <c r="I16" s="518"/>
    </row>
    <row r="17" spans="2:9" s="259" customFormat="1" ht="45" customHeight="1">
      <c r="B17" s="518"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8"/>
      <c r="D17" s="518"/>
      <c r="E17" s="518"/>
      <c r="F17" s="518"/>
      <c r="G17" s="518"/>
      <c r="H17" s="518"/>
      <c r="I17" s="518"/>
    </row>
    <row r="18" spans="2:9" s="259" customFormat="1" ht="45" customHeight="1">
      <c r="B18" s="518" t="str">
        <f>Lbl_Line3</f>
        <v>3. La principale organisation candidate devra remplir, signer et dater la partie I "Présentation de l'organisation chef de file". </v>
      </c>
      <c r="C18" s="518"/>
      <c r="D18" s="518"/>
      <c r="E18" s="518"/>
      <c r="F18" s="518"/>
      <c r="G18" s="518"/>
      <c r="H18" s="518"/>
      <c r="I18" s="518"/>
    </row>
    <row r="19" spans="2:9" s="259" customFormat="1" ht="45" customHeight="1">
      <c r="B19" s="518" t="str">
        <f>Lbl_Line4</f>
        <v>4. Chaque organisation partenaire devra remplir, signer et dater la partie II "Informations concernant les organisations co-candidates/partenaires".</v>
      </c>
      <c r="C19" s="518"/>
      <c r="D19" s="518"/>
      <c r="E19" s="518"/>
      <c r="F19" s="518"/>
      <c r="G19" s="518"/>
      <c r="H19" s="518"/>
      <c r="I19" s="518"/>
    </row>
    <row r="20" spans="2:9" s="259" customFormat="1" ht="45" customHeight="1">
      <c r="B20" s="518" t="str">
        <f>Lbl_Line5</f>
        <v>5. La principale organisation candidate, en consultation avec les organisations partenaires, devra remplir la partie III "Description et justification de la proposition" et la partie IV "Budget de la proposition". </v>
      </c>
      <c r="C20" s="518"/>
      <c r="D20" s="518"/>
      <c r="E20" s="518"/>
      <c r="F20" s="518"/>
      <c r="G20" s="518"/>
      <c r="H20" s="518"/>
      <c r="I20" s="518"/>
    </row>
    <row r="21" spans="2:9" s="259" customFormat="1" ht="45" customHeight="1">
      <c r="B21" s="520" t="str">
        <f>Lbl_Line6</f>
        <v>6. Veuillez joindre les documents suivants dans votre envoi par courrier (voir aussi la check-list dans les 'Instructions pour le candidat" pour l'appel VP/2002/010):</v>
      </c>
      <c r="C21" s="520"/>
      <c r="D21" s="520"/>
      <c r="E21" s="520"/>
      <c r="F21" s="520"/>
      <c r="G21" s="520"/>
      <c r="H21" s="520"/>
      <c r="I21" s="520"/>
    </row>
    <row r="22" spans="2:9" s="259" customFormat="1" ht="30" customHeight="1">
      <c r="B22" s="518" t="str">
        <f>Lbl_Line7</f>
        <v>. une lettre d'accompagnement présentant votre demande de financement,</v>
      </c>
      <c r="C22" s="518"/>
      <c r="D22" s="518"/>
      <c r="E22" s="518"/>
      <c r="F22" s="518"/>
      <c r="G22" s="518"/>
      <c r="H22" s="518"/>
      <c r="I22" s="518"/>
    </row>
    <row r="23" spans="2:9" s="259" customFormat="1" ht="30" customHeight="1">
      <c r="B23" s="518" t="str">
        <f>Lbl_Line8</f>
        <v>. l'original et une copie de votre formulaire de demande (parties I, II, III et IV), y compris de tout feuillet supplémentaire,</v>
      </c>
      <c r="C23" s="518"/>
      <c r="D23" s="518"/>
      <c r="E23" s="518"/>
      <c r="F23" s="518"/>
      <c r="G23" s="518"/>
      <c r="H23" s="518"/>
      <c r="I23" s="518"/>
    </row>
    <row r="24" spans="2:9" s="259" customFormat="1" ht="54" customHeight="1" hidden="1">
      <c r="B24" s="518"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8"/>
      <c r="D24" s="518"/>
      <c r="E24" s="518"/>
      <c r="F24" s="518"/>
      <c r="G24" s="518"/>
      <c r="H24" s="518"/>
      <c r="I24" s="518"/>
    </row>
    <row r="25" spans="2:9" s="259" customFormat="1" ht="45" customHeight="1">
      <c r="B25" s="518" t="str">
        <f>Lbl_Line10</f>
        <v>. le curriculum vitae détaillé/la description des tâches du responsable de projet,</v>
      </c>
      <c r="C25" s="518"/>
      <c r="D25" s="518"/>
      <c r="E25" s="518"/>
      <c r="F25" s="518"/>
      <c r="G25" s="518"/>
      <c r="H25" s="518"/>
      <c r="I25" s="518"/>
    </row>
    <row r="26" spans="2:9" s="259" customFormat="1" ht="30" customHeight="1">
      <c r="B26" s="518" t="str">
        <f>Lbl_Line11</f>
        <v>. deux exemplaires de votre rapport d'activité ou de votre rapport annuel le plus récent,</v>
      </c>
      <c r="C26" s="518"/>
      <c r="D26" s="518"/>
      <c r="E26" s="518"/>
      <c r="F26" s="518"/>
      <c r="G26" s="518"/>
      <c r="H26" s="518"/>
      <c r="I26" s="518"/>
    </row>
    <row r="27" spans="2:9" s="259" customFormat="1" ht="30" customHeight="1">
      <c r="B27" s="518" t="str">
        <f>Lbl_Line12</f>
        <v>. deux exemplaires de vos comptes de 2001 ou d'informations financières équivalentes, de préférence accompagnés d'un certificat d'audit,</v>
      </c>
      <c r="C27" s="518"/>
      <c r="D27" s="518"/>
      <c r="E27" s="518"/>
      <c r="F27" s="518"/>
      <c r="G27" s="518"/>
      <c r="H27" s="518"/>
      <c r="I27" s="518"/>
    </row>
    <row r="28" spans="2:9" s="259" customFormat="1" ht="30" customHeight="1">
      <c r="B28" s="518" t="str">
        <f>Lbl_Line13</f>
        <v>. deux exemplaires des statuts ou d'un document équivalent de la principale organisation candidate, </v>
      </c>
      <c r="C28" s="518"/>
      <c r="D28" s="518"/>
      <c r="E28" s="518"/>
      <c r="F28" s="518"/>
      <c r="G28" s="518"/>
      <c r="H28" s="518"/>
      <c r="I28" s="518"/>
    </row>
    <row r="29" spans="2:9" s="259" customFormat="1" ht="30" customHeight="1">
      <c r="B29" s="518" t="str">
        <f>Lbl_Line14</f>
        <v>. et le relevé bancaire (signalétique financier annexé à la partie I ) signé concernant le compte sur lequel les versements pour la proposition devront être effectués.</v>
      </c>
      <c r="C29" s="518"/>
      <c r="D29" s="518"/>
      <c r="E29" s="518"/>
      <c r="F29" s="518"/>
      <c r="G29" s="518"/>
      <c r="H29" s="518"/>
      <c r="I29" s="518"/>
    </row>
    <row r="30" spans="2:9" s="259" customFormat="1" ht="39.75" customHeight="1">
      <c r="B30" s="518" t="str">
        <f>Lbl_Line15</f>
        <v>Si vous le souhaitez, vous pouvez également développer un point du formulaire de demande sur un ou plusieurs feuillet(s) séparé(s). Dans ce cas, veuillez l'indiquer clairement dans la partie concernée du formulaire de demande et sur le(s) feuillet(s).  </v>
      </c>
      <c r="C30" s="518"/>
      <c r="D30" s="518"/>
      <c r="E30" s="518"/>
      <c r="F30" s="518"/>
      <c r="G30" s="518"/>
      <c r="H30" s="518"/>
      <c r="I30" s="518"/>
    </row>
    <row r="31" spans="2:9" s="247" customFormat="1" ht="39.75" customHeight="1">
      <c r="B31" s="518" t="str">
        <f>Lbl_Line16</f>
        <v>7. Envoyez votre candidature signée et datée par courrier (ou par courrier express en veillant à ce que la date d'enlèvement soit bien lisible sur le bordereau d'envoi) au plus tard le 05/07/2002 à l'adresse suivante:</v>
      </c>
      <c r="C31" s="518"/>
      <c r="D31" s="518"/>
      <c r="E31" s="518"/>
      <c r="F31" s="518"/>
      <c r="G31" s="518"/>
      <c r="H31" s="518"/>
      <c r="I31" s="518"/>
    </row>
    <row r="32" spans="2:9" s="257" customFormat="1" ht="15">
      <c r="B32" s="519" t="str">
        <f>Lbl_Com0</f>
        <v>Archives (J-37 0/26) - Appel à propositions VP/2002/010</v>
      </c>
      <c r="C32" s="519"/>
      <c r="D32" s="519"/>
      <c r="E32" s="519"/>
      <c r="F32" s="519"/>
      <c r="G32" s="519"/>
      <c r="H32" s="519"/>
      <c r="I32" s="519"/>
    </row>
    <row r="33" spans="2:9" s="257" customFormat="1" ht="15">
      <c r="B33" s="519" t="str">
        <f>Lbl_Com1</f>
        <v>Commission européenne</v>
      </c>
      <c r="C33" s="519"/>
      <c r="D33" s="519"/>
      <c r="E33" s="519"/>
      <c r="F33" s="248"/>
      <c r="G33" s="248"/>
      <c r="H33" s="248"/>
      <c r="I33" s="248"/>
    </row>
    <row r="34" spans="2:9" s="257" customFormat="1" ht="15">
      <c r="B34" s="519" t="str">
        <f>Lbl_Com2</f>
        <v>DG Emploi et affaires sociales</v>
      </c>
      <c r="C34" s="519"/>
      <c r="D34" s="519"/>
      <c r="E34" s="442"/>
      <c r="F34" s="248"/>
      <c r="G34" s="248"/>
      <c r="H34" s="248"/>
      <c r="I34" s="248"/>
    </row>
    <row r="35" spans="2:9" s="257" customFormat="1" ht="15" hidden="1">
      <c r="B35" s="519" t="str">
        <f>Lbl_Com3</f>
        <v>Rue de la Loi 200/Wetstraat 200</v>
      </c>
      <c r="C35" s="519"/>
      <c r="D35" s="519"/>
      <c r="E35" s="248"/>
      <c r="F35" s="248"/>
      <c r="G35" s="248"/>
      <c r="H35" s="248"/>
      <c r="I35" s="248"/>
    </row>
    <row r="36" spans="2:9" s="257" customFormat="1" ht="15">
      <c r="B36" s="519" t="str">
        <f>Lbl_Com4</f>
        <v>B-1049 Bruxelles</v>
      </c>
      <c r="C36" s="519"/>
      <c r="D36" s="519"/>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8" t="str">
        <f>Lbl_Line17</f>
        <v>8. Envoyez les quatre parties remplies du formulaire de candidature par courrier électronique au plus tard le 05/07/2002 à l'adresse suivante: empl-e2@cec.eu.int  avec la mention "VP/2002/010 - candidature"</v>
      </c>
      <c r="C38" s="518"/>
      <c r="D38" s="518"/>
      <c r="E38" s="518"/>
      <c r="F38" s="518"/>
      <c r="G38" s="518"/>
      <c r="H38" s="518"/>
      <c r="I38" s="518"/>
    </row>
    <row r="39" spans="2:9" s="247" customFormat="1" ht="48.75" customHeight="1">
      <c r="B39" s="518" t="str">
        <f>Lbl_Line18</f>
        <v>9. Pour toute question concernant votre demande, contactez nous en citant la référence "VP/2002/010 - info" auprès des points de contact mentionnés dans les lignes directrices.  </v>
      </c>
      <c r="C39" s="518"/>
      <c r="D39" s="518"/>
      <c r="E39" s="518"/>
      <c r="F39" s="518"/>
      <c r="G39" s="518"/>
      <c r="H39" s="518"/>
      <c r="I39" s="518"/>
    </row>
    <row r="40" spans="2:9" s="247" customFormat="1" ht="6" customHeight="1">
      <c r="B40" s="246"/>
      <c r="C40" s="246"/>
      <c r="D40" s="246"/>
      <c r="E40" s="246"/>
      <c r="F40" s="246"/>
      <c r="G40" s="246"/>
      <c r="H40" s="246"/>
      <c r="I40" s="246"/>
    </row>
    <row r="41" spans="2:9" s="250" customFormat="1" ht="40.5" customHeight="1">
      <c r="B41" s="522" t="str">
        <f>Lbl_Instruction</f>
        <v>INSTRUCTIONS POUR LA PARTIE I :</v>
      </c>
      <c r="C41" s="522"/>
      <c r="D41" s="522"/>
      <c r="E41" s="522"/>
      <c r="F41" s="522"/>
      <c r="G41" s="522"/>
      <c r="H41" s="522"/>
      <c r="I41" s="522"/>
    </row>
    <row r="42" spans="2:9" ht="58.5" customHeight="1">
      <c r="B42" s="444"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4"/>
      <c r="D42" s="444"/>
      <c r="E42" s="444"/>
      <c r="F42" s="444"/>
      <c r="G42" s="444"/>
      <c r="H42" s="444"/>
      <c r="I42" s="444"/>
    </row>
    <row r="43" spans="2:9" ht="59.25" customHeight="1">
      <c r="B43" s="447"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7"/>
      <c r="D43" s="447"/>
      <c r="E43" s="447"/>
      <c r="F43" s="447"/>
      <c r="G43" s="447"/>
      <c r="H43" s="447"/>
      <c r="I43" s="447"/>
    </row>
    <row r="44" spans="2:9" ht="39.75" customHeight="1">
      <c r="B44" s="245"/>
      <c r="C44" s="450"/>
      <c r="D44" s="450"/>
      <c r="E44" s="449"/>
      <c r="F44" s="449"/>
      <c r="G44" s="451"/>
      <c r="H44" s="451"/>
      <c r="I44" s="245"/>
    </row>
    <row r="45" spans="2:9" ht="41.25" customHeight="1">
      <c r="B45" s="445" t="str">
        <f>Lbl_Instruction2</f>
        <v>Vous pouvez vous déplacer d'une case à l'autre en utilisant la touche "tab".  Lorsque sur une cellule, vous voyez un petit bouton juxtaposé avec une flèche, vous devez utiliser une valeur de la liste déroulante, en cliquant sur ce bouton.</v>
      </c>
      <c r="C45" s="446"/>
      <c r="D45" s="446"/>
      <c r="E45" s="446"/>
      <c r="F45" s="446"/>
      <c r="G45" s="446"/>
      <c r="H45" s="446"/>
      <c r="I45" s="446"/>
    </row>
    <row r="46" spans="2:9" ht="41.25" customHeight="1">
      <c r="B46" s="96"/>
      <c r="C46" s="96"/>
      <c r="D46" s="96"/>
      <c r="E46" s="96"/>
      <c r="F46" s="96"/>
      <c r="G46" s="96"/>
      <c r="H46" s="96"/>
      <c r="I46" s="96"/>
    </row>
    <row r="47" spans="2:9" ht="84" customHeight="1">
      <c r="B47" s="443"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3"/>
      <c r="D47" s="443"/>
      <c r="E47" s="443"/>
      <c r="F47" s="443"/>
      <c r="G47" s="443"/>
      <c r="H47" s="443"/>
      <c r="I47" s="443"/>
    </row>
    <row r="48" spans="2:9" ht="41.25" customHeight="1">
      <c r="B48" s="443"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3"/>
      <c r="D48" s="443"/>
      <c r="E48" s="443"/>
      <c r="F48" s="443"/>
      <c r="G48" s="443"/>
      <c r="H48" s="443"/>
      <c r="I48" s="443"/>
    </row>
    <row r="49" spans="2:9" ht="96.75" customHeight="1">
      <c r="B49" s="443"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3"/>
      <c r="D49" s="443"/>
      <c r="E49" s="443"/>
      <c r="F49" s="443"/>
      <c r="G49" s="443"/>
      <c r="H49" s="443"/>
      <c r="I49" s="443"/>
    </row>
    <row r="50" spans="2:9" ht="41.25" customHeight="1">
      <c r="B50" s="443" t="str">
        <f>lbl_instructions5</f>
        <v>Veuillez éviter les mentions 'Néant' et laisser vierges les cellules où vous n'avez pas d'informations à y insérer</v>
      </c>
      <c r="C50" s="443"/>
      <c r="D50" s="443"/>
      <c r="E50" s="443"/>
      <c r="F50" s="443"/>
      <c r="G50" s="443"/>
      <c r="H50" s="443"/>
      <c r="I50" s="443"/>
    </row>
    <row r="51" spans="2:9" ht="18.75" customHeight="1">
      <c r="B51" s="96"/>
      <c r="C51" s="96"/>
      <c r="D51" s="96"/>
      <c r="E51" s="96"/>
      <c r="F51" s="96"/>
      <c r="G51" s="96"/>
      <c r="H51" s="96"/>
      <c r="I51" s="96"/>
    </row>
    <row r="52" spans="2:9" ht="51" customHeight="1">
      <c r="B52" s="448"/>
      <c r="C52" s="448"/>
      <c r="D52" s="448"/>
      <c r="E52" s="448"/>
      <c r="F52" s="448"/>
      <c r="G52" s="448"/>
      <c r="H52" s="448"/>
      <c r="I52" s="448"/>
    </row>
    <row r="54" spans="2:9" ht="12.75">
      <c r="B54" s="453"/>
      <c r="C54" s="453"/>
      <c r="D54" s="453"/>
      <c r="E54" s="453"/>
      <c r="F54" s="453"/>
      <c r="G54" s="453"/>
      <c r="H54" s="453"/>
      <c r="I54" s="453"/>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1"/>
      <c r="D1" s="409"/>
      <c r="E1" s="409"/>
      <c r="F1" s="409"/>
      <c r="G1" s="409"/>
      <c r="H1" s="409"/>
      <c r="I1" s="409"/>
      <c r="J1" s="409"/>
      <c r="K1" s="409"/>
      <c r="L1" s="409"/>
      <c r="M1" s="410"/>
      <c r="N1" s="218"/>
      <c r="O1" s="76"/>
      <c r="P1" s="182"/>
      <c r="Q1" s="182"/>
      <c r="R1" s="182"/>
      <c r="S1" s="182"/>
      <c r="T1" s="182"/>
      <c r="U1" s="182"/>
      <c r="V1" s="182"/>
      <c r="W1" s="182"/>
      <c r="X1" s="182"/>
      <c r="Y1" s="182"/>
      <c r="Z1" s="182"/>
      <c r="AA1" s="96"/>
    </row>
    <row r="2" spans="1:27" s="103" customFormat="1" ht="13.5" customHeight="1">
      <c r="A2" s="176"/>
      <c r="B2" s="192"/>
      <c r="C2" s="412"/>
      <c r="D2" s="672" t="str">
        <f>Lbl_TitreCall</f>
        <v>PROGRAMME D'ÉCHANGE TRANSNATIONAL - PHASE I</v>
      </c>
      <c r="E2" s="673"/>
      <c r="F2" s="673"/>
      <c r="G2" s="673"/>
      <c r="H2" s="673"/>
      <c r="I2" s="673"/>
      <c r="J2" s="673"/>
      <c r="K2" s="673"/>
      <c r="L2" s="673"/>
      <c r="M2" s="673"/>
      <c r="N2" s="219"/>
      <c r="O2" s="76"/>
      <c r="P2" s="182"/>
      <c r="Q2" s="182"/>
      <c r="R2" s="182"/>
      <c r="S2" s="182"/>
      <c r="T2" s="182"/>
      <c r="U2" s="182"/>
      <c r="V2" s="182"/>
      <c r="W2" s="182"/>
      <c r="X2" s="182"/>
      <c r="Y2" s="182"/>
      <c r="Z2" s="182"/>
      <c r="AA2" s="96"/>
    </row>
    <row r="3" spans="1:27" s="4" customFormat="1" ht="24.75" customHeight="1">
      <c r="A3" s="177"/>
      <c r="B3" s="193"/>
      <c r="C3" s="412"/>
      <c r="D3" s="671" t="str">
        <f>Lbl_Title_Line1</f>
        <v>FORMULAIRE DE DEMANDE 2002</v>
      </c>
      <c r="E3" s="671"/>
      <c r="F3" s="671"/>
      <c r="G3" s="671"/>
      <c r="H3" s="671"/>
      <c r="I3" s="671"/>
      <c r="J3" s="671"/>
      <c r="K3" s="671"/>
      <c r="L3" s="671"/>
      <c r="M3" s="219"/>
      <c r="N3" s="219"/>
      <c r="O3" s="76"/>
      <c r="P3" s="182"/>
      <c r="Q3" s="182"/>
      <c r="R3" s="182"/>
      <c r="S3" s="182"/>
      <c r="T3" s="182"/>
      <c r="U3" s="182"/>
      <c r="V3" s="182"/>
      <c r="W3" s="182"/>
      <c r="X3" s="182"/>
      <c r="Y3" s="182"/>
      <c r="Z3" s="182"/>
      <c r="AA3" s="96"/>
    </row>
    <row r="4" spans="1:27" s="4" customFormat="1" ht="11.25" customHeight="1">
      <c r="A4" s="178"/>
      <c r="B4" s="194"/>
      <c r="C4" s="412"/>
      <c r="D4" s="671"/>
      <c r="E4" s="671"/>
      <c r="F4" s="671"/>
      <c r="G4" s="671"/>
      <c r="H4" s="671"/>
      <c r="I4" s="671"/>
      <c r="J4" s="671"/>
      <c r="K4" s="671"/>
      <c r="L4" s="671"/>
      <c r="M4" s="219"/>
      <c r="N4" s="219"/>
      <c r="O4" s="76"/>
      <c r="P4" s="182"/>
      <c r="Q4" s="182"/>
      <c r="R4" s="182"/>
      <c r="S4" s="182"/>
      <c r="T4" s="182"/>
      <c r="U4" s="182"/>
      <c r="V4" s="182"/>
      <c r="W4" s="182"/>
      <c r="X4" s="182"/>
      <c r="Y4" s="182"/>
      <c r="Z4" s="182"/>
      <c r="AA4" s="96"/>
    </row>
    <row r="5" spans="1:27" s="104" customFormat="1" ht="37.5" customHeight="1">
      <c r="A5" s="179"/>
      <c r="B5" s="195"/>
      <c r="C5" s="412"/>
      <c r="D5" s="667" t="str">
        <f>Lbl_Part_I</f>
        <v>PARTIE I.  PRÉSENTATION DE L'ORGANISATION CHEF DE FILE</v>
      </c>
      <c r="E5" s="667"/>
      <c r="F5" s="667"/>
      <c r="G5" s="667"/>
      <c r="H5" s="667"/>
      <c r="I5" s="667"/>
      <c r="J5" s="667"/>
      <c r="K5" s="667"/>
      <c r="L5" s="667"/>
      <c r="M5" s="219"/>
      <c r="N5" s="219"/>
      <c r="O5" s="76"/>
      <c r="P5" s="182"/>
      <c r="Q5" s="182"/>
      <c r="R5" s="182"/>
      <c r="S5" s="182"/>
      <c r="T5" s="182"/>
      <c r="U5" s="182"/>
      <c r="V5" s="182"/>
      <c r="W5" s="182"/>
      <c r="X5" s="182"/>
      <c r="Y5" s="182"/>
      <c r="Z5" s="182"/>
      <c r="AA5" s="96"/>
    </row>
    <row r="6" spans="1:27" s="5" customFormat="1" ht="9" customHeight="1">
      <c r="A6" s="180"/>
      <c r="B6" s="196"/>
      <c r="C6" s="197"/>
      <c r="D6" s="668"/>
      <c r="E6" s="668"/>
      <c r="F6" s="668"/>
      <c r="G6" s="668"/>
      <c r="H6" s="668"/>
      <c r="I6" s="668"/>
      <c r="J6" s="668"/>
      <c r="K6" s="668"/>
      <c r="L6" s="668"/>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69" t="str">
        <f>Lbl_Title_Line4</f>
        <v>LIGNE BUDGETAIRE</v>
      </c>
      <c r="E7" s="669"/>
      <c r="F7" s="669"/>
      <c r="G7" s="669"/>
      <c r="H7" s="669"/>
      <c r="I7" s="669"/>
      <c r="J7" s="670" t="s">
        <v>713</v>
      </c>
      <c r="K7" s="670"/>
      <c r="L7" s="217"/>
      <c r="M7" s="219"/>
      <c r="N7" s="220"/>
      <c r="O7" s="76"/>
      <c r="P7" s="182"/>
      <c r="Q7" s="182"/>
      <c r="R7" s="182"/>
      <c r="S7" s="182"/>
      <c r="T7" s="182"/>
      <c r="U7" s="182"/>
      <c r="V7" s="182"/>
      <c r="W7" s="182"/>
      <c r="X7" s="182"/>
      <c r="Y7" s="182"/>
      <c r="Z7" s="182"/>
      <c r="AA7" s="96"/>
    </row>
    <row r="8" spans="1:27" s="105" customFormat="1" ht="18">
      <c r="A8" s="181"/>
      <c r="B8" s="196"/>
      <c r="C8" s="197"/>
      <c r="D8" s="649" t="s">
        <v>712</v>
      </c>
      <c r="E8" s="650"/>
      <c r="F8" s="650"/>
      <c r="G8" s="650"/>
      <c r="H8" s="650"/>
      <c r="I8" s="650"/>
      <c r="J8" s="650"/>
      <c r="K8" s="650"/>
      <c r="L8" s="650"/>
      <c r="M8" s="219"/>
      <c r="N8" s="418"/>
      <c r="O8" s="76"/>
      <c r="P8" s="182"/>
      <c r="Q8" s="182"/>
      <c r="R8" s="182"/>
      <c r="S8" s="182"/>
      <c r="T8" s="182"/>
      <c r="U8" s="182"/>
      <c r="V8" s="182"/>
      <c r="W8" s="182"/>
      <c r="X8" s="182"/>
      <c r="Y8" s="182"/>
      <c r="Z8" s="182"/>
      <c r="AA8" s="96"/>
    </row>
    <row r="9" spans="1:27" s="105" customFormat="1" ht="9" customHeight="1" hidden="1" thickBot="1" thickTop="1">
      <c r="A9" s="382" t="str">
        <f>Lbl_Structure</f>
        <v>Structure, activités et ressources de l'organisation</v>
      </c>
      <c r="B9" s="198"/>
      <c r="C9" s="327" t="s">
        <v>1048</v>
      </c>
      <c r="D9" s="408">
        <v>37306</v>
      </c>
      <c r="E9" s="408"/>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6"/>
      <c r="B10" s="47"/>
      <c r="C10" s="48"/>
      <c r="D10" s="105"/>
      <c r="E10" s="105"/>
      <c r="F10" s="105"/>
      <c r="G10" s="389" t="s">
        <v>708</v>
      </c>
      <c r="H10" s="390"/>
      <c r="I10" s="390"/>
      <c r="J10" s="390"/>
      <c r="K10" s="390"/>
      <c r="L10" s="391"/>
      <c r="M10" s="96"/>
      <c r="N10" s="202"/>
      <c r="O10" s="76"/>
      <c r="P10" s="182"/>
      <c r="Q10" s="182"/>
      <c r="R10" s="182"/>
      <c r="S10" s="182"/>
      <c r="T10" s="182"/>
      <c r="U10" s="182"/>
      <c r="V10" s="182"/>
      <c r="W10" s="182"/>
      <c r="X10" s="182"/>
      <c r="Y10" s="182"/>
      <c r="Z10" s="182"/>
      <c r="AA10" s="96"/>
    </row>
    <row r="11" spans="1:27" s="4" customFormat="1" ht="25.5" customHeight="1" thickBot="1">
      <c r="A11" s="384"/>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6" t="str">
        <f>Lbl_Informations_générales</f>
        <v>Informations générales</v>
      </c>
      <c r="C12" s="797"/>
      <c r="D12" s="797"/>
      <c r="E12" s="797"/>
      <c r="F12" s="797"/>
      <c r="G12" s="797"/>
      <c r="H12" s="797"/>
      <c r="I12" s="797"/>
      <c r="J12" s="797"/>
      <c r="K12" s="797"/>
      <c r="L12" s="797"/>
      <c r="M12" s="96"/>
      <c r="N12" s="202"/>
      <c r="O12" s="76"/>
      <c r="P12" s="182"/>
      <c r="Q12" s="182"/>
      <c r="R12" s="182"/>
      <c r="S12" s="182"/>
      <c r="T12" s="182"/>
      <c r="U12" s="182"/>
      <c r="V12" s="182"/>
      <c r="W12" s="182"/>
      <c r="X12" s="182"/>
      <c r="Y12" s="182"/>
      <c r="Z12" s="182"/>
      <c r="AA12" s="96"/>
    </row>
    <row r="13" spans="1:27" ht="17.25" customHeight="1" thickTop="1">
      <c r="A13" s="591"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2"/>
      <c r="B14" s="204" t="s">
        <v>40</v>
      </c>
      <c r="C14" s="277" t="str">
        <f>Lbl_Nom_ou_raison_sociale</f>
        <v>Nom ou raison sociale</v>
      </c>
      <c r="D14" s="676"/>
      <c r="E14" s="677"/>
      <c r="F14" s="677"/>
      <c r="G14" s="677"/>
      <c r="H14" s="677"/>
      <c r="I14" s="677"/>
      <c r="J14" s="677"/>
      <c r="K14" s="677"/>
      <c r="L14" s="678"/>
      <c r="M14" s="96"/>
      <c r="N14" s="202"/>
      <c r="O14" s="76"/>
      <c r="P14" s="182"/>
      <c r="Q14" s="182"/>
      <c r="R14" s="182"/>
      <c r="S14" s="182"/>
      <c r="T14" s="182"/>
      <c r="U14" s="182"/>
      <c r="V14" s="182"/>
      <c r="W14" s="182"/>
      <c r="X14" s="182"/>
      <c r="Y14" s="182"/>
      <c r="Z14" s="182"/>
      <c r="AA14" s="96"/>
    </row>
    <row r="15" spans="1:27" ht="19.5" customHeight="1" thickTop="1">
      <c r="A15" s="591" t="str">
        <f>Lbl_Fin</f>
        <v>Fin du document</v>
      </c>
      <c r="B15" s="204" t="s">
        <v>43</v>
      </c>
      <c r="C15" s="277" t="str">
        <f>Lbl_Abréviation</f>
        <v>Abréviation</v>
      </c>
      <c r="D15" s="441"/>
      <c r="E15" s="435"/>
      <c r="F15" s="435"/>
      <c r="G15" s="435"/>
      <c r="H15" s="435"/>
      <c r="I15" s="435"/>
      <c r="J15" s="435"/>
      <c r="K15" s="435"/>
      <c r="L15" s="436"/>
      <c r="M15" s="96"/>
      <c r="N15" s="202"/>
      <c r="O15" s="76"/>
      <c r="P15" s="182"/>
      <c r="Q15" s="182"/>
      <c r="R15" s="182"/>
      <c r="S15" s="182"/>
      <c r="T15" s="182"/>
      <c r="U15" s="182"/>
      <c r="V15" s="182"/>
      <c r="W15" s="182"/>
      <c r="X15" s="182"/>
      <c r="Y15" s="182"/>
      <c r="Z15" s="182"/>
      <c r="AA15" s="96"/>
    </row>
    <row r="16" spans="1:27" ht="17.25" customHeight="1" thickBot="1">
      <c r="A16" s="592"/>
      <c r="B16" s="204" t="s">
        <v>44</v>
      </c>
      <c r="C16" s="277" t="str">
        <f>LbL_Statut_légal</f>
        <v>Statut légal</v>
      </c>
      <c r="D16" s="675"/>
      <c r="E16" s="675"/>
      <c r="F16" s="675"/>
      <c r="G16" s="675"/>
      <c r="H16" s="675"/>
      <c r="I16" s="675"/>
      <c r="J16" s="675"/>
      <c r="K16" s="675"/>
      <c r="L16" s="675"/>
      <c r="M16" s="96"/>
      <c r="N16" s="202"/>
      <c r="O16" s="76"/>
      <c r="P16" s="182"/>
      <c r="Q16" s="182"/>
      <c r="R16" s="182"/>
      <c r="S16" s="182"/>
      <c r="T16" s="182"/>
      <c r="U16" s="182"/>
      <c r="V16" s="182"/>
      <c r="W16" s="182"/>
      <c r="X16" s="182"/>
      <c r="Y16" s="182"/>
      <c r="Z16" s="182"/>
      <c r="AA16" s="96"/>
    </row>
    <row r="17" spans="1:27" ht="22.5" customHeight="1" thickTop="1">
      <c r="A17" s="602"/>
      <c r="B17" s="204" t="s">
        <v>45</v>
      </c>
      <c r="C17" s="277" t="str">
        <f>Lbl_Type_Org</f>
        <v>Type d'organisation</v>
      </c>
      <c r="D17" s="725"/>
      <c r="E17" s="726"/>
      <c r="F17" s="726"/>
      <c r="G17" s="726"/>
      <c r="H17" s="726"/>
      <c r="I17" s="726"/>
      <c r="J17" s="726"/>
      <c r="K17" s="726"/>
      <c r="L17" s="727"/>
      <c r="M17" s="96"/>
      <c r="N17" s="202"/>
      <c r="O17" s="76"/>
      <c r="P17" s="182"/>
      <c r="Q17" s="182"/>
      <c r="R17" s="182"/>
      <c r="S17" s="182"/>
      <c r="T17" s="182"/>
      <c r="U17" s="182"/>
      <c r="V17" s="182"/>
      <c r="W17" s="182"/>
      <c r="X17" s="182"/>
      <c r="Y17" s="182"/>
      <c r="Z17" s="182"/>
      <c r="AA17" s="96"/>
    </row>
    <row r="18" spans="1:27" ht="22.5" customHeight="1" hidden="1">
      <c r="A18" s="602"/>
      <c r="B18" s="204" t="s">
        <v>1961</v>
      </c>
      <c r="C18" s="277" t="str">
        <f>Lbl_Adresse</f>
        <v>Adresse</v>
      </c>
      <c r="D18" s="728"/>
      <c r="E18" s="728"/>
      <c r="F18" s="728"/>
      <c r="G18" s="728"/>
      <c r="H18" s="728"/>
      <c r="I18" s="728"/>
      <c r="J18" s="728"/>
      <c r="K18" s="728"/>
      <c r="L18" s="728"/>
      <c r="M18" s="96"/>
      <c r="N18" s="202"/>
      <c r="O18" s="76"/>
      <c r="P18" s="182"/>
      <c r="Q18" s="182"/>
      <c r="R18" s="182"/>
      <c r="S18" s="182"/>
      <c r="T18" s="182"/>
      <c r="U18" s="182"/>
      <c r="V18" s="182"/>
      <c r="W18" s="182"/>
      <c r="X18" s="182"/>
      <c r="Y18" s="182"/>
      <c r="Z18" s="182"/>
      <c r="AA18" s="96"/>
    </row>
    <row r="19" spans="1:27" ht="16.5" customHeight="1">
      <c r="A19" s="602"/>
      <c r="B19" s="204" t="s">
        <v>1961</v>
      </c>
      <c r="C19" s="277" t="str">
        <f>Lbl_Adresse</f>
        <v>Adresse</v>
      </c>
      <c r="D19" s="729"/>
      <c r="E19" s="730"/>
      <c r="F19" s="730"/>
      <c r="G19" s="730"/>
      <c r="H19" s="730"/>
      <c r="I19" s="730"/>
      <c r="J19" s="730"/>
      <c r="K19" s="730"/>
      <c r="L19" s="731"/>
      <c r="M19" s="96"/>
      <c r="N19" s="202"/>
      <c r="O19" s="76"/>
      <c r="P19" s="182"/>
      <c r="Q19" s="182"/>
      <c r="R19" s="182"/>
      <c r="S19" s="182"/>
      <c r="T19" s="182"/>
      <c r="U19" s="182"/>
      <c r="V19" s="182"/>
      <c r="W19" s="182"/>
      <c r="X19" s="182"/>
      <c r="Y19" s="182"/>
      <c r="Z19" s="182"/>
      <c r="AA19" s="96"/>
    </row>
    <row r="20" spans="1:27" ht="17.25" customHeight="1">
      <c r="A20" s="602"/>
      <c r="B20" s="204"/>
      <c r="C20" s="277"/>
      <c r="D20" s="674"/>
      <c r="E20" s="674"/>
      <c r="F20" s="674"/>
      <c r="G20" s="674"/>
      <c r="H20" s="674"/>
      <c r="I20" s="674"/>
      <c r="J20" s="674"/>
      <c r="K20" s="674"/>
      <c r="L20" s="674"/>
      <c r="M20" s="96"/>
      <c r="N20" s="202"/>
      <c r="O20" s="76"/>
      <c r="P20" s="182"/>
      <c r="Q20" s="182"/>
      <c r="R20" s="182"/>
      <c r="S20" s="182"/>
      <c r="T20" s="182"/>
      <c r="U20" s="182"/>
      <c r="V20" s="182"/>
      <c r="W20" s="182"/>
      <c r="X20" s="182"/>
      <c r="Y20" s="182"/>
      <c r="Z20" s="182"/>
      <c r="AA20" s="96"/>
    </row>
    <row r="21" spans="1:27" ht="23.25" customHeight="1">
      <c r="A21" s="602"/>
      <c r="B21" s="204" t="s">
        <v>1962</v>
      </c>
      <c r="C21" s="277" t="str">
        <f>Lbl_Code_postal&amp;" / "&amp;Lbl_Ville</f>
        <v>Code postal / Ville</v>
      </c>
      <c r="D21" s="599"/>
      <c r="E21" s="601"/>
      <c r="F21" s="720"/>
      <c r="G21" s="721"/>
      <c r="H21" s="721"/>
      <c r="I21" s="721"/>
      <c r="J21" s="721"/>
      <c r="K21" s="721"/>
      <c r="L21" s="722"/>
      <c r="M21" s="96"/>
      <c r="N21" s="202"/>
      <c r="O21" s="76"/>
      <c r="P21" s="182"/>
      <c r="Q21" s="182"/>
      <c r="R21" s="182"/>
      <c r="S21" s="182"/>
      <c r="T21" s="182"/>
      <c r="U21" s="182"/>
      <c r="V21" s="182"/>
      <c r="W21" s="182"/>
      <c r="X21" s="182"/>
      <c r="Y21" s="182"/>
      <c r="Z21" s="182"/>
      <c r="AA21" s="96"/>
    </row>
    <row r="22" spans="1:27" ht="18" customHeight="1">
      <c r="A22" s="602"/>
      <c r="B22" s="204" t="s">
        <v>1963</v>
      </c>
      <c r="C22" s="277" t="str">
        <f>Lbl_Pays</f>
        <v>Pays</v>
      </c>
      <c r="D22" s="679"/>
      <c r="E22" s="679"/>
      <c r="F22" s="679"/>
      <c r="G22" s="679"/>
      <c r="H22" s="679"/>
      <c r="I22" s="679"/>
      <c r="J22" s="679"/>
      <c r="K22" s="679"/>
      <c r="L22" s="679"/>
      <c r="M22" s="96"/>
      <c r="N22" s="202"/>
      <c r="O22" s="76"/>
      <c r="P22" s="182"/>
      <c r="Q22" s="182"/>
      <c r="R22" s="182"/>
      <c r="S22" s="182"/>
      <c r="T22" s="182"/>
      <c r="U22" s="182"/>
      <c r="V22" s="182"/>
      <c r="W22" s="182"/>
      <c r="X22" s="182"/>
      <c r="Y22" s="182"/>
      <c r="Z22" s="182"/>
      <c r="AA22" s="96"/>
    </row>
    <row r="23" spans="1:27" ht="20.25" customHeight="1">
      <c r="A23" s="602"/>
      <c r="B23" s="204" t="s">
        <v>1964</v>
      </c>
      <c r="C23" s="285" t="str">
        <f>Lbl_Téléphone&amp;" "&amp;Lbl_Organisme_demandeur</f>
        <v>Téléphone Organisme demandeur</v>
      </c>
      <c r="D23" s="720"/>
      <c r="E23" s="721"/>
      <c r="F23" s="721"/>
      <c r="G23" s="721"/>
      <c r="H23" s="722"/>
      <c r="I23" s="732" t="s">
        <v>2063</v>
      </c>
      <c r="J23" s="733"/>
      <c r="K23" s="733"/>
      <c r="L23" s="734"/>
      <c r="M23" s="96"/>
      <c r="N23" s="202"/>
      <c r="O23" s="76"/>
      <c r="P23" s="182"/>
      <c r="Q23" s="182"/>
      <c r="R23" s="182"/>
      <c r="S23" s="182"/>
      <c r="T23" s="182"/>
      <c r="U23" s="182"/>
      <c r="V23" s="182"/>
      <c r="W23" s="182"/>
      <c r="X23" s="182"/>
      <c r="Y23" s="182"/>
      <c r="Z23" s="182"/>
      <c r="AA23" s="96"/>
    </row>
    <row r="24" spans="1:27" ht="19.5" customHeight="1">
      <c r="A24" s="175"/>
      <c r="B24" s="204" t="s">
        <v>1965</v>
      </c>
      <c r="C24" s="285" t="str">
        <f>Lbl_Télécopieur&amp;" "&amp;Lbl_Organisme_demandeur</f>
        <v>Télécopieur Organisme demandeur</v>
      </c>
      <c r="D24" s="720"/>
      <c r="E24" s="721"/>
      <c r="F24" s="721"/>
      <c r="G24" s="721"/>
      <c r="H24" s="722"/>
      <c r="I24" s="732" t="s">
        <v>2064</v>
      </c>
      <c r="J24" s="733"/>
      <c r="K24" s="733"/>
      <c r="L24" s="734"/>
      <c r="M24" s="96"/>
      <c r="N24" s="202"/>
      <c r="O24" s="76"/>
      <c r="P24" s="182"/>
      <c r="Q24" s="182"/>
      <c r="R24" s="182"/>
      <c r="S24" s="182"/>
      <c r="T24" s="182"/>
      <c r="U24" s="182"/>
      <c r="V24" s="182"/>
      <c r="W24" s="182"/>
      <c r="X24" s="182"/>
      <c r="Y24" s="182"/>
      <c r="Z24" s="182"/>
      <c r="AA24" s="96"/>
    </row>
    <row r="25" spans="1:27" ht="18.75" customHeight="1">
      <c r="A25" s="175"/>
      <c r="B25" s="204" t="s">
        <v>1966</v>
      </c>
      <c r="C25" s="277" t="str">
        <f>Lbl_E_mail</f>
        <v>E-mail</v>
      </c>
      <c r="D25" s="712"/>
      <c r="E25" s="712"/>
      <c r="F25" s="712"/>
      <c r="G25" s="712"/>
      <c r="H25" s="712"/>
      <c r="I25" s="712"/>
      <c r="J25" s="712"/>
      <c r="K25" s="712"/>
      <c r="L25" s="712"/>
      <c r="M25" s="96"/>
      <c r="N25" s="202"/>
      <c r="O25" s="76"/>
      <c r="P25" s="182"/>
      <c r="Q25" s="182"/>
      <c r="R25" s="182"/>
      <c r="S25" s="182"/>
      <c r="T25" s="182"/>
      <c r="U25" s="182"/>
      <c r="V25" s="182"/>
      <c r="W25" s="182"/>
      <c r="X25" s="182"/>
      <c r="Y25" s="182"/>
      <c r="Z25" s="182"/>
      <c r="AA25" s="96"/>
    </row>
    <row r="26" spans="1:27" ht="24.75" customHeight="1">
      <c r="A26" s="175"/>
      <c r="B26" s="204" t="s">
        <v>1981</v>
      </c>
      <c r="C26" s="277" t="str">
        <f>Lbl_N_d_enregistrement_légal</f>
        <v>N. d'enregistrement légal</v>
      </c>
      <c r="D26" s="712"/>
      <c r="E26" s="712"/>
      <c r="F26" s="712"/>
      <c r="G26" s="712"/>
      <c r="H26" s="712"/>
      <c r="I26" s="712"/>
      <c r="J26" s="712"/>
      <c r="K26" s="712"/>
      <c r="L26" s="712"/>
      <c r="M26" s="96"/>
      <c r="N26" s="202"/>
      <c r="O26" s="76"/>
      <c r="P26" s="182"/>
      <c r="Q26" s="182"/>
      <c r="R26" s="182"/>
      <c r="S26" s="182"/>
      <c r="T26" s="182"/>
      <c r="U26" s="182"/>
      <c r="V26" s="182"/>
      <c r="W26" s="182"/>
      <c r="X26" s="182"/>
      <c r="Y26" s="182"/>
      <c r="Z26" s="182"/>
      <c r="AA26" s="96"/>
    </row>
    <row r="27" spans="1:27" s="4" customFormat="1" ht="18" customHeight="1">
      <c r="A27" s="177"/>
      <c r="B27" s="204" t="s">
        <v>1932</v>
      </c>
      <c r="C27" s="277" t="str">
        <f>Lbl_N_TVA</f>
        <v>N. TVA</v>
      </c>
      <c r="D27" s="712"/>
      <c r="E27" s="712"/>
      <c r="F27" s="712"/>
      <c r="G27" s="712"/>
      <c r="H27" s="712"/>
      <c r="I27" s="712"/>
      <c r="J27" s="712"/>
      <c r="K27" s="712"/>
      <c r="L27" s="712"/>
      <c r="M27" s="96"/>
      <c r="N27" s="202"/>
      <c r="O27" s="76"/>
      <c r="P27" s="182"/>
      <c r="Q27" s="182"/>
      <c r="R27" s="182"/>
      <c r="S27" s="182"/>
      <c r="T27" s="182"/>
      <c r="U27" s="182"/>
      <c r="V27" s="182"/>
      <c r="W27" s="182"/>
      <c r="X27" s="182"/>
      <c r="Y27" s="182"/>
      <c r="Z27" s="182"/>
      <c r="AA27" s="96"/>
    </row>
    <row r="28" spans="1:27" ht="18" customHeight="1">
      <c r="A28" s="175"/>
      <c r="B28" s="204" t="s">
        <v>1933</v>
      </c>
      <c r="C28" s="165" t="str">
        <f>Lbl_SiteInternet</f>
        <v>Site internet</v>
      </c>
      <c r="D28" s="599"/>
      <c r="E28" s="600"/>
      <c r="F28" s="600"/>
      <c r="G28" s="600"/>
      <c r="H28" s="600"/>
      <c r="I28" s="600"/>
      <c r="J28" s="600"/>
      <c r="K28" s="600"/>
      <c r="L28" s="601"/>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1982</v>
      </c>
      <c r="C30" s="277" t="str">
        <f>Lbl_Contact</f>
        <v>Titre, Nom, Prénom</v>
      </c>
      <c r="D30" s="723"/>
      <c r="E30" s="724"/>
      <c r="F30" s="723"/>
      <c r="G30" s="784"/>
      <c r="H30" s="784"/>
      <c r="I30" s="724"/>
      <c r="J30" s="441"/>
      <c r="K30" s="435"/>
      <c r="L30" s="436"/>
      <c r="M30" s="96"/>
      <c r="N30" s="202"/>
      <c r="O30" s="76"/>
      <c r="P30" s="182"/>
      <c r="Q30" s="182"/>
      <c r="R30" s="182"/>
      <c r="S30" s="182"/>
      <c r="T30" s="182"/>
      <c r="U30" s="182"/>
      <c r="V30" s="182"/>
      <c r="W30" s="182"/>
      <c r="X30" s="182"/>
      <c r="Y30" s="182"/>
      <c r="Z30" s="182"/>
      <c r="AA30" s="96"/>
    </row>
    <row r="31" spans="1:27" ht="21" customHeight="1">
      <c r="A31" s="175"/>
      <c r="B31" s="204" t="s">
        <v>1983</v>
      </c>
      <c r="C31" s="278" t="str">
        <f>Lbl_Contact_Sexe&amp;" / "&amp;Lbl_Contact_LNG</f>
        <v>Genre / Langue</v>
      </c>
      <c r="D31" s="680"/>
      <c r="E31" s="681"/>
      <c r="F31" s="682"/>
      <c r="G31" s="683" t="str">
        <f>Lbl_Contact_LNG</f>
        <v>Langue</v>
      </c>
      <c r="H31" s="684"/>
      <c r="I31" s="685"/>
      <c r="J31" s="680"/>
      <c r="K31" s="681"/>
      <c r="L31" s="682"/>
      <c r="M31" s="96"/>
      <c r="N31" s="202"/>
      <c r="O31" s="76"/>
      <c r="P31" s="182"/>
      <c r="Q31" s="182"/>
      <c r="R31" s="182"/>
      <c r="S31" s="182"/>
      <c r="T31" s="182"/>
      <c r="U31" s="182"/>
      <c r="V31" s="182"/>
      <c r="W31" s="182"/>
      <c r="X31" s="182"/>
      <c r="Y31" s="182"/>
      <c r="Z31" s="182"/>
      <c r="AA31" s="96"/>
    </row>
    <row r="32" spans="1:27" ht="27" customHeight="1">
      <c r="A32" s="175"/>
      <c r="B32" s="204" t="s">
        <v>1984</v>
      </c>
      <c r="C32" s="277" t="str">
        <f>Lbl_Fonction</f>
        <v>Fonction</v>
      </c>
      <c r="D32" s="674"/>
      <c r="E32" s="674"/>
      <c r="F32" s="674"/>
      <c r="G32" s="674"/>
      <c r="H32" s="674"/>
      <c r="I32" s="674"/>
      <c r="J32" s="674"/>
      <c r="K32" s="674"/>
      <c r="L32" s="674"/>
      <c r="M32" s="96"/>
      <c r="N32" s="202"/>
      <c r="O32" s="76"/>
      <c r="P32" s="182"/>
      <c r="Q32" s="182"/>
      <c r="R32" s="182"/>
      <c r="S32" s="182"/>
      <c r="T32" s="182"/>
      <c r="U32" s="182"/>
      <c r="V32" s="182"/>
      <c r="W32" s="182"/>
      <c r="X32" s="182"/>
      <c r="Y32" s="182"/>
      <c r="Z32" s="182"/>
      <c r="AA32" s="96"/>
    </row>
    <row r="33" spans="1:27" ht="26.25" customHeight="1">
      <c r="A33" s="175"/>
      <c r="B33" s="204" t="s">
        <v>783</v>
      </c>
      <c r="C33" s="285" t="str">
        <f>Lbl_Fonction_Description</f>
        <v>Fonction (Si elle diffère de celle ci-dessus)</v>
      </c>
      <c r="D33" s="441"/>
      <c r="E33" s="435"/>
      <c r="F33" s="435"/>
      <c r="G33" s="435"/>
      <c r="H33" s="435"/>
      <c r="I33" s="435"/>
      <c r="J33" s="435"/>
      <c r="K33" s="435"/>
      <c r="L33" s="436"/>
      <c r="M33" s="96"/>
      <c r="N33" s="202"/>
      <c r="O33" s="76"/>
      <c r="P33" s="182"/>
      <c r="Q33" s="182"/>
      <c r="R33" s="182"/>
      <c r="S33" s="182"/>
      <c r="T33" s="182"/>
      <c r="U33" s="182"/>
      <c r="V33" s="182"/>
      <c r="W33" s="182"/>
      <c r="X33" s="182"/>
      <c r="Y33" s="182"/>
      <c r="Z33" s="182"/>
      <c r="AA33" s="96"/>
    </row>
    <row r="34" spans="1:27" ht="25.5" customHeight="1">
      <c r="A34" s="175"/>
      <c r="B34" s="204" t="s">
        <v>1383</v>
      </c>
      <c r="C34" s="285" t="str">
        <f>Lbl_Téléphone&amp;" ("&amp;Lbl_Représentant_légal&amp;")"</f>
        <v>Téléphone (Représentant légal)</v>
      </c>
      <c r="D34" s="599"/>
      <c r="E34" s="600"/>
      <c r="F34" s="600"/>
      <c r="G34" s="600"/>
      <c r="H34" s="601"/>
      <c r="I34" s="732" t="s">
        <v>2063</v>
      </c>
      <c r="J34" s="733"/>
      <c r="K34" s="733"/>
      <c r="L34" s="734"/>
      <c r="M34" s="96"/>
      <c r="N34" s="202"/>
      <c r="O34" s="76"/>
      <c r="P34" s="182"/>
      <c r="Q34" s="182"/>
      <c r="R34" s="182"/>
      <c r="S34" s="182"/>
      <c r="T34" s="182"/>
      <c r="U34" s="182"/>
      <c r="V34" s="182"/>
      <c r="W34" s="182"/>
      <c r="X34" s="182"/>
      <c r="Y34" s="182"/>
      <c r="Z34" s="182"/>
      <c r="AA34" s="96"/>
    </row>
    <row r="35" spans="1:27" ht="24" customHeight="1">
      <c r="A35" s="175"/>
      <c r="B35" s="204" t="s">
        <v>1391</v>
      </c>
      <c r="C35" s="285" t="str">
        <f>Lbl_Télécopieur&amp;" ("&amp;Lbl_Représentant_légal&amp;")"</f>
        <v>Télécopieur (Représentant légal)</v>
      </c>
      <c r="D35" s="599"/>
      <c r="E35" s="600"/>
      <c r="F35" s="600"/>
      <c r="G35" s="600"/>
      <c r="H35" s="601"/>
      <c r="I35" s="732" t="s">
        <v>2064</v>
      </c>
      <c r="J35" s="733"/>
      <c r="K35" s="733"/>
      <c r="L35" s="734"/>
      <c r="M35" s="96"/>
      <c r="N35" s="202"/>
      <c r="O35" s="76"/>
      <c r="P35" s="182"/>
      <c r="Q35" s="182"/>
      <c r="R35" s="182"/>
      <c r="S35" s="182"/>
      <c r="T35" s="182"/>
      <c r="U35" s="182"/>
      <c r="V35" s="182"/>
      <c r="W35" s="182"/>
      <c r="X35" s="182"/>
      <c r="Y35" s="182"/>
      <c r="Z35" s="182"/>
      <c r="AA35" s="96"/>
    </row>
    <row r="36" spans="1:27" ht="16.5" customHeight="1">
      <c r="A36" s="175"/>
      <c r="B36" s="204" t="s">
        <v>784</v>
      </c>
      <c r="C36" s="285" t="str">
        <f>Lbl_E_mail&amp;" ("&amp;Lbl_Représentant_légal&amp;")"</f>
        <v>E-mail (Représentant légal)</v>
      </c>
      <c r="D36" s="441"/>
      <c r="E36" s="435"/>
      <c r="F36" s="435"/>
      <c r="G36" s="435"/>
      <c r="H36" s="435"/>
      <c r="I36" s="435"/>
      <c r="J36" s="435"/>
      <c r="K36" s="435"/>
      <c r="L36" s="436"/>
      <c r="M36" s="96"/>
      <c r="N36" s="202"/>
      <c r="O36" s="76"/>
      <c r="P36" s="182"/>
      <c r="Q36" s="182"/>
      <c r="R36" s="182"/>
      <c r="S36" s="182"/>
      <c r="T36" s="182"/>
      <c r="U36" s="182"/>
      <c r="V36" s="182"/>
      <c r="W36" s="182"/>
      <c r="X36" s="182"/>
      <c r="Y36" s="182"/>
      <c r="Z36" s="182"/>
      <c r="AA36" s="96"/>
    </row>
    <row r="37" spans="1:27" ht="16.5" customHeight="1">
      <c r="A37" s="175"/>
      <c r="B37" s="279" t="s">
        <v>785</v>
      </c>
      <c r="C37" s="278" t="str">
        <f>Lbl_Nom_ou_raison_sociale</f>
        <v>Nom ou raison sociale</v>
      </c>
      <c r="D37" s="441">
        <f>Fld_Org_Nom</f>
        <v>0</v>
      </c>
      <c r="E37" s="435"/>
      <c r="F37" s="435"/>
      <c r="G37" s="435"/>
      <c r="H37" s="435"/>
      <c r="I37" s="435"/>
      <c r="J37" s="435"/>
      <c r="K37" s="435"/>
      <c r="L37" s="436"/>
      <c r="M37" s="96"/>
      <c r="N37" s="202"/>
      <c r="O37" s="76"/>
      <c r="P37" s="182"/>
      <c r="Q37" s="182"/>
      <c r="R37" s="182"/>
      <c r="S37" s="182"/>
      <c r="T37" s="182"/>
      <c r="U37" s="182"/>
      <c r="V37" s="182"/>
      <c r="W37" s="182"/>
      <c r="X37" s="182"/>
      <c r="Y37" s="182"/>
      <c r="Z37" s="182"/>
      <c r="AA37" s="96"/>
    </row>
    <row r="38" spans="1:27" ht="27" customHeight="1">
      <c r="A38" s="175"/>
      <c r="B38" s="279" t="s">
        <v>786</v>
      </c>
      <c r="C38" s="278" t="str">
        <f>Lbl_Adresse</f>
        <v>Adresse</v>
      </c>
      <c r="D38" s="714">
        <f>Fld_Org_Adresse1</f>
        <v>0</v>
      </c>
      <c r="E38" s="715"/>
      <c r="F38" s="715"/>
      <c r="G38" s="715"/>
      <c r="H38" s="715"/>
      <c r="I38" s="715"/>
      <c r="J38" s="715"/>
      <c r="K38" s="715"/>
      <c r="L38" s="716"/>
      <c r="M38" s="96"/>
      <c r="N38" s="202"/>
      <c r="O38" s="76"/>
      <c r="P38" s="182"/>
      <c r="Q38" s="182"/>
      <c r="R38" s="182"/>
      <c r="S38" s="182"/>
      <c r="T38" s="182"/>
      <c r="U38" s="182"/>
      <c r="V38" s="182"/>
      <c r="W38" s="182"/>
      <c r="X38" s="182"/>
      <c r="Y38" s="182"/>
      <c r="Z38" s="182"/>
      <c r="AA38" s="96"/>
    </row>
    <row r="39" spans="1:27" ht="21" customHeight="1">
      <c r="A39" s="175"/>
      <c r="B39" s="279"/>
      <c r="C39" s="278"/>
      <c r="D39" s="777">
        <f>Fld_Org_Adresse2</f>
        <v>0</v>
      </c>
      <c r="E39" s="778"/>
      <c r="F39" s="778"/>
      <c r="G39" s="778"/>
      <c r="H39" s="778"/>
      <c r="I39" s="778"/>
      <c r="J39" s="778"/>
      <c r="K39" s="778"/>
      <c r="L39" s="779"/>
      <c r="M39" s="96"/>
      <c r="N39" s="202"/>
      <c r="O39" s="76"/>
      <c r="P39" s="182"/>
      <c r="Q39" s="182"/>
      <c r="R39" s="182"/>
      <c r="S39" s="182"/>
      <c r="T39" s="182"/>
      <c r="U39" s="182"/>
      <c r="V39" s="182"/>
      <c r="W39" s="182"/>
      <c r="X39" s="182"/>
      <c r="Y39" s="182"/>
      <c r="Z39" s="182"/>
      <c r="AA39" s="96"/>
    </row>
    <row r="40" spans="1:27" ht="15" customHeight="1">
      <c r="A40" s="175"/>
      <c r="B40" s="279" t="s">
        <v>787</v>
      </c>
      <c r="C40" s="278" t="str">
        <f>Lbl_Banque_Commune_Ville</f>
        <v>Commune/Ville</v>
      </c>
      <c r="D40" s="776">
        <f>Fld_Org_Ville</f>
        <v>0</v>
      </c>
      <c r="E40" s="776"/>
      <c r="F40" s="776"/>
      <c r="G40" s="776"/>
      <c r="H40" s="776"/>
      <c r="I40" s="776"/>
      <c r="J40" s="776"/>
      <c r="K40" s="776"/>
      <c r="L40" s="776"/>
      <c r="M40" s="96"/>
      <c r="N40" s="202"/>
      <c r="O40" s="76"/>
      <c r="P40" s="182"/>
      <c r="Q40" s="182"/>
      <c r="R40" s="182"/>
      <c r="S40" s="182"/>
      <c r="T40" s="182"/>
      <c r="U40" s="182"/>
      <c r="V40" s="182"/>
      <c r="W40" s="182"/>
      <c r="X40" s="182"/>
      <c r="Y40" s="182"/>
      <c r="Z40" s="182"/>
      <c r="AA40" s="96"/>
    </row>
    <row r="41" spans="1:27" ht="16.5" customHeight="1">
      <c r="A41" s="175"/>
      <c r="B41" s="279" t="s">
        <v>788</v>
      </c>
      <c r="C41" s="278" t="str">
        <f>Lbl_Banque_Code_postal</f>
        <v>Code postal</v>
      </c>
      <c r="D41" s="559">
        <f>Fld_Org_ZipCode</f>
        <v>0</v>
      </c>
      <c r="E41" s="559"/>
      <c r="F41" s="559"/>
      <c r="G41" s="559"/>
      <c r="H41" s="559"/>
      <c r="I41" s="559"/>
      <c r="J41" s="559"/>
      <c r="K41" s="559"/>
      <c r="L41" s="559"/>
      <c r="M41" s="96"/>
      <c r="N41" s="202"/>
      <c r="O41" s="76"/>
      <c r="P41" s="182"/>
      <c r="Q41" s="182"/>
      <c r="R41" s="182"/>
      <c r="S41" s="182"/>
      <c r="T41" s="182"/>
      <c r="U41" s="182"/>
      <c r="V41" s="182"/>
      <c r="W41" s="182"/>
      <c r="X41" s="182"/>
      <c r="Y41" s="182"/>
      <c r="Z41" s="182"/>
      <c r="AA41" s="96"/>
    </row>
    <row r="42" spans="1:27" ht="16.5" customHeight="1">
      <c r="A42" s="175"/>
      <c r="B42" s="279" t="s">
        <v>789</v>
      </c>
      <c r="C42" s="278" t="str">
        <f>Lbl_Pays</f>
        <v>Pays</v>
      </c>
      <c r="D42" s="554">
        <f>Fld_Org_Pays</f>
        <v>0</v>
      </c>
      <c r="E42" s="554"/>
      <c r="F42" s="554"/>
      <c r="G42" s="554"/>
      <c r="H42" s="554"/>
      <c r="I42" s="554"/>
      <c r="J42" s="554"/>
      <c r="K42" s="554"/>
      <c r="L42" s="554"/>
      <c r="M42" s="96"/>
      <c r="N42" s="202"/>
      <c r="O42" s="76"/>
      <c r="P42" s="182"/>
      <c r="Q42" s="182"/>
      <c r="R42" s="182"/>
      <c r="S42" s="182"/>
      <c r="T42" s="182"/>
      <c r="U42" s="182"/>
      <c r="V42" s="182"/>
      <c r="W42" s="182"/>
      <c r="X42" s="182"/>
      <c r="Y42" s="182"/>
      <c r="Z42" s="182"/>
      <c r="AA42" s="96"/>
    </row>
    <row r="43" spans="1:27" ht="16.5" customHeight="1">
      <c r="A43" s="175"/>
      <c r="B43" s="279" t="s">
        <v>790</v>
      </c>
      <c r="C43" s="278" t="str">
        <f>Lbl_Téléphone</f>
        <v>Téléphone</v>
      </c>
      <c r="D43" s="770">
        <f>Fld_Org_Tel</f>
        <v>0</v>
      </c>
      <c r="E43" s="771"/>
      <c r="F43" s="771"/>
      <c r="G43" s="771"/>
      <c r="H43" s="772"/>
      <c r="I43" s="732" t="s">
        <v>2063</v>
      </c>
      <c r="J43" s="733"/>
      <c r="K43" s="733"/>
      <c r="L43" s="734"/>
      <c r="M43" s="96"/>
      <c r="N43" s="202"/>
      <c r="O43" s="76"/>
      <c r="P43" s="182"/>
      <c r="Q43" s="182"/>
      <c r="R43" s="182"/>
      <c r="S43" s="182"/>
      <c r="T43" s="182"/>
      <c r="U43" s="182"/>
      <c r="V43" s="182"/>
      <c r="W43" s="182"/>
      <c r="X43" s="182"/>
      <c r="Y43" s="182"/>
      <c r="Z43" s="182"/>
      <c r="AA43" s="96"/>
    </row>
    <row r="44" spans="1:27" ht="16.5" customHeight="1">
      <c r="A44" s="175"/>
      <c r="B44" s="279" t="s">
        <v>791</v>
      </c>
      <c r="C44" s="278" t="str">
        <f>Lbl_Télécopieur</f>
        <v>Télécopieur</v>
      </c>
      <c r="D44" s="770">
        <f>Fld_Org_Fax</f>
        <v>0</v>
      </c>
      <c r="E44" s="771"/>
      <c r="F44" s="771"/>
      <c r="G44" s="771"/>
      <c r="H44" s="772"/>
      <c r="I44" s="732" t="s">
        <v>2064</v>
      </c>
      <c r="J44" s="733"/>
      <c r="K44" s="733"/>
      <c r="L44" s="734"/>
      <c r="M44" s="96"/>
      <c r="N44" s="202"/>
      <c r="O44" s="76"/>
      <c r="P44" s="182"/>
      <c r="Q44" s="182"/>
      <c r="R44" s="182"/>
      <c r="S44" s="182"/>
      <c r="T44" s="182"/>
      <c r="U44" s="182"/>
      <c r="V44" s="182"/>
      <c r="W44" s="182"/>
      <c r="X44" s="182"/>
      <c r="Y44" s="182"/>
      <c r="Z44" s="182"/>
      <c r="AA44" s="96"/>
    </row>
    <row r="45" spans="1:27" s="4" customFormat="1" ht="18" customHeight="1">
      <c r="A45" s="177"/>
      <c r="B45" s="279" t="s">
        <v>792</v>
      </c>
      <c r="C45" s="278" t="str">
        <f>Lbl_N_TVA</f>
        <v>N. TVA</v>
      </c>
      <c r="D45" s="559">
        <f>Fld_Org_NTVA</f>
        <v>0</v>
      </c>
      <c r="E45" s="559"/>
      <c r="F45" s="559"/>
      <c r="G45" s="559"/>
      <c r="H45" s="559"/>
      <c r="I45" s="559"/>
      <c r="J45" s="559"/>
      <c r="K45" s="559"/>
      <c r="L45" s="559"/>
      <c r="M45" s="96"/>
      <c r="N45" s="202"/>
      <c r="O45" s="76"/>
      <c r="P45" s="182"/>
      <c r="Q45" s="182"/>
      <c r="R45" s="182"/>
      <c r="S45" s="182"/>
      <c r="T45" s="182"/>
      <c r="U45" s="182"/>
      <c r="V45" s="182"/>
      <c r="W45" s="182"/>
      <c r="X45" s="182"/>
      <c r="Y45" s="182"/>
      <c r="Z45" s="182"/>
      <c r="AA45" s="96"/>
    </row>
    <row r="46" spans="1:27" ht="16.5" customHeight="1">
      <c r="A46" s="175"/>
      <c r="B46" s="53"/>
      <c r="C46" s="407"/>
      <c r="D46" s="407"/>
      <c r="E46" s="407"/>
      <c r="F46" s="407"/>
      <c r="G46" s="407"/>
      <c r="H46" s="407"/>
      <c r="I46" s="407"/>
      <c r="J46" s="407"/>
      <c r="K46" s="407"/>
      <c r="L46" s="407"/>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2122</v>
      </c>
      <c r="C48" s="277" t="str">
        <f>Lbl_Contact</f>
        <v>Titre, Nom, Prénom</v>
      </c>
      <c r="D48" s="611"/>
      <c r="E48" s="612"/>
      <c r="F48" s="620"/>
      <c r="G48" s="621"/>
      <c r="H48" s="621"/>
      <c r="I48" s="622"/>
      <c r="J48" s="608"/>
      <c r="K48" s="609"/>
      <c r="L48" s="610"/>
      <c r="M48" s="96"/>
      <c r="N48" s="202"/>
      <c r="O48" s="76"/>
      <c r="P48" s="182"/>
      <c r="Q48" s="182"/>
      <c r="R48" s="182"/>
      <c r="S48" s="182"/>
      <c r="T48" s="182"/>
      <c r="U48" s="182"/>
      <c r="V48" s="182"/>
      <c r="W48" s="182"/>
      <c r="X48" s="182"/>
      <c r="Y48" s="182"/>
      <c r="Z48" s="182"/>
      <c r="AA48" s="96"/>
    </row>
    <row r="49" spans="1:27" ht="22.5" customHeight="1">
      <c r="A49" s="175"/>
      <c r="B49" s="204" t="s">
        <v>1365</v>
      </c>
      <c r="C49" s="280" t="str">
        <f>Lbl_Contact_Sexe&amp;" / "&amp;Lbl_Contact_LNG</f>
        <v>Genre / Langue</v>
      </c>
      <c r="D49" s="617"/>
      <c r="E49" s="618"/>
      <c r="F49" s="619"/>
      <c r="G49" s="614" t="str">
        <f>Lbl_Contact_LNG</f>
        <v>Langue</v>
      </c>
      <c r="H49" s="615"/>
      <c r="I49" s="616"/>
      <c r="J49" s="617"/>
      <c r="K49" s="618"/>
      <c r="L49" s="619"/>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3"/>
      <c r="E50" s="613"/>
      <c r="F50" s="613"/>
      <c r="G50" s="613"/>
      <c r="H50" s="613"/>
      <c r="I50" s="613"/>
      <c r="J50" s="613"/>
      <c r="K50" s="613"/>
      <c r="L50" s="613"/>
      <c r="M50" s="96"/>
      <c r="N50" s="202"/>
      <c r="O50" s="76"/>
      <c r="P50" s="182"/>
      <c r="Q50" s="182"/>
      <c r="R50" s="182"/>
      <c r="S50" s="182"/>
      <c r="T50" s="182"/>
      <c r="U50" s="182"/>
      <c r="V50" s="182"/>
      <c r="W50" s="182"/>
      <c r="X50" s="182"/>
      <c r="Y50" s="182"/>
      <c r="Z50" s="182"/>
      <c r="AA50" s="96"/>
    </row>
    <row r="51" spans="1:27" ht="29.25" customHeight="1">
      <c r="A51" s="175"/>
      <c r="B51" s="204" t="s">
        <v>1366</v>
      </c>
      <c r="C51" s="285" t="str">
        <f>Lbl_Fonction_Description</f>
        <v>Fonction (Si elle diffère de celle ci-dessus)</v>
      </c>
      <c r="D51" s="717"/>
      <c r="E51" s="718"/>
      <c r="F51" s="718"/>
      <c r="G51" s="718"/>
      <c r="H51" s="718"/>
      <c r="I51" s="718"/>
      <c r="J51" s="718"/>
      <c r="K51" s="718"/>
      <c r="L51" s="719"/>
      <c r="M51" s="96"/>
      <c r="N51" s="202"/>
      <c r="O51" s="76"/>
      <c r="P51" s="182"/>
      <c r="Q51" s="182"/>
      <c r="R51" s="182"/>
      <c r="S51" s="182"/>
      <c r="T51" s="182"/>
      <c r="U51" s="182"/>
      <c r="V51" s="182"/>
      <c r="W51" s="182"/>
      <c r="X51" s="182"/>
      <c r="Y51" s="182"/>
      <c r="Z51" s="182"/>
      <c r="AA51" s="96"/>
    </row>
    <row r="52" spans="1:27" ht="24" customHeight="1">
      <c r="A52" s="175"/>
      <c r="B52" s="204" t="s">
        <v>1367</v>
      </c>
      <c r="C52" s="285" t="str">
        <f>Lbl_Téléphone&amp;" ("&amp;Lbl_Responsable_du_projet&amp;")"</f>
        <v>Téléphone (Responsable du projet)</v>
      </c>
      <c r="D52" s="599"/>
      <c r="E52" s="600"/>
      <c r="F52" s="600"/>
      <c r="G52" s="600"/>
      <c r="H52" s="601"/>
      <c r="I52" s="732" t="s">
        <v>2063</v>
      </c>
      <c r="J52" s="733"/>
      <c r="K52" s="733"/>
      <c r="L52" s="734"/>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599"/>
      <c r="E53" s="600"/>
      <c r="F53" s="600"/>
      <c r="G53" s="600"/>
      <c r="H53" s="601"/>
      <c r="I53" s="732" t="s">
        <v>2064</v>
      </c>
      <c r="J53" s="733"/>
      <c r="K53" s="733"/>
      <c r="L53" s="734"/>
      <c r="M53" s="96"/>
      <c r="N53" s="202"/>
      <c r="O53" s="76"/>
      <c r="P53" s="182"/>
      <c r="Q53" s="182"/>
      <c r="R53" s="182"/>
      <c r="S53" s="182"/>
      <c r="T53" s="182"/>
      <c r="U53" s="182"/>
      <c r="V53" s="182"/>
      <c r="W53" s="182"/>
      <c r="X53" s="182"/>
      <c r="Y53" s="182"/>
      <c r="Z53" s="182"/>
      <c r="AA53" s="96"/>
    </row>
    <row r="54" spans="1:27" ht="26.25" customHeight="1">
      <c r="A54" s="175"/>
      <c r="B54" s="204" t="s">
        <v>1368</v>
      </c>
      <c r="C54" s="285" t="str">
        <f>Lbl_E_mail&amp;" ("&amp;Lbl_Responsable_du_projet&amp;")"</f>
        <v>E-mail (Responsable du projet)</v>
      </c>
      <c r="D54" s="608"/>
      <c r="E54" s="609"/>
      <c r="F54" s="609"/>
      <c r="G54" s="609"/>
      <c r="H54" s="609"/>
      <c r="I54" s="609"/>
      <c r="J54" s="609"/>
      <c r="K54" s="609"/>
      <c r="L54" s="610"/>
      <c r="M54" s="96"/>
      <c r="N54" s="202"/>
      <c r="O54" s="76"/>
      <c r="P54" s="182"/>
      <c r="Q54" s="182"/>
      <c r="R54" s="182"/>
      <c r="S54" s="182"/>
      <c r="T54" s="182"/>
      <c r="U54" s="182"/>
      <c r="V54" s="182"/>
      <c r="W54" s="182"/>
      <c r="X54" s="182"/>
      <c r="Y54" s="182"/>
      <c r="Z54" s="182"/>
      <c r="AA54" s="96"/>
    </row>
    <row r="55" spans="1:27" ht="30.75" customHeight="1">
      <c r="A55" s="175"/>
      <c r="B55" s="204" t="s">
        <v>1369</v>
      </c>
      <c r="C55" s="281" t="str">
        <f>Lbl_Nom_ou_raison_sociale</f>
        <v>Nom ou raison sociale</v>
      </c>
      <c r="D55" s="608">
        <f>Fld_Org_Nom</f>
        <v>0</v>
      </c>
      <c r="E55" s="609"/>
      <c r="F55" s="609"/>
      <c r="G55" s="609"/>
      <c r="H55" s="609"/>
      <c r="I55" s="609"/>
      <c r="J55" s="609"/>
      <c r="K55" s="609"/>
      <c r="L55" s="610"/>
      <c r="M55" s="96"/>
      <c r="N55" s="202"/>
      <c r="O55" s="76"/>
      <c r="P55" s="182"/>
      <c r="Q55" s="182"/>
      <c r="R55" s="182"/>
      <c r="S55" s="182"/>
      <c r="T55" s="182"/>
      <c r="U55" s="182"/>
      <c r="V55" s="182"/>
      <c r="W55" s="182"/>
      <c r="X55" s="182"/>
      <c r="Y55" s="182"/>
      <c r="Z55" s="182"/>
      <c r="AA55" s="96"/>
    </row>
    <row r="56" spans="1:27" ht="16.5" customHeight="1">
      <c r="A56" s="175"/>
      <c r="B56" s="204" t="s">
        <v>1370</v>
      </c>
      <c r="C56" s="280" t="str">
        <f>Lbl_Adresse</f>
        <v>Adresse</v>
      </c>
      <c r="D56" s="747">
        <f>Fld_Org_Adresse1</f>
        <v>0</v>
      </c>
      <c r="E56" s="748"/>
      <c r="F56" s="748"/>
      <c r="G56" s="748"/>
      <c r="H56" s="748"/>
      <c r="I56" s="748"/>
      <c r="J56" s="748"/>
      <c r="K56" s="748"/>
      <c r="L56" s="749"/>
      <c r="M56" s="96"/>
      <c r="N56" s="202"/>
      <c r="O56" s="76"/>
      <c r="P56" s="182"/>
      <c r="Q56" s="182"/>
      <c r="R56" s="182"/>
      <c r="S56" s="182"/>
      <c r="T56" s="182"/>
      <c r="U56" s="182"/>
      <c r="V56" s="182"/>
      <c r="W56" s="182"/>
      <c r="X56" s="182"/>
      <c r="Y56" s="182"/>
      <c r="Z56" s="182"/>
      <c r="AA56" s="96"/>
    </row>
    <row r="57" spans="1:27" ht="16.5" customHeight="1">
      <c r="A57" s="175"/>
      <c r="B57" s="282"/>
      <c r="C57" s="280"/>
      <c r="D57" s="743">
        <f>Fld_Org_Adresse2</f>
        <v>0</v>
      </c>
      <c r="E57" s="744"/>
      <c r="F57" s="744"/>
      <c r="G57" s="744"/>
      <c r="H57" s="744"/>
      <c r="I57" s="744"/>
      <c r="J57" s="744"/>
      <c r="K57" s="744"/>
      <c r="L57" s="745"/>
      <c r="M57" s="96"/>
      <c r="N57" s="202"/>
      <c r="O57" s="76"/>
      <c r="P57" s="182"/>
      <c r="Q57" s="182"/>
      <c r="R57" s="182"/>
      <c r="S57" s="182"/>
      <c r="T57" s="182"/>
      <c r="U57" s="182"/>
      <c r="V57" s="182"/>
      <c r="W57" s="182"/>
      <c r="X57" s="182"/>
      <c r="Y57" s="182"/>
      <c r="Z57" s="182"/>
      <c r="AA57" s="96"/>
    </row>
    <row r="58" spans="1:27" ht="16.5" customHeight="1">
      <c r="A58" s="175"/>
      <c r="B58" s="204" t="s">
        <v>1371</v>
      </c>
      <c r="C58" s="280" t="str">
        <f>Lbl_Banque_Commune_Ville</f>
        <v>Commune/Ville</v>
      </c>
      <c r="D58" s="746">
        <f>Fld_Org_Ville</f>
        <v>0</v>
      </c>
      <c r="E58" s="746"/>
      <c r="F58" s="746"/>
      <c r="G58" s="746"/>
      <c r="H58" s="746"/>
      <c r="I58" s="746"/>
      <c r="J58" s="746"/>
      <c r="K58" s="746"/>
      <c r="L58" s="746"/>
      <c r="M58" s="96"/>
      <c r="N58" s="202"/>
      <c r="O58" s="76"/>
      <c r="P58" s="182"/>
      <c r="Q58" s="182"/>
      <c r="R58" s="182"/>
      <c r="S58" s="182"/>
      <c r="T58" s="182"/>
      <c r="U58" s="182"/>
      <c r="V58" s="182"/>
      <c r="W58" s="182"/>
      <c r="X58" s="182"/>
      <c r="Y58" s="182"/>
      <c r="Z58" s="182"/>
      <c r="AA58" s="96"/>
    </row>
    <row r="59" spans="1:27" ht="16.5" customHeight="1">
      <c r="A59" s="175"/>
      <c r="B59" s="204" t="s">
        <v>1372</v>
      </c>
      <c r="C59" s="280" t="str">
        <f>Lbl_Banque_Code_postal</f>
        <v>Code postal</v>
      </c>
      <c r="D59" s="712">
        <f>Fld_Org_ZipCode</f>
        <v>0</v>
      </c>
      <c r="E59" s="712"/>
      <c r="F59" s="712"/>
      <c r="G59" s="712"/>
      <c r="H59" s="712"/>
      <c r="I59" s="712"/>
      <c r="J59" s="712"/>
      <c r="K59" s="712"/>
      <c r="L59" s="712"/>
      <c r="M59" s="96"/>
      <c r="N59" s="202"/>
      <c r="O59" s="76"/>
      <c r="P59" s="182"/>
      <c r="Q59" s="182"/>
      <c r="R59" s="182"/>
      <c r="S59" s="182"/>
      <c r="T59" s="182"/>
      <c r="U59" s="182"/>
      <c r="V59" s="182"/>
      <c r="W59" s="182"/>
      <c r="X59" s="182"/>
      <c r="Y59" s="182"/>
      <c r="Z59" s="182"/>
      <c r="AA59" s="96"/>
    </row>
    <row r="60" spans="1:27" ht="16.5" customHeight="1">
      <c r="A60" s="175"/>
      <c r="B60" s="204" t="s">
        <v>1373</v>
      </c>
      <c r="C60" s="280" t="str">
        <f>Lbl_Pays</f>
        <v>Pays</v>
      </c>
      <c r="D60" s="713">
        <f>Fld_Org_Pays</f>
        <v>0</v>
      </c>
      <c r="E60" s="713"/>
      <c r="F60" s="713"/>
      <c r="G60" s="713"/>
      <c r="H60" s="713"/>
      <c r="I60" s="713"/>
      <c r="J60" s="713"/>
      <c r="K60" s="713"/>
      <c r="L60" s="713"/>
      <c r="M60" s="96"/>
      <c r="N60" s="202"/>
      <c r="O60" s="76"/>
      <c r="P60" s="182"/>
      <c r="Q60" s="182"/>
      <c r="R60" s="182"/>
      <c r="S60" s="182"/>
      <c r="T60" s="182"/>
      <c r="U60" s="182"/>
      <c r="V60" s="182"/>
      <c r="W60" s="182"/>
      <c r="X60" s="182"/>
      <c r="Y60" s="182"/>
      <c r="Z60" s="182"/>
      <c r="AA60" s="96"/>
    </row>
    <row r="61" spans="1:27" ht="16.5" customHeight="1">
      <c r="A61" s="175"/>
      <c r="B61" s="204" t="s">
        <v>1374</v>
      </c>
      <c r="C61" s="280" t="str">
        <f>Lbl_Téléphone</f>
        <v>Téléphone</v>
      </c>
      <c r="D61" s="599">
        <f>Fld_Org_Tel</f>
        <v>0</v>
      </c>
      <c r="E61" s="600"/>
      <c r="F61" s="600"/>
      <c r="G61" s="600"/>
      <c r="H61" s="601"/>
      <c r="I61" s="732" t="s">
        <v>2063</v>
      </c>
      <c r="J61" s="733"/>
      <c r="K61" s="733"/>
      <c r="L61" s="734"/>
      <c r="M61" s="96"/>
      <c r="N61" s="202"/>
      <c r="O61" s="76"/>
      <c r="P61" s="182"/>
      <c r="Q61" s="182"/>
      <c r="R61" s="182"/>
      <c r="S61" s="182"/>
      <c r="T61" s="182"/>
      <c r="U61" s="182"/>
      <c r="V61" s="182"/>
      <c r="W61" s="182"/>
      <c r="X61" s="182"/>
      <c r="Y61" s="182"/>
      <c r="Z61" s="182"/>
      <c r="AA61" s="96"/>
    </row>
    <row r="62" spans="1:27" ht="16.5" customHeight="1">
      <c r="A62" s="175"/>
      <c r="B62" s="204" t="s">
        <v>1375</v>
      </c>
      <c r="C62" s="280" t="str">
        <f>Lbl_Télécopieur</f>
        <v>Télécopieur</v>
      </c>
      <c r="D62" s="599">
        <f>Fld_Org_Fax</f>
        <v>0</v>
      </c>
      <c r="E62" s="600"/>
      <c r="F62" s="600"/>
      <c r="G62" s="600"/>
      <c r="H62" s="601"/>
      <c r="I62" s="732" t="s">
        <v>2064</v>
      </c>
      <c r="J62" s="733"/>
      <c r="K62" s="733"/>
      <c r="L62" s="734"/>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2">
        <f>Fld_Org_NTVA</f>
        <v>0</v>
      </c>
      <c r="E63" s="712"/>
      <c r="F63" s="712"/>
      <c r="G63" s="712"/>
      <c r="H63" s="712"/>
      <c r="I63" s="712"/>
      <c r="J63" s="712"/>
      <c r="K63" s="712"/>
      <c r="L63" s="712"/>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4"/>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6" t="str">
        <f>Lbl_Mnt_Straitance</f>
        <v>Si oui: montant estimé de la sous-traitance dépassant 25.000 €?</v>
      </c>
      <c r="D66" s="586"/>
      <c r="E66" s="586"/>
      <c r="F66" s="586"/>
      <c r="G66" s="442"/>
      <c r="H66" s="400"/>
      <c r="I66" s="740"/>
      <c r="J66" s="741"/>
      <c r="K66" s="742"/>
      <c r="L66" s="322" t="s">
        <v>924</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0" t="str">
        <f>Lbl_SubventionsAnterieures</f>
        <v>Soutiens financiers antérieurs obtenus directement ou indirectement au cours des trois années précédentes auprès d'une institution européenne ou organisme communautaire (s’il y a lieu)</v>
      </c>
      <c r="D68" s="800"/>
      <c r="E68" s="800"/>
      <c r="F68" s="800"/>
      <c r="G68" s="442"/>
      <c r="H68" s="442"/>
      <c r="I68" s="442"/>
      <c r="J68" s="442"/>
      <c r="K68" s="442"/>
      <c r="L68" s="404"/>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0"/>
      <c r="E69" s="751"/>
      <c r="F69" s="752"/>
      <c r="G69" s="100"/>
      <c r="H69" s="803" t="str">
        <f ca="1">HYPERLINK(CELL("contents",Euro_Link))</f>
        <v>http://europa.eu.int/euro/html/rubrique-cadre6.html?pag=rubrique-defaut6.html&amp;lang=6&amp;rubrique=196&amp;chap=13</v>
      </c>
      <c r="I69" s="803"/>
      <c r="J69" s="803"/>
      <c r="K69" s="803"/>
      <c r="L69" s="100"/>
      <c r="M69" s="96"/>
      <c r="N69" s="114"/>
      <c r="U69" s="182"/>
      <c r="V69" s="182"/>
      <c r="W69" s="182"/>
      <c r="X69" s="182"/>
      <c r="Y69" s="182"/>
      <c r="Z69" s="182"/>
      <c r="AA69" s="96"/>
    </row>
    <row r="70" spans="1:27" ht="24" customHeight="1" thickBot="1">
      <c r="A70" s="175"/>
      <c r="B70" s="204" t="s">
        <v>1359</v>
      </c>
      <c r="C70" s="283" t="str">
        <f>Lbl_DG_Respons</f>
        <v>Direction générale responsable de la ligne budgétaire</v>
      </c>
      <c r="D70" s="755" t="str">
        <f>Lbl_N_SOC</f>
        <v>N° du contrat</v>
      </c>
      <c r="E70" s="755"/>
      <c r="F70" s="284" t="str">
        <f>Lbl_Année</f>
        <v>Année</v>
      </c>
      <c r="G70" s="758" t="str">
        <f>Lbl_Titre</f>
        <v>Titre</v>
      </c>
      <c r="H70" s="758"/>
      <c r="I70" s="758"/>
      <c r="J70" s="758"/>
      <c r="K70" s="758" t="str">
        <f>Lbl_Montant</f>
        <v>Montant (€)</v>
      </c>
      <c r="L70" s="758"/>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6"/>
      <c r="E71" s="757"/>
      <c r="F71" s="363"/>
      <c r="G71" s="756"/>
      <c r="H71" s="759"/>
      <c r="I71" s="759"/>
      <c r="J71" s="757"/>
      <c r="K71" s="753"/>
      <c r="L71" s="754"/>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69"/>
      <c r="E72" s="570"/>
      <c r="F72" s="296"/>
      <c r="G72" s="571"/>
      <c r="H72" s="585"/>
      <c r="I72" s="585"/>
      <c r="J72" s="572"/>
      <c r="K72" s="710"/>
      <c r="L72" s="711"/>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1"/>
      <c r="E73" s="572"/>
      <c r="F73" s="296"/>
      <c r="G73" s="571"/>
      <c r="H73" s="585"/>
      <c r="I73" s="585"/>
      <c r="J73" s="572"/>
      <c r="K73" s="710"/>
      <c r="L73" s="711"/>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1"/>
      <c r="E74" s="572"/>
      <c r="F74" s="296"/>
      <c r="G74" s="571"/>
      <c r="H74" s="585"/>
      <c r="I74" s="585"/>
      <c r="J74" s="572"/>
      <c r="K74" s="710"/>
      <c r="L74" s="711"/>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1"/>
      <c r="E75" s="572"/>
      <c r="F75" s="296"/>
      <c r="G75" s="571"/>
      <c r="H75" s="585"/>
      <c r="I75" s="585"/>
      <c r="J75" s="572"/>
      <c r="K75" s="710"/>
      <c r="L75" s="711"/>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1"/>
      <c r="E76" s="572"/>
      <c r="F76" s="296"/>
      <c r="G76" s="571"/>
      <c r="H76" s="585"/>
      <c r="I76" s="585"/>
      <c r="J76" s="572"/>
      <c r="K76" s="710"/>
      <c r="L76" s="711"/>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8"/>
      <c r="E77" s="589"/>
      <c r="F77" s="297"/>
      <c r="G77" s="588"/>
      <c r="H77" s="590"/>
      <c r="I77" s="590"/>
      <c r="J77" s="589"/>
      <c r="K77" s="785"/>
      <c r="L77" s="786"/>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1360</v>
      </c>
      <c r="C79" s="801"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2"/>
      <c r="E79" s="802"/>
      <c r="F79" s="802"/>
      <c r="G79" s="802"/>
      <c r="H79" s="802"/>
      <c r="I79" s="802"/>
      <c r="J79" s="802"/>
      <c r="K79" s="802"/>
      <c r="L79" s="802"/>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7"/>
      <c r="E80" s="788"/>
      <c r="F80" s="789"/>
      <c r="G80" s="61"/>
      <c r="H80" s="61"/>
      <c r="I80" s="61"/>
      <c r="J80" s="61"/>
      <c r="K80" s="61"/>
      <c r="L80" s="61"/>
      <c r="M80" s="96"/>
      <c r="R80" s="182"/>
      <c r="S80" s="182"/>
      <c r="T80" s="182"/>
      <c r="U80" s="182"/>
      <c r="V80" s="182"/>
      <c r="W80" s="182"/>
      <c r="X80" s="182"/>
      <c r="Y80" s="182"/>
      <c r="Z80" s="182"/>
      <c r="AA80" s="96"/>
    </row>
    <row r="81" spans="1:27" ht="21.75" customHeight="1">
      <c r="A81" s="175"/>
      <c r="B81" s="205" t="s">
        <v>1361</v>
      </c>
      <c r="C81" s="163" t="str">
        <f>Lbl_DG_Respons</f>
        <v>Direction générale responsable de la ligne budgétaire</v>
      </c>
      <c r="D81" s="653" t="str">
        <f>Lbl_Ref_Proj</f>
        <v>Titre et numéro de référence du projet</v>
      </c>
      <c r="E81" s="653"/>
      <c r="F81" s="653"/>
      <c r="G81" s="653"/>
      <c r="H81" s="653"/>
      <c r="I81" s="653"/>
      <c r="J81" s="653"/>
      <c r="K81" s="653" t="str">
        <f>Lbl_Obtention</f>
        <v>Obtenue ?</v>
      </c>
      <c r="L81" s="653"/>
      <c r="M81" s="96"/>
      <c r="R81" s="182"/>
      <c r="S81" s="182"/>
      <c r="T81" s="182"/>
      <c r="U81" s="182"/>
      <c r="V81" s="182"/>
      <c r="W81" s="182"/>
      <c r="X81" s="182"/>
      <c r="Y81" s="182"/>
      <c r="Z81" s="182"/>
      <c r="AA81" s="96"/>
    </row>
    <row r="82" spans="1:27" ht="21.75" customHeight="1">
      <c r="A82" s="291">
        <f>SUM(B82,M82:N82,IF(C80,1,0))</f>
        <v>0</v>
      </c>
      <c r="B82" s="420">
        <f>IF(OR(Fld_DG_1&lt;&gt;"",Fld_TitreRef_1&lt;&gt;"",K82&lt;1),0,1)</f>
        <v>0</v>
      </c>
      <c r="C82" s="268"/>
      <c r="D82" s="623"/>
      <c r="E82" s="585"/>
      <c r="F82" s="585"/>
      <c r="G82" s="585"/>
      <c r="H82" s="585"/>
      <c r="I82" s="585"/>
      <c r="J82" s="585"/>
      <c r="K82" s="783"/>
      <c r="L82" s="783"/>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0">
        <f>IF(OR(Fld_DG_2&lt;&gt;"",Fld_TitreRef_2&lt;&gt;"",K83&lt;1),0,1)</f>
        <v>0</v>
      </c>
      <c r="C83" s="268"/>
      <c r="D83" s="623"/>
      <c r="E83" s="585"/>
      <c r="F83" s="585"/>
      <c r="G83" s="585"/>
      <c r="H83" s="585"/>
      <c r="I83" s="585"/>
      <c r="J83" s="585"/>
      <c r="K83" s="783"/>
      <c r="L83" s="783"/>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0">
        <f>IF(OR(Fld_DG_3&lt;&gt;"",Fld_TitreRef_3&lt;&gt;"",K84&lt;1),0,1)</f>
        <v>0</v>
      </c>
      <c r="C84" s="267"/>
      <c r="D84" s="623"/>
      <c r="E84" s="585"/>
      <c r="F84" s="585"/>
      <c r="G84" s="585"/>
      <c r="H84" s="585"/>
      <c r="I84" s="585"/>
      <c r="J84" s="585"/>
      <c r="K84" s="783"/>
      <c r="L84" s="783"/>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6" t="str">
        <f>Lbl_Voir_signalétique_bancaire</f>
        <v>Voir le 'signalétique financier' (relevé bancaire) à la fin de la Partie I</v>
      </c>
      <c r="D87" s="587"/>
      <c r="E87" s="587"/>
      <c r="F87" s="587"/>
      <c r="G87" s="587"/>
      <c r="H87" s="587"/>
      <c r="I87" s="386"/>
      <c r="J87" s="386"/>
      <c r="K87" s="386"/>
      <c r="L87" s="386"/>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6"/>
      <c r="E89" s="737"/>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1358</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1" t="str">
        <f>Lbl_Informations_générales</f>
        <v>Informations générales</v>
      </c>
      <c r="B94" s="204" t="s">
        <v>505</v>
      </c>
      <c r="C94" s="763" t="str">
        <f>Lib_Desc_Titre0</f>
        <v>Quelle est la structure de l'organisation (autorités locales, régionales ou nationales, association indépendante, etc.) et mentionnez combien d'organisations sont membres de votre structure, qui et quelle sorte d'organisation peut être membre : </v>
      </c>
      <c r="D94" s="763"/>
      <c r="E94" s="763"/>
      <c r="F94" s="763"/>
      <c r="G94" s="763"/>
      <c r="H94" s="763"/>
      <c r="I94" s="763"/>
      <c r="J94" s="763"/>
      <c r="K94" s="763"/>
      <c r="L94" s="763"/>
      <c r="M94" s="167"/>
      <c r="N94" s="202"/>
      <c r="O94" s="76"/>
      <c r="P94" s="182"/>
      <c r="Q94" s="182"/>
      <c r="R94" s="182"/>
      <c r="S94" s="182"/>
      <c r="T94" s="182"/>
      <c r="U94" s="182"/>
      <c r="V94" s="182"/>
      <c r="W94" s="182"/>
      <c r="X94" s="182"/>
      <c r="Y94" s="182"/>
      <c r="Z94" s="182"/>
      <c r="AA94" s="96"/>
    </row>
    <row r="95" spans="1:27" s="103" customFormat="1" ht="45" customHeight="1" thickBot="1">
      <c r="A95" s="593"/>
      <c r="B95" s="204"/>
      <c r="C95" s="437"/>
      <c r="D95" s="438"/>
      <c r="E95" s="438"/>
      <c r="F95" s="438"/>
      <c r="G95" s="438"/>
      <c r="H95" s="438"/>
      <c r="I95" s="438"/>
      <c r="J95" s="438"/>
      <c r="K95" s="438"/>
      <c r="L95" s="439"/>
      <c r="M95" s="96"/>
      <c r="N95" s="202"/>
      <c r="O95" s="76"/>
      <c r="P95" s="182"/>
      <c r="Q95" s="182"/>
      <c r="R95" s="182"/>
      <c r="S95" s="182"/>
      <c r="T95" s="182"/>
      <c r="U95" s="182"/>
      <c r="V95" s="182"/>
      <c r="W95" s="182"/>
      <c r="X95" s="182"/>
      <c r="Y95" s="182"/>
      <c r="Z95" s="182"/>
      <c r="AA95" s="96"/>
    </row>
    <row r="96" spans="1:27" s="103" customFormat="1" ht="45" customHeight="1" thickTop="1">
      <c r="A96" s="604" t="str">
        <f>Lbl_Structure</f>
        <v>Structure, activités et ressources de l'organisation</v>
      </c>
      <c r="B96" s="204"/>
      <c r="C96" s="440"/>
      <c r="D96" s="434"/>
      <c r="E96" s="434"/>
      <c r="F96" s="434"/>
      <c r="G96" s="434"/>
      <c r="H96" s="434"/>
      <c r="I96" s="434"/>
      <c r="J96" s="434"/>
      <c r="K96" s="434"/>
      <c r="L96" s="432"/>
      <c r="M96" s="96"/>
      <c r="N96" s="202"/>
      <c r="O96" s="76"/>
      <c r="P96" s="182"/>
      <c r="Q96" s="182"/>
      <c r="R96" s="182"/>
      <c r="S96" s="182"/>
      <c r="T96" s="182"/>
      <c r="U96" s="182"/>
      <c r="V96" s="182"/>
      <c r="W96" s="182"/>
      <c r="X96" s="182"/>
      <c r="Y96" s="182"/>
      <c r="Z96" s="182"/>
      <c r="AA96" s="96"/>
    </row>
    <row r="97" spans="1:27" s="103" customFormat="1" ht="45" customHeight="1" thickBot="1">
      <c r="A97" s="605"/>
      <c r="B97" s="204"/>
      <c r="C97" s="440"/>
      <c r="D97" s="434"/>
      <c r="E97" s="434"/>
      <c r="F97" s="434"/>
      <c r="G97" s="434"/>
      <c r="H97" s="434"/>
      <c r="I97" s="434"/>
      <c r="J97" s="434"/>
      <c r="K97" s="434"/>
      <c r="L97" s="432"/>
      <c r="M97" s="96"/>
      <c r="N97" s="202"/>
      <c r="O97" s="76"/>
      <c r="P97" s="182"/>
      <c r="Q97" s="182"/>
      <c r="R97" s="182"/>
      <c r="S97" s="182"/>
      <c r="T97" s="182"/>
      <c r="U97" s="182"/>
      <c r="V97" s="182"/>
      <c r="W97" s="182"/>
      <c r="X97" s="182"/>
      <c r="Y97" s="182"/>
      <c r="Z97" s="182"/>
      <c r="AA97" s="96"/>
    </row>
    <row r="98" spans="1:27" s="103" customFormat="1" ht="45" customHeight="1" thickTop="1">
      <c r="A98" s="591" t="str">
        <f>Lbl_Charactéristiques_du_projet</f>
        <v>Caractéristiques de l'activité proposée</v>
      </c>
      <c r="B98" s="298" t="str">
        <f>LEN(Fld_Description0)&amp;" char"</f>
        <v>0 char</v>
      </c>
      <c r="C98" s="440"/>
      <c r="D98" s="434"/>
      <c r="E98" s="434"/>
      <c r="F98" s="434"/>
      <c r="G98" s="434"/>
      <c r="H98" s="434"/>
      <c r="I98" s="434"/>
      <c r="J98" s="434"/>
      <c r="K98" s="434"/>
      <c r="L98" s="432"/>
      <c r="M98" s="96"/>
      <c r="N98" s="202"/>
      <c r="O98" s="76"/>
      <c r="P98" s="182"/>
      <c r="Q98" s="182"/>
      <c r="R98" s="182"/>
      <c r="S98" s="182"/>
      <c r="T98" s="182"/>
      <c r="U98" s="182"/>
      <c r="V98" s="182"/>
      <c r="W98" s="182"/>
      <c r="X98" s="182"/>
      <c r="Y98" s="182"/>
      <c r="Z98" s="182"/>
      <c r="AA98" s="96"/>
    </row>
    <row r="99" spans="1:27" s="103" customFormat="1" ht="19.5" customHeight="1" thickBot="1">
      <c r="A99" s="593"/>
      <c r="B99" s="204"/>
      <c r="C99" s="440"/>
      <c r="D99" s="434"/>
      <c r="E99" s="434"/>
      <c r="F99" s="434"/>
      <c r="G99" s="434"/>
      <c r="H99" s="434"/>
      <c r="I99" s="434"/>
      <c r="J99" s="434"/>
      <c r="K99" s="434"/>
      <c r="L99" s="432"/>
      <c r="M99" s="96"/>
      <c r="N99" s="202"/>
      <c r="O99" s="76"/>
      <c r="P99" s="182"/>
      <c r="Q99" s="182"/>
      <c r="R99" s="182"/>
      <c r="S99" s="182"/>
      <c r="T99" s="182"/>
      <c r="U99" s="182"/>
      <c r="V99" s="182"/>
      <c r="W99" s="182"/>
      <c r="X99" s="182"/>
      <c r="Y99" s="182"/>
      <c r="Z99" s="182"/>
      <c r="AA99" s="96"/>
    </row>
    <row r="100" spans="1:27" s="108" customFormat="1" ht="21.75" customHeight="1" thickTop="1">
      <c r="A100" s="591" t="str">
        <f>Lbl_Banque_Signalétique_financier</f>
        <v>Signalétique financier</v>
      </c>
      <c r="B100" s="204"/>
      <c r="C100" s="433"/>
      <c r="D100" s="426"/>
      <c r="E100" s="426"/>
      <c r="F100" s="426"/>
      <c r="G100" s="426"/>
      <c r="H100" s="426"/>
      <c r="I100" s="426"/>
      <c r="J100" s="426"/>
      <c r="K100" s="426"/>
      <c r="L100" s="427"/>
      <c r="M100" s="96"/>
      <c r="N100" s="202" t="s">
        <v>1358</v>
      </c>
      <c r="O100" s="76"/>
      <c r="P100" s="182"/>
      <c r="Q100" s="182"/>
      <c r="R100" s="182"/>
      <c r="S100" s="182"/>
      <c r="T100" s="182"/>
      <c r="U100" s="182"/>
      <c r="V100" s="182"/>
      <c r="W100" s="182"/>
      <c r="X100" s="182"/>
      <c r="Y100" s="182"/>
      <c r="Z100" s="182"/>
      <c r="AA100" s="96"/>
    </row>
    <row r="101" spans="1:27" s="103" customFormat="1" ht="30" customHeight="1" thickBot="1">
      <c r="A101" s="592"/>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1" t="str">
        <f>Lbl_Fin</f>
        <v>Fin du document</v>
      </c>
      <c r="B102" s="204" t="s">
        <v>506</v>
      </c>
      <c r="C102" s="780" t="str">
        <f>Lib_Desc_Titre1</f>
        <v>Personnel permanent employé par votre organisation (nombre) :</v>
      </c>
      <c r="D102" s="781"/>
      <c r="E102" s="781"/>
      <c r="F102" s="781"/>
      <c r="G102" s="781"/>
      <c r="H102" s="781"/>
      <c r="I102" s="781"/>
      <c r="J102" s="781"/>
      <c r="K102" s="781"/>
      <c r="L102" s="781"/>
      <c r="M102" s="168"/>
      <c r="N102" s="202"/>
      <c r="O102" s="76"/>
      <c r="P102" s="182"/>
      <c r="Q102" s="182"/>
      <c r="R102" s="182"/>
      <c r="S102" s="182"/>
      <c r="T102" s="182"/>
      <c r="U102" s="182"/>
      <c r="V102" s="182"/>
      <c r="W102" s="182"/>
      <c r="X102" s="182"/>
      <c r="Y102" s="182"/>
      <c r="Z102" s="182"/>
      <c r="AA102" s="96"/>
    </row>
    <row r="103" spans="1:27" s="103" customFormat="1" ht="19.5" customHeight="1" thickBot="1">
      <c r="A103" s="592"/>
      <c r="B103" s="305" t="str">
        <f>LEN(Fld_Description1)&amp;" char"</f>
        <v>0 char</v>
      </c>
      <c r="C103" s="437"/>
      <c r="D103" s="438"/>
      <c r="E103" s="438"/>
      <c r="F103" s="438"/>
      <c r="G103" s="438"/>
      <c r="H103" s="438"/>
      <c r="I103" s="438"/>
      <c r="J103" s="438"/>
      <c r="K103" s="438"/>
      <c r="L103" s="439"/>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3"/>
      <c r="D104" s="426"/>
      <c r="E104" s="426"/>
      <c r="F104" s="426"/>
      <c r="G104" s="426"/>
      <c r="H104" s="426"/>
      <c r="I104" s="426"/>
      <c r="J104" s="426"/>
      <c r="K104" s="426"/>
      <c r="L104" s="427"/>
      <c r="M104" s="96"/>
      <c r="N104" s="202" t="s">
        <v>1358</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0" t="str">
        <f>Lib_Desc_Titre2</f>
        <v>Bref résumé des objectifs et des activités habituelles de l'organisation:</v>
      </c>
      <c r="D106" s="781"/>
      <c r="E106" s="781"/>
      <c r="F106" s="781"/>
      <c r="G106" s="781"/>
      <c r="H106" s="781"/>
      <c r="I106" s="781"/>
      <c r="J106" s="781"/>
      <c r="K106" s="781"/>
      <c r="L106" s="385"/>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7"/>
      <c r="D107" s="438"/>
      <c r="E107" s="438"/>
      <c r="F107" s="438"/>
      <c r="G107" s="438"/>
      <c r="H107" s="438"/>
      <c r="I107" s="438"/>
      <c r="J107" s="438"/>
      <c r="K107" s="438"/>
      <c r="L107" s="439"/>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0"/>
      <c r="D108" s="434"/>
      <c r="E108" s="434"/>
      <c r="F108" s="434"/>
      <c r="G108" s="434"/>
      <c r="H108" s="434"/>
      <c r="I108" s="434"/>
      <c r="J108" s="434"/>
      <c r="K108" s="434"/>
      <c r="L108" s="432"/>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0"/>
      <c r="D109" s="434"/>
      <c r="E109" s="434"/>
      <c r="F109" s="434"/>
      <c r="G109" s="434"/>
      <c r="H109" s="434"/>
      <c r="I109" s="434"/>
      <c r="J109" s="434"/>
      <c r="K109" s="434"/>
      <c r="L109" s="432"/>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0"/>
      <c r="D110" s="434"/>
      <c r="E110" s="434"/>
      <c r="F110" s="434"/>
      <c r="G110" s="434"/>
      <c r="H110" s="434"/>
      <c r="I110" s="434"/>
      <c r="J110" s="434"/>
      <c r="K110" s="434"/>
      <c r="L110" s="432"/>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0"/>
      <c r="D111" s="434"/>
      <c r="E111" s="434"/>
      <c r="F111" s="434"/>
      <c r="G111" s="434"/>
      <c r="H111" s="434"/>
      <c r="I111" s="434"/>
      <c r="J111" s="434"/>
      <c r="K111" s="434"/>
      <c r="L111" s="432"/>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0"/>
      <c r="D112" s="434"/>
      <c r="E112" s="434"/>
      <c r="F112" s="434"/>
      <c r="G112" s="434"/>
      <c r="H112" s="434"/>
      <c r="I112" s="434"/>
      <c r="J112" s="434"/>
      <c r="K112" s="434"/>
      <c r="L112" s="432"/>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0"/>
      <c r="D113" s="434"/>
      <c r="E113" s="434"/>
      <c r="F113" s="434"/>
      <c r="G113" s="434"/>
      <c r="H113" s="434"/>
      <c r="I113" s="434"/>
      <c r="J113" s="434"/>
      <c r="K113" s="434"/>
      <c r="L113" s="432"/>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0"/>
      <c r="D114" s="434"/>
      <c r="E114" s="434"/>
      <c r="F114" s="434"/>
      <c r="G114" s="434"/>
      <c r="H114" s="434"/>
      <c r="I114" s="434"/>
      <c r="J114" s="434"/>
      <c r="K114" s="434"/>
      <c r="L114" s="432"/>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3"/>
      <c r="D115" s="426"/>
      <c r="E115" s="426"/>
      <c r="F115" s="426"/>
      <c r="G115" s="426"/>
      <c r="H115" s="426"/>
      <c r="I115" s="426"/>
      <c r="J115" s="426"/>
      <c r="K115" s="426"/>
      <c r="L115" s="427"/>
      <c r="M115" s="96"/>
      <c r="N115" s="202" t="s">
        <v>1358</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2" t="str">
        <f>Lib_Desc_Titre3</f>
        <v>Sources habituelles de financement de l'organisation :</v>
      </c>
      <c r="D117" s="781"/>
      <c r="E117" s="781"/>
      <c r="F117" s="781"/>
      <c r="G117" s="781"/>
      <c r="H117" s="781"/>
      <c r="I117" s="781"/>
      <c r="J117" s="781"/>
      <c r="K117" s="781"/>
      <c r="L117" s="781"/>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7"/>
      <c r="D118" s="438"/>
      <c r="E118" s="438"/>
      <c r="F118" s="438"/>
      <c r="G118" s="438"/>
      <c r="H118" s="438"/>
      <c r="I118" s="438"/>
      <c r="J118" s="438"/>
      <c r="K118" s="438"/>
      <c r="L118" s="439"/>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0"/>
      <c r="D119" s="434"/>
      <c r="E119" s="434"/>
      <c r="F119" s="434"/>
      <c r="G119" s="434"/>
      <c r="H119" s="434"/>
      <c r="I119" s="434"/>
      <c r="J119" s="434"/>
      <c r="K119" s="434"/>
      <c r="L119" s="432"/>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0"/>
      <c r="D120" s="434"/>
      <c r="E120" s="434"/>
      <c r="F120" s="434"/>
      <c r="G120" s="434"/>
      <c r="H120" s="434"/>
      <c r="I120" s="434"/>
      <c r="J120" s="434"/>
      <c r="K120" s="434"/>
      <c r="L120" s="432"/>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3"/>
      <c r="D121" s="426"/>
      <c r="E121" s="426"/>
      <c r="F121" s="426"/>
      <c r="G121" s="426"/>
      <c r="H121" s="426"/>
      <c r="I121" s="426"/>
      <c r="J121" s="426"/>
      <c r="K121" s="426"/>
      <c r="L121" s="427"/>
      <c r="M121" s="96"/>
      <c r="N121" s="202" t="s">
        <v>1358</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1" t="str">
        <f>Lib_Desc_Titre4</f>
        <v>Autres informations utiles :</v>
      </c>
      <c r="D123" s="381"/>
      <c r="E123" s="381"/>
      <c r="F123" s="381"/>
      <c r="G123" s="381"/>
      <c r="H123" s="381"/>
      <c r="I123" s="381"/>
      <c r="J123" s="381"/>
      <c r="K123" s="381"/>
      <c r="L123" s="381"/>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8"/>
      <c r="D124" s="429"/>
      <c r="E124" s="429"/>
      <c r="F124" s="429"/>
      <c r="G124" s="429"/>
      <c r="H124" s="429"/>
      <c r="I124" s="429"/>
      <c r="J124" s="429"/>
      <c r="K124" s="429"/>
      <c r="L124" s="430"/>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1"/>
      <c r="D125" s="421"/>
      <c r="E125" s="421"/>
      <c r="F125" s="421"/>
      <c r="G125" s="421"/>
      <c r="H125" s="421"/>
      <c r="I125" s="421"/>
      <c r="J125" s="421"/>
      <c r="K125" s="421"/>
      <c r="L125" s="422"/>
      <c r="M125" s="96"/>
      <c r="N125" s="202"/>
      <c r="O125" s="76"/>
      <c r="P125" s="182"/>
      <c r="Q125" s="182"/>
      <c r="R125" s="182"/>
      <c r="S125" s="182"/>
      <c r="T125" s="182"/>
      <c r="U125" s="182"/>
      <c r="V125" s="182"/>
      <c r="W125" s="182"/>
      <c r="X125" s="182"/>
      <c r="Y125" s="182"/>
      <c r="Z125" s="182"/>
      <c r="AA125" s="96"/>
    </row>
    <row r="126" spans="1:27" ht="19.5" customHeight="1">
      <c r="A126" s="175"/>
      <c r="B126" s="1"/>
      <c r="C126" s="431"/>
      <c r="D126" s="421"/>
      <c r="E126" s="421"/>
      <c r="F126" s="421"/>
      <c r="G126" s="421"/>
      <c r="H126" s="421"/>
      <c r="I126" s="421"/>
      <c r="J126" s="421"/>
      <c r="K126" s="421"/>
      <c r="L126" s="422"/>
      <c r="M126" s="96"/>
      <c r="N126" s="202"/>
      <c r="O126" s="76"/>
      <c r="P126" s="182"/>
      <c r="Q126" s="182"/>
      <c r="R126" s="182"/>
      <c r="S126" s="182"/>
      <c r="T126" s="182"/>
      <c r="U126" s="182"/>
      <c r="V126" s="182"/>
      <c r="W126" s="182"/>
      <c r="X126" s="182"/>
      <c r="Y126" s="182"/>
      <c r="Z126" s="182"/>
      <c r="AA126" s="96"/>
    </row>
    <row r="127" spans="1:27" ht="8.25" customHeight="1">
      <c r="A127" s="175"/>
      <c r="B127" s="1"/>
      <c r="C127" s="423"/>
      <c r="D127" s="424"/>
      <c r="E127" s="424"/>
      <c r="F127" s="424"/>
      <c r="G127" s="424"/>
      <c r="H127" s="424"/>
      <c r="I127" s="424"/>
      <c r="J127" s="424"/>
      <c r="K127" s="424"/>
      <c r="L127" s="425"/>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1"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3"/>
      <c r="B134" s="53"/>
      <c r="C134" s="405" t="str">
        <f>Lbl_Nom_Organisme</f>
        <v>Nom Organisme</v>
      </c>
      <c r="D134" s="405"/>
      <c r="E134" s="405"/>
      <c r="F134" s="739" t="str">
        <f>Lbl_Responsable</f>
        <v>Responsable</v>
      </c>
      <c r="G134" s="739"/>
      <c r="H134" s="739"/>
      <c r="I134" s="739"/>
      <c r="J134" s="739" t="str">
        <f>Lbl_Lieu__Pays</f>
        <v>Lieu (Pays)</v>
      </c>
      <c r="K134" s="739"/>
      <c r="L134" s="739"/>
      <c r="M134" s="96"/>
      <c r="N134" s="202"/>
      <c r="O134" s="76"/>
      <c r="P134" s="182"/>
      <c r="Q134" s="182"/>
      <c r="R134" s="182"/>
      <c r="S134" s="182"/>
      <c r="T134" s="182"/>
      <c r="U134" s="182"/>
      <c r="V134" s="182"/>
      <c r="W134" s="182"/>
      <c r="X134" s="182"/>
      <c r="Y134" s="182"/>
      <c r="Z134" s="182"/>
      <c r="AA134" s="96"/>
    </row>
    <row r="135" spans="1:27" ht="27" customHeight="1" thickTop="1">
      <c r="A135" s="591" t="str">
        <f>Lbl_Structure</f>
        <v>Structure, activités et ressources de l'organisation</v>
      </c>
      <c r="B135" s="7" t="s">
        <v>1384</v>
      </c>
      <c r="C135" s="441"/>
      <c r="D135" s="435"/>
      <c r="E135" s="436"/>
      <c r="F135" s="441"/>
      <c r="G135" s="435"/>
      <c r="H135" s="435"/>
      <c r="I135" s="436"/>
      <c r="J135" s="539"/>
      <c r="K135" s="540"/>
      <c r="L135" s="541"/>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0"/>
      <c r="B136" s="7" t="s">
        <v>1385</v>
      </c>
      <c r="C136" s="441"/>
      <c r="D136" s="435"/>
      <c r="E136" s="436"/>
      <c r="F136" s="419"/>
      <c r="G136" s="419"/>
      <c r="H136" s="419"/>
      <c r="I136" s="419"/>
      <c r="J136" s="539"/>
      <c r="K136" s="540"/>
      <c r="L136" s="541"/>
      <c r="M136" s="122">
        <f t="shared" si="2"/>
        <v>0</v>
      </c>
      <c r="N136" s="202"/>
      <c r="O136" s="76"/>
      <c r="P136" s="182"/>
      <c r="Q136" s="182"/>
      <c r="R136" s="182"/>
      <c r="S136" s="182"/>
      <c r="T136" s="182"/>
      <c r="U136" s="182"/>
      <c r="V136" s="182"/>
      <c r="W136" s="182"/>
      <c r="X136" s="182"/>
      <c r="Y136" s="182"/>
      <c r="Z136" s="182"/>
      <c r="AA136" s="96"/>
    </row>
    <row r="137" spans="1:27" ht="27" customHeight="1">
      <c r="A137" s="760"/>
      <c r="B137" s="7" t="s">
        <v>1386</v>
      </c>
      <c r="C137" s="441"/>
      <c r="D137" s="435"/>
      <c r="E137" s="436"/>
      <c r="F137" s="419"/>
      <c r="G137" s="419"/>
      <c r="H137" s="419"/>
      <c r="I137" s="419"/>
      <c r="J137" s="539"/>
      <c r="K137" s="540"/>
      <c r="L137" s="541"/>
      <c r="M137" s="122">
        <f t="shared" si="2"/>
        <v>0</v>
      </c>
      <c r="N137" s="202"/>
      <c r="O137" s="76"/>
      <c r="P137" s="182"/>
      <c r="Q137" s="182"/>
      <c r="R137" s="182"/>
      <c r="S137" s="182"/>
      <c r="T137" s="182"/>
      <c r="U137" s="182"/>
      <c r="V137" s="182"/>
      <c r="W137" s="182"/>
      <c r="X137" s="182"/>
      <c r="Y137" s="182"/>
      <c r="Z137" s="182"/>
      <c r="AA137" s="96"/>
    </row>
    <row r="138" spans="1:27" ht="27" customHeight="1" thickBot="1">
      <c r="A138" s="593"/>
      <c r="B138" s="7" t="s">
        <v>1387</v>
      </c>
      <c r="C138" s="441"/>
      <c r="D138" s="435"/>
      <c r="E138" s="436"/>
      <c r="F138" s="419"/>
      <c r="G138" s="419"/>
      <c r="H138" s="419"/>
      <c r="I138" s="419"/>
      <c r="J138" s="539"/>
      <c r="K138" s="540"/>
      <c r="L138" s="541"/>
      <c r="M138" s="122">
        <f t="shared" si="2"/>
        <v>0</v>
      </c>
      <c r="N138" s="202"/>
      <c r="O138" s="76"/>
      <c r="P138" s="182"/>
      <c r="Q138" s="182"/>
      <c r="R138" s="182"/>
      <c r="S138" s="182"/>
      <c r="T138" s="182"/>
      <c r="U138" s="182"/>
      <c r="V138" s="182"/>
      <c r="W138" s="182"/>
      <c r="X138" s="182"/>
      <c r="Y138" s="182"/>
      <c r="Z138" s="182"/>
      <c r="AA138" s="96"/>
    </row>
    <row r="139" spans="1:27" ht="27" customHeight="1" thickTop="1">
      <c r="A139" s="591" t="str">
        <f>Lbl_Charactéristiques_du_projet</f>
        <v>Caractéristiques de l'activité proposée</v>
      </c>
      <c r="B139" s="7" t="s">
        <v>1388</v>
      </c>
      <c r="C139" s="441"/>
      <c r="D139" s="435"/>
      <c r="E139" s="436"/>
      <c r="F139" s="419"/>
      <c r="G139" s="419"/>
      <c r="H139" s="419"/>
      <c r="I139" s="419"/>
      <c r="J139" s="539"/>
      <c r="K139" s="540"/>
      <c r="L139" s="541"/>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3"/>
      <c r="B140" s="7" t="s">
        <v>1389</v>
      </c>
      <c r="C140" s="441"/>
      <c r="D140" s="435"/>
      <c r="E140" s="436"/>
      <c r="F140" s="419"/>
      <c r="G140" s="419"/>
      <c r="H140" s="419"/>
      <c r="I140" s="419"/>
      <c r="J140" s="539"/>
      <c r="K140" s="540"/>
      <c r="L140" s="541"/>
      <c r="M140" s="122">
        <f t="shared" si="2"/>
        <v>0</v>
      </c>
      <c r="N140" s="202"/>
      <c r="O140" s="76"/>
      <c r="P140" s="182"/>
      <c r="Q140" s="182"/>
      <c r="R140" s="182"/>
      <c r="S140" s="182"/>
      <c r="T140" s="182"/>
      <c r="U140" s="182"/>
      <c r="V140" s="182"/>
      <c r="W140" s="182"/>
      <c r="X140" s="182"/>
      <c r="Y140" s="182"/>
      <c r="Z140" s="182"/>
      <c r="AA140" s="96"/>
    </row>
    <row r="141" spans="1:27" ht="27" customHeight="1" thickTop="1">
      <c r="A141" s="591" t="str">
        <f>Lbl_Banque_Signalétique_financier</f>
        <v>Signalétique financier</v>
      </c>
      <c r="B141" s="7" t="s">
        <v>1390</v>
      </c>
      <c r="C141" s="441"/>
      <c r="D141" s="435"/>
      <c r="E141" s="436"/>
      <c r="F141" s="419"/>
      <c r="G141" s="419"/>
      <c r="H141" s="419"/>
      <c r="I141" s="419"/>
      <c r="J141" s="539"/>
      <c r="K141" s="540"/>
      <c r="L141" s="541"/>
      <c r="M141" s="122">
        <f t="shared" si="2"/>
        <v>0</v>
      </c>
      <c r="N141" s="202"/>
      <c r="O141" s="76"/>
      <c r="P141" s="182"/>
      <c r="Q141" s="182"/>
      <c r="R141" s="182"/>
      <c r="S141" s="182"/>
      <c r="T141" s="182"/>
      <c r="U141" s="182"/>
      <c r="V141" s="182"/>
      <c r="W141" s="182"/>
      <c r="X141" s="182"/>
      <c r="Y141" s="182"/>
      <c r="Z141" s="182"/>
      <c r="AA141" s="96"/>
    </row>
    <row r="142" spans="1:27" ht="8.25" customHeight="1" thickBot="1">
      <c r="A142" s="592"/>
      <c r="C142" s="399" t="str">
        <f>J135&amp;","&amp;J136&amp;","&amp;J137&amp;","&amp;J138&amp;","&amp;J139&amp;","&amp;J140&amp;","&amp;J141</f>
        <v>,,,,,,</v>
      </c>
      <c r="D142" s="399"/>
      <c r="E142" s="399"/>
      <c r="F142" s="399"/>
      <c r="G142" s="399"/>
      <c r="H142" s="804"/>
      <c r="I142" s="804"/>
      <c r="J142" s="702">
        <f>SUM(M135:M141)</f>
        <v>0</v>
      </c>
      <c r="K142" s="702"/>
      <c r="L142" s="702"/>
      <c r="M142" s="96"/>
      <c r="N142" s="202"/>
      <c r="O142" s="76"/>
      <c r="P142" s="182"/>
      <c r="Q142" s="182"/>
      <c r="R142" s="182"/>
      <c r="S142" s="182"/>
      <c r="T142" s="182"/>
      <c r="U142" s="182"/>
      <c r="V142" s="182"/>
      <c r="W142" s="182"/>
      <c r="X142" s="182"/>
      <c r="Y142" s="182"/>
      <c r="Z142" s="182"/>
      <c r="AA142" s="96"/>
    </row>
    <row r="143" spans="1:27" ht="39" customHeight="1" thickTop="1">
      <c r="A143" s="591" t="str">
        <f>Lbl_Fin</f>
        <v>Fin du document</v>
      </c>
      <c r="B143" s="204" t="s">
        <v>511</v>
      </c>
      <c r="C143" s="162" t="str">
        <f>Lbl_TitreProjet</f>
        <v>TITRE DU PROJET:</v>
      </c>
      <c r="D143" s="687"/>
      <c r="E143" s="688"/>
      <c r="F143" s="688"/>
      <c r="G143" s="688"/>
      <c r="H143" s="688"/>
      <c r="I143" s="688"/>
      <c r="J143" s="688"/>
      <c r="K143" s="688"/>
      <c r="L143" s="689"/>
      <c r="M143" s="96"/>
      <c r="N143" s="202"/>
      <c r="O143" s="76"/>
      <c r="P143" s="182"/>
      <c r="Q143" s="182"/>
      <c r="R143" s="182"/>
      <c r="S143" s="182"/>
      <c r="T143" s="182"/>
      <c r="U143" s="182"/>
      <c r="V143" s="182"/>
      <c r="W143" s="182"/>
      <c r="X143" s="182"/>
      <c r="Y143" s="182"/>
      <c r="Z143" s="182"/>
      <c r="AA143" s="96"/>
    </row>
    <row r="144" spans="1:27" s="106" customFormat="1" ht="15" customHeight="1" thickBot="1">
      <c r="A144" s="592"/>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3"/>
      <c r="E145" s="704"/>
      <c r="F145" s="32"/>
      <c r="G145" s="708" t="str">
        <f>Lbl_Type_de_projet</f>
        <v>Type d'activités</v>
      </c>
      <c r="H145" s="708"/>
      <c r="I145" s="709"/>
      <c r="J145" s="705"/>
      <c r="K145" s="706"/>
      <c r="L145" s="707"/>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7" t="e">
        <f>IF(SEARCH("/",Fld_Debut_Projet,3)+SEARCH("/",Fld_Debut_Projet,4)&lt;&gt;9,"VALUES !!","")</f>
        <v>#VALUE!</v>
      </c>
      <c r="D146" s="387"/>
      <c r="E146" s="626" t="str">
        <f>Lbl_Format_Date</f>
        <v>JJ/MM/AAAA</v>
      </c>
      <c r="F146" s="626"/>
      <c r="G146" s="275" t="e">
        <f>IF(SEARCH("/",Fld_Fin_Projet,3)+SEARCH("/",Fld_Fin_Projet,4)&lt;&gt;9,"VALUES !!","")</f>
        <v>#VALUE!</v>
      </c>
      <c r="H146" s="626" t="str">
        <f>Lbl_Format_Date</f>
        <v>JJ/MM/AAAA</v>
      </c>
      <c r="I146" s="626"/>
      <c r="J146" s="68"/>
      <c r="K146" s="68"/>
      <c r="L146" s="68"/>
      <c r="M146" s="96"/>
      <c r="N146" s="202"/>
      <c r="O146" s="76"/>
      <c r="P146" s="182"/>
      <c r="Q146" s="182"/>
      <c r="R146" s="182"/>
      <c r="S146" s="182"/>
      <c r="T146" s="182"/>
      <c r="U146" s="182"/>
      <c r="V146" s="182"/>
      <c r="W146" s="182"/>
      <c r="X146" s="182"/>
      <c r="Y146" s="182"/>
      <c r="Z146" s="182"/>
      <c r="AA146" s="96"/>
    </row>
    <row r="147" spans="1:27" s="374" customFormat="1" ht="27" customHeight="1">
      <c r="A147" s="372"/>
      <c r="B147" s="204" t="s">
        <v>513</v>
      </c>
      <c r="C147" s="162" t="str">
        <f>Lbl_Durée_du_projet</f>
        <v>Durée des activités</v>
      </c>
      <c r="D147" s="209" t="str">
        <f>Lbl_du</f>
        <v>du</v>
      </c>
      <c r="E147" s="627"/>
      <c r="F147" s="628"/>
      <c r="G147" s="276" t="str">
        <f>Lbl_au</f>
        <v>au</v>
      </c>
      <c r="H147" s="627"/>
      <c r="I147" s="628"/>
      <c r="J147" s="33" t="s">
        <v>1047</v>
      </c>
      <c r="K147" s="624">
        <f>ROUNDUP(DAYS360(Fld_Debut_Projet,Fld_Fin_Projet)/365*12,0)</f>
        <v>0</v>
      </c>
      <c r="L147" s="625"/>
      <c r="M147" s="96"/>
      <c r="N147" s="376"/>
      <c r="O147" s="377"/>
      <c r="P147" s="378"/>
      <c r="Q147" s="378"/>
      <c r="R147" s="378"/>
      <c r="S147" s="378"/>
      <c r="T147" s="378"/>
      <c r="U147" s="378"/>
      <c r="V147" s="378"/>
      <c r="W147" s="378"/>
      <c r="X147" s="378"/>
      <c r="Y147" s="378"/>
      <c r="Z147" s="378"/>
      <c r="AA147" s="375"/>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3" t="s">
        <v>514</v>
      </c>
      <c r="C149" s="763" t="str">
        <f>Lbl_Resume</f>
        <v>Brève description de la problématique abordée, des objectifs et des résultats concrets de votre proposition (max. 10 lignes)</v>
      </c>
      <c r="D149" s="764"/>
      <c r="E149" s="764"/>
      <c r="F149" s="764"/>
      <c r="G149" s="764"/>
      <c r="H149" s="764"/>
      <c r="I149" s="764"/>
      <c r="J149" s="764"/>
      <c r="K149" s="764"/>
      <c r="L149" s="764"/>
      <c r="M149" s="375"/>
      <c r="N149" s="202"/>
      <c r="O149" s="76"/>
      <c r="P149" s="182"/>
      <c r="Q149" s="182"/>
      <c r="R149" s="182"/>
      <c r="S149" s="182"/>
      <c r="T149" s="182"/>
      <c r="U149" s="182"/>
      <c r="V149" s="182"/>
      <c r="W149" s="182"/>
      <c r="X149" s="182"/>
      <c r="Y149" s="182"/>
      <c r="Z149" s="182"/>
      <c r="AA149" s="96"/>
    </row>
    <row r="150" spans="1:27" s="110" customFormat="1" ht="12.75">
      <c r="A150" s="175"/>
      <c r="B150" s="206"/>
      <c r="C150" s="576"/>
      <c r="D150" s="577"/>
      <c r="E150" s="577"/>
      <c r="F150" s="577"/>
      <c r="G150" s="577"/>
      <c r="H150" s="577"/>
      <c r="I150" s="577"/>
      <c r="J150" s="577"/>
      <c r="K150" s="577"/>
      <c r="L150" s="578"/>
      <c r="M150" s="96"/>
      <c r="N150" s="202"/>
      <c r="O150" s="76"/>
      <c r="P150" s="182"/>
      <c r="Q150" s="182"/>
      <c r="R150" s="182"/>
      <c r="S150" s="182"/>
      <c r="T150" s="182"/>
      <c r="U150" s="182"/>
      <c r="V150" s="182"/>
      <c r="W150" s="182"/>
      <c r="X150" s="182"/>
      <c r="Y150" s="182"/>
      <c r="Z150" s="182"/>
      <c r="AA150" s="96"/>
    </row>
    <row r="151" spans="1:27" s="110" customFormat="1" ht="12.75">
      <c r="A151" s="175"/>
      <c r="B151" s="206"/>
      <c r="C151" s="579"/>
      <c r="D151" s="580"/>
      <c r="E151" s="580"/>
      <c r="F151" s="580"/>
      <c r="G151" s="580"/>
      <c r="H151" s="580"/>
      <c r="I151" s="580"/>
      <c r="J151" s="580"/>
      <c r="K151" s="580"/>
      <c r="L151" s="581"/>
      <c r="M151" s="96"/>
      <c r="N151" s="202"/>
      <c r="O151" s="76"/>
      <c r="P151" s="182"/>
      <c r="Q151" s="182"/>
      <c r="R151" s="182"/>
      <c r="S151" s="182"/>
      <c r="T151" s="182"/>
      <c r="U151" s="182"/>
      <c r="V151" s="182"/>
      <c r="W151" s="182"/>
      <c r="X151" s="182"/>
      <c r="Y151" s="182"/>
      <c r="Z151" s="182"/>
      <c r="AA151" s="96"/>
    </row>
    <row r="152" spans="1:27" s="110" customFormat="1" ht="12.75">
      <c r="A152" s="175"/>
      <c r="B152" s="206"/>
      <c r="C152" s="579"/>
      <c r="D152" s="580"/>
      <c r="E152" s="580"/>
      <c r="F152" s="580"/>
      <c r="G152" s="580"/>
      <c r="H152" s="580"/>
      <c r="I152" s="580"/>
      <c r="J152" s="580"/>
      <c r="K152" s="580"/>
      <c r="L152" s="581"/>
      <c r="M152" s="96"/>
      <c r="N152" s="202"/>
      <c r="O152" s="76"/>
      <c r="P152" s="182"/>
      <c r="Q152" s="182"/>
      <c r="R152" s="182"/>
      <c r="S152" s="182"/>
      <c r="T152" s="182"/>
      <c r="U152" s="182"/>
      <c r="V152" s="182"/>
      <c r="W152" s="182"/>
      <c r="X152" s="182"/>
      <c r="Y152" s="182"/>
      <c r="Z152" s="182"/>
      <c r="AA152" s="96"/>
    </row>
    <row r="153" spans="1:27" s="110" customFormat="1" ht="12.75">
      <c r="A153" s="175"/>
      <c r="B153" s="299"/>
      <c r="C153" s="579"/>
      <c r="D153" s="580"/>
      <c r="E153" s="580"/>
      <c r="F153" s="580"/>
      <c r="G153" s="580"/>
      <c r="H153" s="580"/>
      <c r="I153" s="580"/>
      <c r="J153" s="580"/>
      <c r="K153" s="580"/>
      <c r="L153" s="581"/>
      <c r="M153" s="96"/>
      <c r="N153" s="202"/>
      <c r="O153" s="76"/>
      <c r="P153" s="182"/>
      <c r="Q153" s="182"/>
      <c r="R153" s="182"/>
      <c r="S153" s="182"/>
      <c r="T153" s="182"/>
      <c r="U153" s="182"/>
      <c r="V153" s="182"/>
      <c r="W153" s="182"/>
      <c r="X153" s="182"/>
      <c r="Y153" s="182"/>
      <c r="Z153" s="182"/>
      <c r="AA153" s="96"/>
    </row>
    <row r="154" spans="1:27" s="110" customFormat="1" ht="12.75">
      <c r="A154" s="175"/>
      <c r="B154" s="206"/>
      <c r="C154" s="579"/>
      <c r="D154" s="580"/>
      <c r="E154" s="580"/>
      <c r="F154" s="580"/>
      <c r="G154" s="580"/>
      <c r="H154" s="580"/>
      <c r="I154" s="580"/>
      <c r="J154" s="580"/>
      <c r="K154" s="580"/>
      <c r="L154" s="581"/>
      <c r="M154" s="96"/>
      <c r="N154" s="202"/>
      <c r="O154" s="76"/>
      <c r="P154" s="182"/>
      <c r="Q154" s="182"/>
      <c r="R154" s="182"/>
      <c r="S154" s="182"/>
      <c r="T154" s="182"/>
      <c r="U154" s="182"/>
      <c r="V154" s="182"/>
      <c r="W154" s="182"/>
      <c r="X154" s="182"/>
      <c r="Y154" s="182"/>
      <c r="Z154" s="182"/>
      <c r="AA154" s="96"/>
    </row>
    <row r="155" spans="1:27" s="110" customFormat="1" ht="12.75">
      <c r="A155" s="175"/>
      <c r="B155" s="206"/>
      <c r="C155" s="579"/>
      <c r="D155" s="580"/>
      <c r="E155" s="580"/>
      <c r="F155" s="580"/>
      <c r="G155" s="580"/>
      <c r="H155" s="580"/>
      <c r="I155" s="580"/>
      <c r="J155" s="580"/>
      <c r="K155" s="580"/>
      <c r="L155" s="581"/>
      <c r="M155" s="96"/>
      <c r="N155" s="202"/>
      <c r="O155" s="76"/>
      <c r="P155" s="182"/>
      <c r="Q155" s="182"/>
      <c r="R155" s="182"/>
      <c r="S155" s="182"/>
      <c r="T155" s="182"/>
      <c r="U155" s="182"/>
      <c r="V155" s="182"/>
      <c r="W155" s="182"/>
      <c r="X155" s="182"/>
      <c r="Y155" s="182"/>
      <c r="Z155" s="182"/>
      <c r="AA155" s="96"/>
    </row>
    <row r="156" spans="1:27" s="110" customFormat="1" ht="12.75">
      <c r="A156" s="175"/>
      <c r="B156" s="206"/>
      <c r="C156" s="579"/>
      <c r="D156" s="580"/>
      <c r="E156" s="580"/>
      <c r="F156" s="580"/>
      <c r="G156" s="580"/>
      <c r="H156" s="580"/>
      <c r="I156" s="580"/>
      <c r="J156" s="580"/>
      <c r="K156" s="580"/>
      <c r="L156" s="581"/>
      <c r="M156" s="96"/>
      <c r="N156" s="202"/>
      <c r="O156" s="76"/>
      <c r="P156" s="182"/>
      <c r="Q156" s="182"/>
      <c r="R156" s="182"/>
      <c r="S156" s="182"/>
      <c r="T156" s="182"/>
      <c r="U156" s="182"/>
      <c r="V156" s="182"/>
      <c r="W156" s="182"/>
      <c r="X156" s="182"/>
      <c r="Y156" s="182"/>
      <c r="Z156" s="182"/>
      <c r="AA156" s="96"/>
    </row>
    <row r="157" spans="1:27" s="110" customFormat="1" ht="12.75">
      <c r="A157" s="175"/>
      <c r="B157" s="206"/>
      <c r="C157" s="579"/>
      <c r="D157" s="580"/>
      <c r="E157" s="580"/>
      <c r="F157" s="580"/>
      <c r="G157" s="580"/>
      <c r="H157" s="580"/>
      <c r="I157" s="580"/>
      <c r="J157" s="580"/>
      <c r="K157" s="580"/>
      <c r="L157" s="581"/>
      <c r="M157" s="96"/>
      <c r="N157" s="202"/>
      <c r="O157" s="76"/>
      <c r="P157" s="182"/>
      <c r="Q157" s="182"/>
      <c r="R157" s="182"/>
      <c r="S157" s="182"/>
      <c r="T157" s="182"/>
      <c r="U157" s="182"/>
      <c r="V157" s="182"/>
      <c r="W157" s="182"/>
      <c r="X157" s="182"/>
      <c r="Y157" s="182"/>
      <c r="Z157" s="182"/>
      <c r="AA157" s="96"/>
    </row>
    <row r="158" spans="1:27" s="110" customFormat="1" ht="12.75">
      <c r="A158" s="175"/>
      <c r="B158" s="206"/>
      <c r="C158" s="579"/>
      <c r="D158" s="580"/>
      <c r="E158" s="580"/>
      <c r="F158" s="580"/>
      <c r="G158" s="580"/>
      <c r="H158" s="580"/>
      <c r="I158" s="580"/>
      <c r="J158" s="580"/>
      <c r="K158" s="580"/>
      <c r="L158" s="581"/>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79"/>
      <c r="D159" s="580"/>
      <c r="E159" s="580"/>
      <c r="F159" s="580"/>
      <c r="G159" s="580"/>
      <c r="H159" s="580"/>
      <c r="I159" s="580"/>
      <c r="J159" s="580"/>
      <c r="K159" s="580"/>
      <c r="L159" s="581"/>
      <c r="M159" s="96"/>
      <c r="N159" s="202"/>
      <c r="O159" s="76"/>
      <c r="P159" s="182"/>
      <c r="Q159" s="182"/>
      <c r="R159" s="182"/>
      <c r="S159" s="182"/>
      <c r="T159" s="182"/>
      <c r="U159" s="182"/>
      <c r="V159" s="182"/>
      <c r="W159" s="182"/>
      <c r="X159" s="182"/>
      <c r="Y159" s="182"/>
      <c r="Z159" s="182"/>
      <c r="AA159" s="96"/>
    </row>
    <row r="160" spans="1:27" s="110" customFormat="1" ht="12.75">
      <c r="A160" s="175"/>
      <c r="B160" s="206"/>
      <c r="C160" s="579"/>
      <c r="D160" s="580"/>
      <c r="E160" s="580"/>
      <c r="F160" s="580"/>
      <c r="G160" s="580"/>
      <c r="H160" s="580"/>
      <c r="I160" s="580"/>
      <c r="J160" s="580"/>
      <c r="K160" s="580"/>
      <c r="L160" s="581"/>
      <c r="M160" s="96"/>
      <c r="N160" s="202"/>
      <c r="O160" s="76"/>
      <c r="P160" s="182"/>
      <c r="Q160" s="182"/>
      <c r="R160" s="182"/>
      <c r="S160" s="182"/>
      <c r="T160" s="182"/>
      <c r="U160" s="182"/>
      <c r="V160" s="182"/>
      <c r="W160" s="182"/>
      <c r="X160" s="182"/>
      <c r="Y160" s="182"/>
      <c r="Z160" s="182"/>
      <c r="AA160" s="96"/>
    </row>
    <row r="161" spans="1:27" s="110" customFormat="1" ht="12.75">
      <c r="A161" s="175"/>
      <c r="B161" s="206"/>
      <c r="C161" s="579"/>
      <c r="D161" s="580"/>
      <c r="E161" s="580"/>
      <c r="F161" s="580"/>
      <c r="G161" s="580"/>
      <c r="H161" s="580"/>
      <c r="I161" s="580"/>
      <c r="J161" s="580"/>
      <c r="K161" s="580"/>
      <c r="L161" s="581"/>
      <c r="M161" s="96"/>
      <c r="N161" s="202"/>
      <c r="O161" s="76"/>
      <c r="P161" s="182"/>
      <c r="Q161" s="182"/>
      <c r="R161" s="182"/>
      <c r="S161" s="182"/>
      <c r="T161" s="182"/>
      <c r="U161" s="182"/>
      <c r="V161" s="182"/>
      <c r="W161" s="182"/>
      <c r="X161" s="182"/>
      <c r="Y161" s="182"/>
      <c r="Z161" s="182"/>
      <c r="AA161" s="96"/>
    </row>
    <row r="162" spans="1:27" s="110" customFormat="1" ht="12.75">
      <c r="A162" s="175"/>
      <c r="B162" s="206"/>
      <c r="C162" s="579"/>
      <c r="D162" s="580"/>
      <c r="E162" s="580"/>
      <c r="F162" s="580"/>
      <c r="G162" s="580"/>
      <c r="H162" s="580"/>
      <c r="I162" s="580"/>
      <c r="J162" s="580"/>
      <c r="K162" s="580"/>
      <c r="L162" s="581"/>
      <c r="M162" s="96"/>
      <c r="N162" s="202"/>
      <c r="O162" s="76"/>
      <c r="P162" s="182"/>
      <c r="Q162" s="182"/>
      <c r="R162" s="182"/>
      <c r="S162" s="182"/>
      <c r="T162" s="182"/>
      <c r="U162" s="182"/>
      <c r="V162" s="182"/>
      <c r="W162" s="182"/>
      <c r="X162" s="182"/>
      <c r="Y162" s="182"/>
      <c r="Z162" s="182"/>
      <c r="AA162" s="96"/>
    </row>
    <row r="163" spans="1:27" s="110" customFormat="1" ht="12.75">
      <c r="A163" s="175"/>
      <c r="B163" s="206"/>
      <c r="C163" s="579"/>
      <c r="D163" s="580"/>
      <c r="E163" s="580"/>
      <c r="F163" s="580"/>
      <c r="G163" s="580"/>
      <c r="H163" s="580"/>
      <c r="I163" s="580"/>
      <c r="J163" s="580"/>
      <c r="K163" s="580"/>
      <c r="L163" s="581"/>
      <c r="M163" s="96"/>
      <c r="N163" s="202"/>
      <c r="O163" s="76"/>
      <c r="P163" s="182"/>
      <c r="Q163" s="182"/>
      <c r="R163" s="182"/>
      <c r="S163" s="182"/>
      <c r="T163" s="182"/>
      <c r="U163" s="182"/>
      <c r="V163" s="182"/>
      <c r="W163" s="182"/>
      <c r="X163" s="182"/>
      <c r="Y163" s="182"/>
      <c r="Z163" s="182"/>
      <c r="AA163" s="96"/>
    </row>
    <row r="164" spans="1:27" s="110" customFormat="1" ht="12.75">
      <c r="A164" s="175"/>
      <c r="B164" s="206"/>
      <c r="C164" s="579"/>
      <c r="D164" s="580"/>
      <c r="E164" s="580"/>
      <c r="F164" s="580"/>
      <c r="G164" s="580"/>
      <c r="H164" s="580"/>
      <c r="I164" s="580"/>
      <c r="J164" s="580"/>
      <c r="K164" s="580"/>
      <c r="L164" s="581"/>
      <c r="M164" s="96"/>
      <c r="N164" s="202"/>
      <c r="O164" s="76"/>
      <c r="P164" s="182"/>
      <c r="Q164" s="182"/>
      <c r="R164" s="182"/>
      <c r="S164" s="182"/>
      <c r="T164" s="182"/>
      <c r="U164" s="182"/>
      <c r="V164" s="182"/>
      <c r="W164" s="182"/>
      <c r="X164" s="182"/>
      <c r="Y164" s="182"/>
      <c r="Z164" s="182"/>
      <c r="AA164" s="96"/>
    </row>
    <row r="165" spans="1:27" s="110" customFormat="1" ht="12.75">
      <c r="A165" s="175"/>
      <c r="B165" s="206"/>
      <c r="C165" s="579"/>
      <c r="D165" s="580"/>
      <c r="E165" s="580"/>
      <c r="F165" s="580"/>
      <c r="G165" s="580"/>
      <c r="H165" s="580"/>
      <c r="I165" s="580"/>
      <c r="J165" s="580"/>
      <c r="K165" s="580"/>
      <c r="L165" s="581"/>
      <c r="M165" s="96"/>
      <c r="N165" s="202"/>
      <c r="O165" s="76"/>
      <c r="P165" s="182"/>
      <c r="Q165" s="182"/>
      <c r="R165" s="182"/>
      <c r="S165" s="182"/>
      <c r="T165" s="182"/>
      <c r="U165" s="182"/>
      <c r="V165" s="182"/>
      <c r="W165" s="182"/>
      <c r="X165" s="182"/>
      <c r="Y165" s="182"/>
      <c r="Z165" s="182"/>
      <c r="AA165" s="96"/>
    </row>
    <row r="166" spans="1:27" s="110" customFormat="1" ht="12.75">
      <c r="A166" s="175"/>
      <c r="B166" s="206"/>
      <c r="C166" s="579"/>
      <c r="D166" s="580"/>
      <c r="E166" s="580"/>
      <c r="F166" s="580"/>
      <c r="G166" s="580"/>
      <c r="H166" s="580"/>
      <c r="I166" s="580"/>
      <c r="J166" s="580"/>
      <c r="K166" s="580"/>
      <c r="L166" s="581"/>
      <c r="M166" s="96"/>
      <c r="N166" s="202"/>
      <c r="O166" s="76"/>
      <c r="P166" s="182"/>
      <c r="Q166" s="182"/>
      <c r="R166" s="182"/>
      <c r="S166" s="182"/>
      <c r="T166" s="182"/>
      <c r="U166" s="182"/>
      <c r="V166" s="182"/>
      <c r="W166" s="182"/>
      <c r="X166" s="182"/>
      <c r="Y166" s="182"/>
      <c r="Z166" s="182"/>
      <c r="AA166" s="96"/>
    </row>
    <row r="167" spans="1:27" s="110" customFormat="1" ht="12.75">
      <c r="A167" s="175"/>
      <c r="B167" s="206"/>
      <c r="C167" s="579"/>
      <c r="D167" s="580"/>
      <c r="E167" s="580"/>
      <c r="F167" s="580"/>
      <c r="G167" s="580"/>
      <c r="H167" s="580"/>
      <c r="I167" s="580"/>
      <c r="J167" s="580"/>
      <c r="K167" s="580"/>
      <c r="L167" s="581"/>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2"/>
      <c r="D168" s="583"/>
      <c r="E168" s="583"/>
      <c r="F168" s="583"/>
      <c r="G168" s="583"/>
      <c r="H168" s="583"/>
      <c r="I168" s="583"/>
      <c r="J168" s="583"/>
      <c r="K168" s="583"/>
      <c r="L168" s="584"/>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3"/>
      <c r="D169" s="394"/>
      <c r="E169" s="394"/>
      <c r="F169" s="394"/>
      <c r="G169" s="394"/>
      <c r="H169" s="394"/>
      <c r="I169" s="394"/>
      <c r="J169" s="394"/>
      <c r="K169" s="394"/>
      <c r="L169" s="395"/>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5"/>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1"/>
      <c r="D172" s="402"/>
      <c r="E172" s="402"/>
      <c r="F172" s="402"/>
      <c r="G172" s="402"/>
      <c r="H172" s="402"/>
      <c r="I172" s="402"/>
      <c r="J172" s="402"/>
      <c r="K172" s="402"/>
      <c r="L172" s="403"/>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5" t="str">
        <f>Lbl_BudgetPrévisionnel</f>
        <v>Budget prévisionnel (EURO)</v>
      </c>
      <c r="D174" s="765"/>
      <c r="E174" s="765"/>
      <c r="F174" s="765"/>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4"/>
      <c r="E175" s="655"/>
      <c r="F175" s="656"/>
      <c r="G175" s="35" t="s">
        <v>924</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8" t="str">
        <f>Lbl_MNT_Apport</f>
        <v>Apport propre</v>
      </c>
      <c r="E176" s="738"/>
      <c r="F176" s="738"/>
      <c r="G176" s="653" t="str">
        <f>Lbl_MNT_RessExt</f>
        <v>Ressources externes</v>
      </c>
      <c r="H176" s="653"/>
      <c r="I176" s="653"/>
      <c r="J176" s="769" t="str">
        <f>Lbl_MNT_AutresApports</f>
        <v>Ressources générées par le projet</v>
      </c>
      <c r="K176" s="769"/>
      <c r="L176" s="769"/>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5"/>
      <c r="D177" s="657"/>
      <c r="E177" s="658"/>
      <c r="F177" s="659"/>
      <c r="G177" s="768"/>
      <c r="H177" s="768"/>
      <c r="I177" s="768"/>
      <c r="J177" s="735"/>
      <c r="K177" s="735"/>
      <c r="L177" s="735"/>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5" t="str">
        <f>Lbl_Declaration</f>
        <v>Déclaration de l'organisation candidate</v>
      </c>
      <c r="D179" s="765"/>
      <c r="E179" s="765"/>
      <c r="F179" s="765"/>
      <c r="G179" s="765"/>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7"/>
      <c r="E180" s="767"/>
      <c r="F180" s="767"/>
      <c r="G180" s="767"/>
      <c r="H180" s="767"/>
      <c r="I180" s="767"/>
      <c r="J180" s="767"/>
      <c r="K180" s="767"/>
      <c r="L180" s="767"/>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6" t="str">
        <f>Lbl_Fonction</f>
        <v>Fonction</v>
      </c>
      <c r="G182" s="686"/>
      <c r="H182" s="686"/>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6"/>
      <c r="D183" s="397"/>
      <c r="E183" s="38"/>
      <c r="F183" s="687"/>
      <c r="G183" s="688"/>
      <c r="H183" s="688"/>
      <c r="I183" s="688"/>
      <c r="J183" s="688"/>
      <c r="K183" s="688"/>
      <c r="L183" s="689"/>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0" t="str">
        <f>Lbl_Signature</f>
        <v>Signature (sur version papier)</v>
      </c>
      <c r="G185" s="690"/>
      <c r="H185" s="690"/>
      <c r="I185" s="690"/>
      <c r="J185" s="690"/>
      <c r="K185" s="690"/>
      <c r="L185" s="690"/>
      <c r="M185" s="96"/>
      <c r="N185" s="202"/>
      <c r="O185" s="76"/>
      <c r="P185" s="182"/>
      <c r="Q185" s="182"/>
      <c r="R185" s="182"/>
      <c r="S185" s="182"/>
      <c r="T185" s="182"/>
      <c r="U185" s="182"/>
      <c r="V185" s="182"/>
      <c r="W185" s="182"/>
      <c r="X185" s="182"/>
      <c r="Y185" s="182"/>
      <c r="Z185" s="182"/>
      <c r="AA185" s="96"/>
    </row>
    <row r="186" spans="1:27" ht="12.75">
      <c r="A186" s="175"/>
      <c r="B186" s="67"/>
      <c r="C186" s="396"/>
      <c r="D186" s="392"/>
      <c r="E186" s="38"/>
      <c r="F186" s="687"/>
      <c r="G186" s="688"/>
      <c r="H186" s="688"/>
      <c r="I186" s="688"/>
      <c r="J186" s="688"/>
      <c r="K186" s="688"/>
      <c r="L186" s="689"/>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6" t="str">
        <f>Lbl_Informations_générales</f>
        <v>Informations générales</v>
      </c>
      <c r="B189" s="204" t="s">
        <v>1362</v>
      </c>
      <c r="C189" s="398">
        <f>Fld_Org_Pays</f>
        <v>0</v>
      </c>
      <c r="D189" s="398"/>
      <c r="E189" s="398"/>
      <c r="F189" s="398"/>
      <c r="G189" s="398"/>
      <c r="H189" s="398"/>
      <c r="I189" s="398"/>
      <c r="J189" s="398"/>
      <c r="K189" s="398"/>
      <c r="L189" s="398"/>
      <c r="M189" s="96"/>
      <c r="N189" s="202"/>
      <c r="O189" s="76"/>
      <c r="P189" s="182"/>
      <c r="Q189" s="182"/>
      <c r="R189" s="182"/>
      <c r="S189" s="182"/>
      <c r="T189" s="182"/>
      <c r="U189" s="182"/>
      <c r="V189" s="182"/>
      <c r="W189" s="182"/>
      <c r="X189" s="182"/>
      <c r="Y189" s="182"/>
      <c r="Z189" s="182"/>
      <c r="AA189" s="96"/>
    </row>
    <row r="190" spans="1:27" ht="28.5" customHeight="1" thickBot="1">
      <c r="A190" s="597"/>
      <c r="B190" s="414" t="str">
        <f>Lbl_Banque_Titulaire_du_compte_bancaire</f>
        <v>Titulaire du compte bancaire</v>
      </c>
      <c r="C190" s="415"/>
      <c r="D190" s="380"/>
      <c r="E190" s="380"/>
      <c r="F190" s="380"/>
      <c r="G190" s="380"/>
      <c r="H190" s="380"/>
      <c r="I190" s="380"/>
      <c r="J190" s="380"/>
      <c r="K190" s="380"/>
      <c r="L190" s="379"/>
      <c r="M190" s="96"/>
      <c r="N190" s="202"/>
      <c r="O190" s="76"/>
      <c r="P190" s="182"/>
      <c r="Q190" s="182"/>
      <c r="R190" s="182"/>
      <c r="S190" s="182"/>
      <c r="T190" s="182"/>
      <c r="U190" s="182"/>
      <c r="V190" s="182"/>
      <c r="W190" s="182"/>
      <c r="X190" s="182"/>
      <c r="Y190" s="182"/>
      <c r="Z190" s="182"/>
      <c r="AA190" s="96"/>
    </row>
    <row r="191" spans="1:27" ht="15.75" customHeight="1" thickTop="1">
      <c r="A191" s="761" t="str">
        <f>Lbl_Structure</f>
        <v>Structure, activités et ressources de l'organisation</v>
      </c>
      <c r="B191" s="416"/>
      <c r="C191" s="417"/>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1"/>
      <c r="B192" s="542" t="str">
        <f>Lbl_Nom_ou_raison_sociale</f>
        <v>Nom ou raison sociale</v>
      </c>
      <c r="C192" s="543"/>
      <c r="D192" s="441">
        <f>Fld_Org_Nom</f>
        <v>0</v>
      </c>
      <c r="E192" s="435"/>
      <c r="F192" s="435"/>
      <c r="G192" s="435"/>
      <c r="H192" s="435"/>
      <c r="I192" s="435"/>
      <c r="J192" s="435"/>
      <c r="K192" s="435"/>
      <c r="L192" s="691"/>
      <c r="M192" s="96"/>
      <c r="N192" s="202"/>
      <c r="O192" s="76"/>
      <c r="P192" s="182"/>
      <c r="Q192" s="182"/>
      <c r="R192" s="182"/>
      <c r="S192" s="182"/>
      <c r="T192" s="182"/>
      <c r="U192" s="182"/>
      <c r="V192" s="182"/>
      <c r="W192" s="182"/>
      <c r="X192" s="182"/>
      <c r="Y192" s="182"/>
      <c r="Z192" s="182"/>
      <c r="AA192" s="96"/>
    </row>
    <row r="193" spans="1:27" ht="13.5" thickBot="1">
      <c r="A193" s="762"/>
      <c r="B193" s="544" t="str">
        <f>Lbl_Adresse</f>
        <v>Adresse</v>
      </c>
      <c r="C193" s="545"/>
      <c r="D193" s="660">
        <f>Fld_Org_Adresse1</f>
        <v>0</v>
      </c>
      <c r="E193" s="661"/>
      <c r="F193" s="661"/>
      <c r="G193" s="661"/>
      <c r="H193" s="661"/>
      <c r="I193" s="661"/>
      <c r="J193" s="661"/>
      <c r="K193" s="661"/>
      <c r="L193" s="662"/>
      <c r="M193" s="96"/>
      <c r="N193" s="202"/>
      <c r="O193" s="76"/>
      <c r="P193" s="182"/>
      <c r="Q193" s="182"/>
      <c r="R193" s="182"/>
      <c r="S193" s="182"/>
      <c r="T193" s="182"/>
      <c r="U193" s="182"/>
      <c r="V193" s="182"/>
      <c r="W193" s="182"/>
      <c r="X193" s="182"/>
      <c r="Y193" s="182"/>
      <c r="Z193" s="182"/>
      <c r="AA193" s="96"/>
    </row>
    <row r="194" spans="1:27" ht="15.75" customHeight="1" thickTop="1">
      <c r="A194" s="596" t="str">
        <f>Lbl_Charactéristiques_du_projet</f>
        <v>Caractéristiques de l'activité proposée</v>
      </c>
      <c r="B194" s="544"/>
      <c r="C194" s="545"/>
      <c r="D194" s="573">
        <f>Fld_Org_Adresse2</f>
        <v>0</v>
      </c>
      <c r="E194" s="574"/>
      <c r="F194" s="574"/>
      <c r="G194" s="574"/>
      <c r="H194" s="574"/>
      <c r="I194" s="574"/>
      <c r="J194" s="574"/>
      <c r="K194" s="574"/>
      <c r="L194" s="575"/>
      <c r="M194" s="96"/>
      <c r="N194" s="202"/>
      <c r="O194" s="76"/>
      <c r="P194" s="182"/>
      <c r="Q194" s="182"/>
      <c r="R194" s="182"/>
      <c r="S194" s="182"/>
      <c r="T194" s="182"/>
      <c r="U194" s="182"/>
      <c r="V194" s="182"/>
      <c r="W194" s="182"/>
      <c r="X194" s="182"/>
      <c r="Y194" s="182"/>
      <c r="Z194" s="182"/>
      <c r="AA194" s="96"/>
    </row>
    <row r="195" spans="1:27" ht="13.5" thickBot="1">
      <c r="A195" s="597"/>
      <c r="B195" s="542" t="str">
        <f>Lbl_Banque_Commune_Ville</f>
        <v>Commune/Ville</v>
      </c>
      <c r="C195" s="543"/>
      <c r="D195" s="696">
        <f>Fld_Org_Ville</f>
        <v>0</v>
      </c>
      <c r="E195" s="696"/>
      <c r="F195" s="696"/>
      <c r="G195" s="696"/>
      <c r="H195" s="696"/>
      <c r="I195" s="696"/>
      <c r="J195" s="696"/>
      <c r="K195" s="696"/>
      <c r="L195" s="697"/>
      <c r="M195" s="96"/>
      <c r="N195" s="202"/>
      <c r="O195" s="76"/>
      <c r="P195" s="182"/>
      <c r="Q195" s="182"/>
      <c r="R195" s="182"/>
      <c r="S195" s="182"/>
      <c r="T195" s="182"/>
      <c r="U195" s="182"/>
      <c r="V195" s="182"/>
      <c r="W195" s="182"/>
      <c r="X195" s="182"/>
      <c r="Y195" s="182"/>
      <c r="Z195" s="182"/>
      <c r="AA195" s="96"/>
    </row>
    <row r="196" spans="1:27" ht="12.75" customHeight="1" thickTop="1">
      <c r="A196" s="596" t="str">
        <f>Lbl_Banque_Signalétique_financier</f>
        <v>Signalétique financier</v>
      </c>
      <c r="B196" s="542" t="str">
        <f>Lbl_Banque_Code_postal</f>
        <v>Code postal</v>
      </c>
      <c r="C196" s="543"/>
      <c r="D196" s="559">
        <f>Fld_Org_ZipCode</f>
        <v>0</v>
      </c>
      <c r="E196" s="559"/>
      <c r="F196" s="559"/>
      <c r="G196" s="559"/>
      <c r="H196" s="559"/>
      <c r="I196" s="559"/>
      <c r="J196" s="559"/>
      <c r="K196" s="559"/>
      <c r="L196" s="560"/>
      <c r="M196" s="96"/>
      <c r="N196" s="202"/>
      <c r="O196" s="76"/>
      <c r="P196" s="182"/>
      <c r="Q196" s="182"/>
      <c r="R196" s="182"/>
      <c r="S196" s="182"/>
      <c r="T196" s="182"/>
      <c r="U196" s="182"/>
      <c r="V196" s="182"/>
      <c r="W196" s="182"/>
      <c r="X196" s="182"/>
      <c r="Y196" s="182"/>
      <c r="Z196" s="182"/>
      <c r="AA196" s="96"/>
    </row>
    <row r="197" spans="1:27" ht="14.25" customHeight="1" thickBot="1">
      <c r="A197" s="607"/>
      <c r="B197" s="542" t="str">
        <f>Lbl_Pays</f>
        <v>Pays</v>
      </c>
      <c r="C197" s="543"/>
      <c r="D197" s="554">
        <f>Fld_Org_Pays</f>
        <v>0</v>
      </c>
      <c r="E197" s="554"/>
      <c r="F197" s="554"/>
      <c r="G197" s="554"/>
      <c r="H197" s="554"/>
      <c r="I197" s="554"/>
      <c r="J197" s="554"/>
      <c r="K197" s="554"/>
      <c r="L197" s="555"/>
      <c r="M197" s="96"/>
      <c r="N197" s="202"/>
      <c r="O197" s="76"/>
      <c r="P197" s="182"/>
      <c r="Q197" s="182"/>
      <c r="R197" s="182"/>
      <c r="S197" s="182"/>
      <c r="T197" s="182"/>
      <c r="U197" s="182"/>
      <c r="V197" s="182"/>
      <c r="W197" s="182"/>
      <c r="X197" s="182"/>
      <c r="Y197" s="182"/>
      <c r="Z197" s="182"/>
      <c r="AA197" s="96"/>
    </row>
    <row r="198" spans="1:27" ht="13.5" thickTop="1">
      <c r="A198" s="596" t="str">
        <f>Lbl_Fin</f>
        <v>Fin du document</v>
      </c>
      <c r="B198" s="794" t="str">
        <f>Lbl_Banque_Contact</f>
        <v>Contact (Titre, Nom, Prénom)</v>
      </c>
      <c r="C198" s="795"/>
      <c r="D198" s="680"/>
      <c r="E198" s="682"/>
      <c r="F198" s="680"/>
      <c r="G198" s="681"/>
      <c r="H198" s="681"/>
      <c r="I198" s="682"/>
      <c r="J198" s="556"/>
      <c r="K198" s="557"/>
      <c r="L198" s="558"/>
      <c r="M198" s="96"/>
      <c r="N198" s="202"/>
      <c r="O198" s="76"/>
      <c r="P198" s="182"/>
      <c r="Q198" s="182"/>
      <c r="R198" s="182"/>
      <c r="S198" s="182"/>
      <c r="T198" s="182"/>
      <c r="U198" s="182"/>
      <c r="V198" s="182"/>
      <c r="W198" s="182"/>
      <c r="X198" s="182"/>
      <c r="Y198" s="182"/>
      <c r="Z198" s="182"/>
      <c r="AA198" s="96"/>
    </row>
    <row r="199" spans="1:27" ht="13.5" thickBot="1">
      <c r="A199" s="607"/>
      <c r="B199" s="792" t="str">
        <f>Lbl_Contact_Sexe</f>
        <v>Genre</v>
      </c>
      <c r="C199" s="793"/>
      <c r="D199" s="680"/>
      <c r="E199" s="681"/>
      <c r="F199" s="682"/>
      <c r="G199" s="692" t="str">
        <f>Lbl_Contact_LNG</f>
        <v>Langue</v>
      </c>
      <c r="H199" s="693"/>
      <c r="I199" s="694"/>
      <c r="J199" s="680"/>
      <c r="K199" s="681"/>
      <c r="L199" s="695"/>
      <c r="M199" s="96"/>
      <c r="N199" s="202"/>
      <c r="O199" s="76"/>
      <c r="P199" s="182"/>
      <c r="Q199" s="182"/>
      <c r="R199" s="182"/>
      <c r="S199" s="182"/>
      <c r="T199" s="182"/>
      <c r="U199" s="182"/>
      <c r="V199" s="182"/>
      <c r="W199" s="182"/>
      <c r="X199" s="182"/>
      <c r="Y199" s="182"/>
      <c r="Z199" s="182"/>
      <c r="AA199" s="96"/>
    </row>
    <row r="200" spans="1:27" ht="13.5" thickTop="1">
      <c r="A200" s="175"/>
      <c r="B200" s="542" t="str">
        <f>Lbl_Téléphone</f>
        <v>Téléphone</v>
      </c>
      <c r="C200" s="543"/>
      <c r="D200" s="770"/>
      <c r="E200" s="771"/>
      <c r="F200" s="771"/>
      <c r="G200" s="771"/>
      <c r="H200" s="771"/>
      <c r="I200" s="772"/>
      <c r="J200" s="773" t="s">
        <v>2063</v>
      </c>
      <c r="K200" s="774"/>
      <c r="L200" s="775"/>
      <c r="M200" s="96"/>
      <c r="N200" s="202"/>
      <c r="O200" s="76"/>
      <c r="P200" s="182"/>
      <c r="Q200" s="182"/>
      <c r="R200" s="182"/>
      <c r="S200" s="182"/>
      <c r="T200" s="182"/>
      <c r="U200" s="182"/>
      <c r="V200" s="182"/>
      <c r="W200" s="182"/>
      <c r="X200" s="182"/>
      <c r="Y200" s="182"/>
      <c r="Z200" s="182"/>
      <c r="AA200" s="96"/>
    </row>
    <row r="201" spans="1:27" ht="12" customHeight="1">
      <c r="A201" s="175"/>
      <c r="B201" s="542" t="str">
        <f>Lbl_Télécopieur</f>
        <v>Télécopieur</v>
      </c>
      <c r="C201" s="543"/>
      <c r="D201" s="770"/>
      <c r="E201" s="771"/>
      <c r="F201" s="771"/>
      <c r="G201" s="771"/>
      <c r="H201" s="771"/>
      <c r="I201" s="772"/>
      <c r="J201" s="773" t="s">
        <v>2064</v>
      </c>
      <c r="K201" s="774"/>
      <c r="L201" s="775"/>
      <c r="M201" s="96"/>
      <c r="N201" s="202"/>
      <c r="O201" s="76"/>
      <c r="P201" s="182"/>
      <c r="Q201" s="182"/>
      <c r="R201" s="182"/>
      <c r="S201" s="182"/>
      <c r="T201" s="182"/>
      <c r="U201" s="182"/>
      <c r="V201" s="182"/>
      <c r="W201" s="182"/>
      <c r="X201" s="182"/>
      <c r="Y201" s="182"/>
      <c r="Z201" s="182"/>
      <c r="AA201" s="96"/>
    </row>
    <row r="202" spans="1:27" ht="13.5" thickBot="1">
      <c r="A202" s="175"/>
      <c r="B202" s="790" t="str">
        <f>Lbl_N_TVA</f>
        <v>N. TVA</v>
      </c>
      <c r="C202" s="791"/>
      <c r="D202" s="561">
        <f>Fld_Org_NTVA</f>
        <v>0</v>
      </c>
      <c r="E202" s="561"/>
      <c r="F202" s="561"/>
      <c r="G202" s="561"/>
      <c r="H202" s="561"/>
      <c r="I202" s="561"/>
      <c r="J202" s="561"/>
      <c r="K202" s="561"/>
      <c r="L202" s="562"/>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4" t="str">
        <f>Lbl_Banque_Banque</f>
        <v>Banque</v>
      </c>
      <c r="C204" s="415"/>
      <c r="D204" s="380"/>
      <c r="E204" s="380"/>
      <c r="F204" s="380"/>
      <c r="G204" s="380"/>
      <c r="H204" s="380"/>
      <c r="I204" s="380"/>
      <c r="J204" s="380"/>
      <c r="K204" s="380"/>
      <c r="L204" s="379"/>
      <c r="M204" s="96"/>
      <c r="N204" s="202"/>
      <c r="O204" s="76"/>
      <c r="P204" s="182"/>
      <c r="Q204" s="182"/>
      <c r="R204" s="182"/>
      <c r="S204" s="182"/>
      <c r="T204" s="182"/>
      <c r="U204" s="182"/>
      <c r="V204" s="182"/>
      <c r="W204" s="182"/>
      <c r="X204" s="182"/>
      <c r="Y204" s="182"/>
      <c r="Z204" s="182"/>
      <c r="AA204" s="96"/>
    </row>
    <row r="205" spans="1:27" ht="12.75">
      <c r="A205" s="175"/>
      <c r="B205" s="416"/>
      <c r="C205" s="417"/>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4" t="str">
        <f>Lbl_Nom</f>
        <v>Nom</v>
      </c>
      <c r="C206" s="545"/>
      <c r="D206" s="554"/>
      <c r="E206" s="554"/>
      <c r="F206" s="554"/>
      <c r="G206" s="554"/>
      <c r="H206" s="554"/>
      <c r="I206" s="554"/>
      <c r="J206" s="554"/>
      <c r="K206" s="554"/>
      <c r="L206" s="555"/>
      <c r="M206" s="96"/>
      <c r="N206" s="202"/>
      <c r="O206" s="76"/>
      <c r="P206" s="182"/>
      <c r="Q206" s="182"/>
      <c r="R206" s="182"/>
      <c r="S206" s="182"/>
      <c r="T206" s="182"/>
      <c r="U206" s="182"/>
      <c r="V206" s="182"/>
      <c r="W206" s="182"/>
      <c r="X206" s="182"/>
      <c r="Y206" s="182"/>
      <c r="Z206" s="182"/>
      <c r="AA206" s="96"/>
    </row>
    <row r="207" spans="1:27" ht="12.75">
      <c r="A207" s="175"/>
      <c r="B207" s="544" t="str">
        <f>Lbl_Adresse</f>
        <v>Adresse</v>
      </c>
      <c r="C207" s="545"/>
      <c r="D207" s="554"/>
      <c r="E207" s="554"/>
      <c r="F207" s="554"/>
      <c r="G207" s="554"/>
      <c r="H207" s="554"/>
      <c r="I207" s="554"/>
      <c r="J207" s="554"/>
      <c r="K207" s="554"/>
      <c r="L207" s="555"/>
      <c r="M207" s="96"/>
      <c r="N207" s="202"/>
      <c r="O207" s="76"/>
      <c r="P207" s="182"/>
      <c r="Q207" s="182"/>
      <c r="R207" s="182"/>
      <c r="S207" s="182"/>
      <c r="T207" s="182"/>
      <c r="U207" s="182"/>
      <c r="V207" s="182"/>
      <c r="W207" s="182"/>
      <c r="X207" s="182"/>
      <c r="Y207" s="182"/>
      <c r="Z207" s="182"/>
      <c r="AA207" s="96"/>
    </row>
    <row r="208" spans="1:27" ht="12.75">
      <c r="A208" s="606" t="str">
        <f>Lbl_GOTO</f>
        <v>Accéder directement à la fiche signalétique bancaire à imprimer</v>
      </c>
      <c r="B208" s="544" t="str">
        <f>Lbl_Banque_Commune_Ville</f>
        <v>Commune/Ville</v>
      </c>
      <c r="C208" s="545"/>
      <c r="D208" s="567"/>
      <c r="E208" s="567"/>
      <c r="F208" s="567"/>
      <c r="G208" s="567"/>
      <c r="H208" s="567"/>
      <c r="I208" s="567"/>
      <c r="J208" s="567"/>
      <c r="K208" s="567"/>
      <c r="L208" s="568"/>
      <c r="M208" s="96"/>
      <c r="N208" s="202"/>
      <c r="O208" s="76"/>
      <c r="P208" s="182"/>
      <c r="Q208" s="182"/>
      <c r="R208" s="182"/>
      <c r="S208" s="182"/>
      <c r="T208" s="182"/>
      <c r="U208" s="182"/>
      <c r="V208" s="182"/>
      <c r="W208" s="182"/>
      <c r="X208" s="182"/>
      <c r="Y208" s="182"/>
      <c r="Z208" s="182"/>
      <c r="AA208" s="96"/>
    </row>
    <row r="209" spans="1:27" ht="12.75">
      <c r="A209" s="606"/>
      <c r="B209" s="544" t="str">
        <f>Lbl_Banque_Code_postal</f>
        <v>Code postal</v>
      </c>
      <c r="C209" s="545"/>
      <c r="D209" s="559"/>
      <c r="E209" s="559"/>
      <c r="F209" s="559"/>
      <c r="G209" s="559"/>
      <c r="H209" s="559"/>
      <c r="I209" s="559"/>
      <c r="J209" s="559"/>
      <c r="K209" s="559"/>
      <c r="L209" s="560"/>
      <c r="M209" s="96"/>
      <c r="N209" s="202"/>
      <c r="O209" s="76"/>
      <c r="P209" s="182"/>
      <c r="Q209" s="182"/>
      <c r="R209" s="182"/>
      <c r="S209" s="182"/>
      <c r="T209" s="182"/>
      <c r="U209" s="182"/>
      <c r="V209" s="182"/>
      <c r="W209" s="182"/>
      <c r="X209" s="182"/>
      <c r="Y209" s="182"/>
      <c r="Z209" s="182"/>
      <c r="AA209" s="96"/>
    </row>
    <row r="210" spans="1:27" ht="12.75">
      <c r="A210" s="606"/>
      <c r="B210" s="544" t="str">
        <f>Lbl_Pays</f>
        <v>Pays</v>
      </c>
      <c r="C210" s="545"/>
      <c r="D210" s="567"/>
      <c r="E210" s="567"/>
      <c r="F210" s="567"/>
      <c r="G210" s="567"/>
      <c r="H210" s="567"/>
      <c r="I210" s="567"/>
      <c r="J210" s="567"/>
      <c r="K210" s="567"/>
      <c r="L210" s="568"/>
      <c r="M210" s="96"/>
      <c r="N210" s="202"/>
      <c r="O210" s="76"/>
      <c r="P210" s="182"/>
      <c r="Q210" s="182"/>
      <c r="R210" s="182"/>
      <c r="S210" s="182"/>
      <c r="T210" s="182"/>
      <c r="U210" s="182"/>
      <c r="V210" s="182"/>
      <c r="W210" s="182"/>
      <c r="X210" s="182"/>
      <c r="Y210" s="182"/>
      <c r="Z210" s="182"/>
      <c r="AA210" s="96"/>
    </row>
    <row r="211" spans="1:27" ht="40.5" customHeight="1">
      <c r="A211" s="606"/>
      <c r="B211" s="383"/>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8" t="str">
        <f>Lbl_Banque_Donnees_specifique</f>
        <v>Données nationales servant à identifier la banque</v>
      </c>
      <c r="C212" s="767"/>
      <c r="D212" s="767"/>
      <c r="E212" s="767"/>
      <c r="F212" s="767"/>
      <c r="G212" s="417"/>
      <c r="H212" s="564">
        <f>Fld_Bank_Pays</f>
        <v>0</v>
      </c>
      <c r="I212" s="565"/>
      <c r="J212" s="566"/>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799"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7"/>
      <c r="D213" s="767"/>
      <c r="E213" s="767"/>
      <c r="F213" s="767"/>
      <c r="G213" s="767"/>
      <c r="H213" s="767"/>
      <c r="I213" s="767"/>
      <c r="J213" s="767"/>
      <c r="K213" s="767"/>
      <c r="L213" s="388"/>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6" t="str">
        <f aca="true" t="shared" si="3" ref="A214:A227">Lbl_BANK</f>
        <v>BANQUE</v>
      </c>
      <c r="B214" s="117">
        <f>IF(OR(Fld_Pays_Bank="Autriche",Fld_Pays_Bank="Austria",Fld_Pays_Bank="Österreich"),"X","")</f>
      </c>
      <c r="C214" s="72" t="str">
        <f>Lbl_Cty_A</f>
        <v>A - Autriche</v>
      </c>
      <c r="D214" s="553">
        <f>IF(B214&amp;"x"="x","","Bankleitzahl")</f>
      </c>
      <c r="E214" s="553"/>
      <c r="F214" s="548"/>
      <c r="G214" s="563"/>
      <c r="H214" s="549"/>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6" t="str">
        <f t="shared" si="3"/>
        <v>BANQUE</v>
      </c>
      <c r="B215" s="118">
        <f>IF(OR(Fld_Pays_Bank="Belgique",Fld_Pays_Bank="Belgium",Fld_Pays_Bank="Belgien"),"X","")</f>
      </c>
      <c r="C215" s="75" t="str">
        <f>Lbl_Cty_B</f>
        <v>B - Belgique</v>
      </c>
      <c r="D215" s="76"/>
      <c r="E215" s="550">
        <f>IF(B215&amp;"x"="x","",Lbl_Banque_Pas_d_identifiant_specifique)</f>
      </c>
      <c r="F215" s="550"/>
      <c r="G215" s="550"/>
      <c r="H215" s="550"/>
      <c r="I215" s="550"/>
      <c r="J215" s="550"/>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6" t="str">
        <f t="shared" si="3"/>
        <v>BANQUE</v>
      </c>
      <c r="B216" s="117">
        <f>IF(OR(Fld_Pays_Bank="Allemagne",Fld_Pays_Bank="Germany",Fld_Pays_Bank="Deutschland"),"X","")</f>
      </c>
      <c r="C216" s="72" t="str">
        <f>Lbl_Cty_D</f>
        <v>D - Allemagne</v>
      </c>
      <c r="D216" s="553">
        <f>IF(B216&amp;"x"="x","","Bankleitzahl")</f>
      </c>
      <c r="E216" s="553"/>
      <c r="F216" s="366"/>
      <c r="G216" s="366"/>
      <c r="H216" s="366"/>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6" t="str">
        <f t="shared" si="3"/>
        <v>BANQUE</v>
      </c>
      <c r="B217" s="118">
        <f>IF(OR(Fld_Pays_Bank="Danemark",Fld_Pays_Bank="Denmark",Fld_Pays_Bank="Dänemark"),"X","")</f>
      </c>
      <c r="C217" s="75" t="str">
        <f>Lbl_Cty_DK</f>
        <v>DK - Danemark</v>
      </c>
      <c r="D217" s="666">
        <f>IF(B217&amp;"x"="x","","Register")</f>
      </c>
      <c r="E217" s="666"/>
      <c r="F217" s="552"/>
      <c r="G217" s="552"/>
      <c r="H217" s="552"/>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6" t="str">
        <f t="shared" si="3"/>
        <v>BANQUE</v>
      </c>
      <c r="B218" s="117">
        <f>IF(OR(Fld_Pays_Bank="Espagne",Fld_Pays_Bank="Spain",Fld_Pays_Bank="Spanien"),"X","")</f>
      </c>
      <c r="C218" s="72" t="str">
        <f>Lbl_Cty_E</f>
        <v>E - Espagne</v>
      </c>
      <c r="D218" s="553">
        <f>IF(B218&amp;"x"="x","","Entidad")</f>
      </c>
      <c r="E218" s="553"/>
      <c r="F218" s="366"/>
      <c r="G218" s="78">
        <f>IF(B218&amp;"x"="x","","(xxxx)")</f>
      </c>
      <c r="H218" s="79">
        <f>IF(B218&amp;"x"="x","","Oficina")</f>
      </c>
      <c r="I218" s="366"/>
      <c r="J218" s="78">
        <f>IF(B218&amp;"x"="x","","(xxxx)")</f>
      </c>
      <c r="K218" s="80">
        <f>IF(B218&amp;"x"="x","","DC")</f>
      </c>
      <c r="L218" s="367"/>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6" t="str">
        <f t="shared" si="3"/>
        <v>BANQUE</v>
      </c>
      <c r="B219" s="118">
        <f>IF(OR(Fld_Pays_Bank="Grèce",Fld_Pays_Bank="Greece",Fld_Pays_Bank="Griechenland"),"X","")</f>
      </c>
      <c r="C219" s="75" t="str">
        <f>Lbl_Cty_EL</f>
        <v>EL - Grèce</v>
      </c>
      <c r="D219" s="76"/>
      <c r="E219" s="550">
        <f>IF(B219&amp;"x"="x","",Lbl_Banque_Pas_d_identifiant_specifique)</f>
      </c>
      <c r="F219" s="550"/>
      <c r="G219" s="550"/>
      <c r="H219" s="550"/>
      <c r="I219" s="550"/>
      <c r="J219" s="550"/>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6" t="str">
        <f t="shared" si="3"/>
        <v>BANQUE</v>
      </c>
      <c r="B220" s="117">
        <f>IF(OR(Fld_Pays_Bank="France",Fld_Pays_Bank="France",Fld_Pays_Bank="Frankreich"),"X","")</f>
      </c>
      <c r="C220" s="72" t="str">
        <f>Lbl_Cty_F</f>
        <v>F - France</v>
      </c>
      <c r="D220" s="698">
        <f>IF(B220&amp;"x"="x","","Code établissement (xxxxx)")</f>
      </c>
      <c r="E220" s="698"/>
      <c r="F220" s="698"/>
      <c r="G220" s="548"/>
      <c r="H220" s="549"/>
      <c r="I220" s="699">
        <f>IF(B220&amp;"x"="x","","Guichet / RIB")</f>
      </c>
      <c r="J220" s="700"/>
      <c r="K220" s="366"/>
      <c r="L220" s="367"/>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6" t="str">
        <f t="shared" si="3"/>
        <v>BANQUE</v>
      </c>
      <c r="B221" s="118">
        <f>IF(OR(Fld_Pays_Bank="Finlande",Fld_Pays_Bank="Finland",Fld_Pays_Bank="Finnland"),"X","")</f>
      </c>
      <c r="C221" s="75" t="str">
        <f>Lbl_Cty_FIN</f>
        <v>FIN - Finlande</v>
      </c>
      <c r="D221" s="701">
        <f>IF(Fld_BNK_FI&amp;"x"="x","","Register(xxxxxxx)")</f>
      </c>
      <c r="E221" s="701"/>
      <c r="F221" s="552"/>
      <c r="G221" s="552"/>
      <c r="H221" s="81">
        <f>IF(B221&amp;"x"="x","","/")</f>
      </c>
      <c r="I221" s="548"/>
      <c r="J221" s="549"/>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6" t="str">
        <f t="shared" si="3"/>
        <v>BANQUE</v>
      </c>
      <c r="B222" s="117">
        <f>IF(OR(Fld_Pays_Bank="Italie",Fld_Pays_Bank="Italy",Fld_Pays_Bank="Italien"),"X","")</f>
      </c>
      <c r="C222" s="72" t="str">
        <f>Lbl_Cty_I</f>
        <v>I - Italie</v>
      </c>
      <c r="D222" s="553">
        <f>IF(B222&amp;"x"="x","","Codice ABI")</f>
      </c>
      <c r="E222" s="553"/>
      <c r="F222" s="552"/>
      <c r="G222" s="552"/>
      <c r="H222" s="56">
        <f>IF(B222&amp;"x"="x","","CAB")</f>
      </c>
      <c r="I222" s="548"/>
      <c r="J222" s="549"/>
      <c r="K222" s="20" t="s">
        <v>915</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6" t="str">
        <f t="shared" si="3"/>
        <v>BANQUE</v>
      </c>
      <c r="B223" s="118">
        <f>IF(OR(Fld_Pays_Bank="Irlande",Fld_Pays_Bank="Ireland",Fld_Pays_Bank="Irland"),"X","")</f>
      </c>
      <c r="C223" s="75" t="str">
        <f>Lbl_Cty_IRL</f>
        <v>IRL - Irlande</v>
      </c>
      <c r="D223" s="666">
        <f>IF(B223&amp;"x"="x","","Sort code")</f>
      </c>
      <c r="E223" s="666"/>
      <c r="F223" s="366"/>
      <c r="G223" s="366"/>
      <c r="H223" s="366"/>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6" t="str">
        <f t="shared" si="3"/>
        <v>BANQUE</v>
      </c>
      <c r="B224" s="117">
        <f>IF(OR(Fld_Pays_Bank="Luxembourg",Fld_Pays_Bank="Luxembourg",Fld_Pays_Bank="Luxemburg"),"X","")</f>
      </c>
      <c r="C224" s="72" t="str">
        <f>Lbl_Cty_L</f>
        <v>L - Grand Duché de Luxembourg</v>
      </c>
      <c r="D224" s="651">
        <f>IF(B224&amp;"x"="x","",Lbl_Banque_Pas_d_identifiant_specifique)</f>
      </c>
      <c r="E224" s="651"/>
      <c r="F224" s="651"/>
      <c r="G224" s="651"/>
      <c r="H224" s="651"/>
      <c r="I224" s="651"/>
      <c r="J224" s="651"/>
      <c r="K224" s="651"/>
      <c r="L224" s="652"/>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6" t="str">
        <f t="shared" si="3"/>
        <v>BANQUE</v>
      </c>
      <c r="B225" s="118">
        <f>IF(OR(Fld_Pays_Bank="Pays-Bas",Fld_Pays_Bank="Netherlands",Fld_Pays_Bank="Niederlande"),"X","")</f>
      </c>
      <c r="C225" s="75" t="str">
        <f>Lbl_Cty_NL</f>
        <v>NL - Pays-Bas</v>
      </c>
      <c r="D225" s="550">
        <f>IF(B225&amp;"x"="x","",Lbl_Banque_Pas_d_identifiant_specifique)</f>
      </c>
      <c r="E225" s="550"/>
      <c r="F225" s="550"/>
      <c r="G225" s="550"/>
      <c r="H225" s="550"/>
      <c r="I225" s="550"/>
      <c r="J225" s="550"/>
      <c r="K225" s="550"/>
      <c r="L225" s="551"/>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6" t="str">
        <f t="shared" si="3"/>
        <v>BANQUE</v>
      </c>
      <c r="B226" s="117">
        <f>IF(OR(Fld_Pays_Bank="Portugal",Fld_Pays_Bank="Portugal",Fld_Pays_Bank="Portugal"),"X","")</f>
      </c>
      <c r="C226" s="72" t="str">
        <f>Lbl_Cty_P</f>
        <v>P - Portugal</v>
      </c>
      <c r="D226" s="553">
        <f>IF(B226&amp;"x"="x","","Entidad")</f>
      </c>
      <c r="E226" s="553"/>
      <c r="F226" s="548"/>
      <c r="G226" s="549"/>
      <c r="H226" s="82">
        <f>IF(B226&amp;"x"="x","","(xxxx)")</f>
      </c>
      <c r="I226" s="83">
        <f>IF(B226&amp;"x"="x","","Agencia")</f>
      </c>
      <c r="J226" s="366"/>
      <c r="K226" s="27">
        <f>IF(B226&amp;"x"="x","","DC")</f>
      </c>
      <c r="L226" s="367"/>
      <c r="M226" s="96"/>
      <c r="N226" s="115"/>
      <c r="O226" s="308"/>
      <c r="P226" s="234"/>
      <c r="Q226" s="233">
        <f>""</f>
      </c>
      <c r="R226" s="201"/>
      <c r="S226" s="182"/>
      <c r="T226" s="182"/>
      <c r="U226" s="182"/>
      <c r="V226" s="182"/>
      <c r="W226" s="182"/>
      <c r="X226" s="182"/>
      <c r="Y226" s="182"/>
      <c r="Z226" s="182"/>
      <c r="AA226" s="96"/>
    </row>
    <row r="227" spans="1:27" ht="12.75">
      <c r="A227" s="413" t="str">
        <f t="shared" si="3"/>
        <v>BANQUE</v>
      </c>
      <c r="B227" s="118">
        <f>IF(OR(Fld_Pays_Bank="Suède",Fld_Pays_Bank="Sweden",Fld_Pays_Bank="Schweden"),"X","")</f>
      </c>
      <c r="C227" s="75" t="str">
        <f>Lbl_Cty_S</f>
        <v>S - Suède</v>
      </c>
      <c r="D227" s="666">
        <f>IF(B227&amp;"x"="x","","Register")</f>
      </c>
      <c r="E227" s="666"/>
      <c r="F227" s="368"/>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3"/>
      <c r="B228" s="119"/>
      <c r="C228" s="84"/>
      <c r="D228" s="77"/>
      <c r="E228" s="77">
        <f>IF(B227&amp;"x"="x","","Account number at the NordBank")</f>
      </c>
      <c r="F228" s="548"/>
      <c r="G228" s="549"/>
      <c r="H228" s="548"/>
      <c r="I228" s="549"/>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6" t="str">
        <f>Lbl_BANK</f>
        <v>BANQUE</v>
      </c>
      <c r="B229" s="117">
        <f>IF(OR(Fld_Pays_Bank="Royaume Uni",Fld_Pays_Bank="United Kingdom",Fld_Pays_Bank="Vereinigtes Königreich"),"X","")</f>
      </c>
      <c r="C229" s="72" t="str">
        <f>Lbl_Cty_UK</f>
        <v>UK - Royaume-Uni</v>
      </c>
      <c r="D229" s="553">
        <f>IF(B229&amp;"x"="x","","Sort code")</f>
      </c>
      <c r="E229" s="553"/>
      <c r="F229" s="369"/>
      <c r="G229" s="369"/>
      <c r="H229" s="369"/>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6"/>
      <c r="G231" s="647"/>
      <c r="H231" s="647"/>
      <c r="I231" s="647"/>
      <c r="J231" s="648"/>
      <c r="K231" s="640"/>
      <c r="L231" s="641"/>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3">
        <f>IF(H232&lt;&gt;0,H232&amp;"  "&amp;I232,"")</f>
      </c>
      <c r="E232" s="643"/>
      <c r="F232" s="643"/>
      <c r="G232" s="643"/>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6" t="str">
        <f>Lbl_N_Compte</f>
        <v>Compte bancaire no.</v>
      </c>
      <c r="C233" s="547"/>
      <c r="D233" s="663"/>
      <c r="E233" s="664"/>
      <c r="F233" s="664"/>
      <c r="G233" s="665"/>
      <c r="H233" s="302">
        <f>LEN(Fld_N_Compte)</f>
        <v>0</v>
      </c>
      <c r="I233" s="644" t="str">
        <f>Lbl_Devise</f>
        <v>Devise du compte</v>
      </c>
      <c r="J233" s="645"/>
      <c r="K233" s="370"/>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2" t="str">
        <f>"("&amp;P231&amp;")"</f>
        <v>()</v>
      </c>
      <c r="E234" s="642"/>
      <c r="F234" s="642"/>
      <c r="G234" s="642"/>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4"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8"/>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8"/>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8"/>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8"/>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8"/>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8"/>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4"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8"/>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4"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5"/>
      <c r="B245" s="42" t="str">
        <f>Lbl_Remarques</f>
        <v>Remarques</v>
      </c>
      <c r="C245" s="42"/>
      <c r="D245" s="631"/>
      <c r="E245" s="632"/>
      <c r="F245" s="632"/>
      <c r="G245" s="632"/>
      <c r="H245" s="632"/>
      <c r="I245" s="632"/>
      <c r="J245" s="632"/>
      <c r="K245" s="632"/>
      <c r="L245" s="633"/>
      <c r="M245" s="96"/>
      <c r="N245" s="202"/>
      <c r="O245" s="76"/>
      <c r="P245" s="174"/>
      <c r="Q245" s="182"/>
      <c r="R245" s="182"/>
      <c r="S245" s="182"/>
      <c r="T245" s="182"/>
      <c r="U245" s="182"/>
      <c r="V245" s="182"/>
      <c r="W245" s="182"/>
      <c r="X245" s="182"/>
      <c r="Y245" s="182"/>
      <c r="Z245" s="182"/>
      <c r="AA245" s="96"/>
    </row>
    <row r="246" spans="1:27" ht="19.5" customHeight="1" thickTop="1">
      <c r="A246" s="594" t="str">
        <f>Lbl_Banque_Signalétique_financier</f>
        <v>Signalétique financier</v>
      </c>
      <c r="B246" s="42"/>
      <c r="C246" s="300" t="str">
        <f>LEN(D245)&amp;" char       "</f>
        <v>0 char       </v>
      </c>
      <c r="D246" s="634"/>
      <c r="E246" s="635"/>
      <c r="F246" s="635"/>
      <c r="G246" s="635"/>
      <c r="H246" s="635"/>
      <c r="I246" s="635"/>
      <c r="J246" s="635"/>
      <c r="K246" s="635"/>
      <c r="L246" s="636"/>
      <c r="M246" s="96"/>
      <c r="N246" s="202"/>
      <c r="O246" s="76"/>
      <c r="P246" s="174"/>
      <c r="Q246" s="182"/>
      <c r="R246" s="182"/>
      <c r="S246" s="182"/>
      <c r="T246" s="182"/>
      <c r="U246" s="182"/>
      <c r="V246" s="182"/>
      <c r="W246" s="182"/>
      <c r="X246" s="182"/>
      <c r="Y246" s="182"/>
      <c r="Z246" s="182"/>
      <c r="AA246" s="96"/>
    </row>
    <row r="247" spans="1:27" ht="13.5" thickBot="1">
      <c r="A247" s="603"/>
      <c r="B247" s="42"/>
      <c r="C247" s="42"/>
      <c r="D247" s="634"/>
      <c r="E247" s="635"/>
      <c r="F247" s="635"/>
      <c r="G247" s="635"/>
      <c r="H247" s="635"/>
      <c r="I247" s="635"/>
      <c r="J247" s="635"/>
      <c r="K247" s="635"/>
      <c r="L247" s="636"/>
      <c r="M247" s="96"/>
      <c r="N247" s="202"/>
      <c r="O247" s="76"/>
      <c r="P247" s="174"/>
      <c r="Q247" s="182"/>
      <c r="R247" s="182"/>
      <c r="S247" s="182"/>
      <c r="T247" s="182"/>
      <c r="U247" s="182"/>
      <c r="V247" s="182"/>
      <c r="W247" s="182"/>
      <c r="X247" s="182"/>
      <c r="Y247" s="182"/>
      <c r="Z247" s="182"/>
      <c r="AA247" s="96"/>
    </row>
    <row r="248" spans="1:27" ht="14.25" customHeight="1" thickTop="1">
      <c r="A248" s="594" t="str">
        <f>Lbl_Fin</f>
        <v>Fin du document</v>
      </c>
      <c r="B248" s="42"/>
      <c r="C248" s="42"/>
      <c r="D248" s="637"/>
      <c r="E248" s="638"/>
      <c r="F248" s="638"/>
      <c r="G248" s="638"/>
      <c r="H248" s="638"/>
      <c r="I248" s="638"/>
      <c r="J248" s="638"/>
      <c r="K248" s="638"/>
      <c r="L248" s="639"/>
      <c r="M248" s="96"/>
      <c r="N248" s="202"/>
      <c r="O248" s="76"/>
      <c r="P248" s="174"/>
      <c r="Q248" s="182"/>
      <c r="R248" s="182"/>
      <c r="S248" s="182"/>
      <c r="T248" s="182"/>
      <c r="U248" s="182"/>
      <c r="V248" s="182"/>
      <c r="W248" s="182"/>
      <c r="X248" s="182"/>
      <c r="Y248" s="182"/>
      <c r="Z248" s="182"/>
      <c r="AA248" s="96"/>
    </row>
    <row r="249" spans="1:27" ht="26.25" customHeight="1" thickBot="1">
      <c r="A249" s="603"/>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29"/>
      <c r="I251" s="629"/>
      <c r="J251" s="629"/>
      <c r="K251" s="629"/>
      <c r="L251" s="629"/>
      <c r="M251" s="96"/>
      <c r="P251" s="174"/>
    </row>
    <row r="252" spans="1:16" ht="28.5" customHeight="1" thickBot="1">
      <c r="A252" s="175"/>
      <c r="B252" s="11"/>
      <c r="C252" s="371"/>
      <c r="D252" s="11"/>
      <c r="E252" s="11"/>
      <c r="F252" s="11"/>
      <c r="G252" s="11"/>
      <c r="H252" s="630"/>
      <c r="I252" s="630"/>
      <c r="J252" s="630"/>
      <c r="K252" s="630"/>
      <c r="L252" s="630"/>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915</v>
      </c>
      <c r="D1" s="126"/>
      <c r="E1" s="126"/>
      <c r="F1" s="126"/>
      <c r="G1" s="127"/>
      <c r="H1" s="128"/>
    </row>
    <row r="2" spans="3:8" ht="13.5" customHeight="1" hidden="1">
      <c r="C2" s="26" t="s">
        <v>111</v>
      </c>
      <c r="D2" s="126"/>
      <c r="E2" s="126"/>
      <c r="F2" s="126"/>
      <c r="G2" s="127"/>
      <c r="H2" s="128"/>
    </row>
    <row r="3" spans="3:8" ht="13.5" customHeight="1" hidden="1">
      <c r="C3" s="26" t="s">
        <v>915</v>
      </c>
      <c r="D3" s="126"/>
      <c r="E3" s="126"/>
      <c r="F3" s="126"/>
      <c r="G3" s="127"/>
      <c r="H3" s="128"/>
    </row>
    <row r="4" ht="12.75" hidden="1"/>
    <row r="5" ht="88.5" customHeight="1">
      <c r="F5" s="816" t="s">
        <v>474</v>
      </c>
    </row>
    <row r="6" spans="1:12" s="123" customFormat="1" ht="13.5" thickBot="1">
      <c r="A6" s="123" t="s">
        <v>112</v>
      </c>
      <c r="B6" s="123" t="s">
        <v>113</v>
      </c>
      <c r="D6" s="123" t="s">
        <v>114</v>
      </c>
      <c r="E6" s="123" t="s">
        <v>230</v>
      </c>
      <c r="F6" s="817"/>
      <c r="G6" s="123" t="s">
        <v>115</v>
      </c>
      <c r="H6" s="123" t="s">
        <v>957</v>
      </c>
      <c r="I6" s="131"/>
      <c r="J6" s="237"/>
      <c r="K6" s="171"/>
      <c r="L6" s="171"/>
    </row>
    <row r="7" spans="1:10" ht="12.75" customHeight="1">
      <c r="A7" s="57">
        <v>1</v>
      </c>
      <c r="B7" s="101" t="s">
        <v>116</v>
      </c>
      <c r="C7" s="808"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09"/>
      <c r="D8" s="135" t="s">
        <v>118</v>
      </c>
      <c r="E8" s="136">
        <v>20</v>
      </c>
      <c r="F8" s="136" t="s">
        <v>121</v>
      </c>
      <c r="G8" s="137" t="str">
        <f>Lbl_Abréviation</f>
        <v>Abréviation</v>
      </c>
      <c r="H8" s="151">
        <f>IF(ISBLANK(Fld_Org_Abreviation),"",Fld_Org_Abreviation)</f>
      </c>
      <c r="J8" s="313" t="s">
        <v>231</v>
      </c>
    </row>
    <row r="9" spans="1:10" ht="12.75">
      <c r="A9" s="57">
        <v>3</v>
      </c>
      <c r="B9" s="101" t="s">
        <v>122</v>
      </c>
      <c r="C9" s="809"/>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09"/>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09"/>
      <c r="D11" s="135" t="s">
        <v>118</v>
      </c>
      <c r="E11" s="136">
        <v>50</v>
      </c>
      <c r="F11" s="136" t="s">
        <v>121</v>
      </c>
      <c r="G11" s="138" t="str">
        <f>Lbl_N_TVA</f>
        <v>N. TVA</v>
      </c>
      <c r="H11" s="270">
        <f>IF(ISBLANK(Fld_Org_NTVA),"",Fld_Org_NTVA)</f>
      </c>
      <c r="J11" s="313" t="s">
        <v>231</v>
      </c>
    </row>
    <row r="12" spans="1:10" ht="12.75">
      <c r="A12" s="57">
        <v>6</v>
      </c>
      <c r="B12" s="101" t="s">
        <v>129</v>
      </c>
      <c r="C12" s="809"/>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1277</v>
      </c>
      <c r="C13" s="809"/>
      <c r="D13" s="135" t="s">
        <v>118</v>
      </c>
      <c r="E13" s="136">
        <v>100</v>
      </c>
      <c r="F13" s="136" t="s">
        <v>119</v>
      </c>
      <c r="G13" s="140" t="str">
        <f>Lbl_Adresse&amp;"1"</f>
        <v>Adresse1</v>
      </c>
      <c r="H13" s="238">
        <f>IF(ISBLANK(Fld_Org_Adresse1),"",Fld_Org_Adresse1)</f>
      </c>
      <c r="J13" s="313" t="s">
        <v>231</v>
      </c>
    </row>
    <row r="14" spans="1:10" ht="12.75">
      <c r="A14" s="57">
        <v>8</v>
      </c>
      <c r="B14" s="101" t="s">
        <v>1278</v>
      </c>
      <c r="C14" s="809"/>
      <c r="D14" s="135" t="s">
        <v>118</v>
      </c>
      <c r="E14" s="136">
        <v>100</v>
      </c>
      <c r="F14" s="136" t="s">
        <v>121</v>
      </c>
      <c r="G14" s="138" t="str">
        <f>Lbl_Adresse&amp;"2"</f>
        <v>Adresse2</v>
      </c>
      <c r="H14" s="151">
        <f>IF(ISBLANK(Fld_Org_Adresse2),"",Fld_Org_Adresse2)</f>
      </c>
      <c r="J14" s="313" t="s">
        <v>231</v>
      </c>
    </row>
    <row r="15" spans="1:10" ht="12.75">
      <c r="A15" s="57">
        <v>9</v>
      </c>
      <c r="B15" s="101" t="s">
        <v>1665</v>
      </c>
      <c r="C15" s="809"/>
      <c r="D15" s="135" t="s">
        <v>118</v>
      </c>
      <c r="E15" s="136">
        <v>50</v>
      </c>
      <c r="F15" s="136" t="s">
        <v>119</v>
      </c>
      <c r="G15" s="140" t="str">
        <f>Lbl_Ville</f>
        <v>Ville</v>
      </c>
      <c r="H15" s="238">
        <f>IF(ISBLANK(Fld_Org_Ville),"",Fld_Org_Ville)</f>
      </c>
      <c r="J15" s="313" t="s">
        <v>231</v>
      </c>
    </row>
    <row r="16" spans="1:10" ht="12.75">
      <c r="A16" s="57">
        <v>10</v>
      </c>
      <c r="B16" s="101" t="s">
        <v>1666</v>
      </c>
      <c r="C16" s="809"/>
      <c r="D16" s="135" t="s">
        <v>118</v>
      </c>
      <c r="E16" s="136">
        <v>50</v>
      </c>
      <c r="F16" s="228" t="s">
        <v>121</v>
      </c>
      <c r="G16" s="221" t="s">
        <v>1667</v>
      </c>
      <c r="H16" s="213"/>
      <c r="J16" s="235"/>
    </row>
    <row r="17" spans="1:10" ht="12.75">
      <c r="A17" s="57">
        <v>11</v>
      </c>
      <c r="B17" s="101" t="s">
        <v>1668</v>
      </c>
      <c r="C17" s="809"/>
      <c r="D17" s="135" t="s">
        <v>118</v>
      </c>
      <c r="E17" s="136">
        <v>20</v>
      </c>
      <c r="F17" s="136" t="s">
        <v>121</v>
      </c>
      <c r="G17" s="137" t="str">
        <f>Lbl_Code_postal</f>
        <v>Code postal</v>
      </c>
      <c r="H17" s="270">
        <f>IF(ISBLANK(Fld_Org_ZipCode),"",Fld_Org_ZipCode)</f>
      </c>
      <c r="J17" s="313" t="s">
        <v>231</v>
      </c>
    </row>
    <row r="18" spans="1:10" ht="12.75">
      <c r="A18" s="57">
        <v>12</v>
      </c>
      <c r="B18" s="101" t="s">
        <v>1669</v>
      </c>
      <c r="C18" s="809"/>
      <c r="D18" s="135" t="s">
        <v>118</v>
      </c>
      <c r="E18" s="136">
        <v>3</v>
      </c>
      <c r="F18" s="136" t="s">
        <v>119</v>
      </c>
      <c r="G18" s="140" t="str">
        <f>Lbl_Pays</f>
        <v>Pays</v>
      </c>
      <c r="H18" s="238">
        <f>IF(ISBLANK(Fld_Org_Pays),"",Fld_Org_Pays)</f>
      </c>
      <c r="I18" s="139" t="s">
        <v>1670</v>
      </c>
      <c r="J18" s="313" t="s">
        <v>231</v>
      </c>
    </row>
    <row r="19" spans="1:10" ht="12.75">
      <c r="A19" s="57">
        <v>13</v>
      </c>
      <c r="B19" s="101" t="s">
        <v>1671</v>
      </c>
      <c r="C19" s="809"/>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1672</v>
      </c>
      <c r="C20" s="809"/>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1673</v>
      </c>
      <c r="C21" s="809"/>
      <c r="D21" s="135" t="s">
        <v>118</v>
      </c>
      <c r="E21" s="136">
        <v>100</v>
      </c>
      <c r="F21" s="136" t="s">
        <v>121</v>
      </c>
      <c r="G21" s="137" t="str">
        <f>Lbl_SiteInternet</f>
        <v>Site internet</v>
      </c>
      <c r="H21" s="151">
        <f>IF(ISBLANK(Fld_Org_Web),"",Fld_Org_Web)</f>
      </c>
      <c r="J21" s="313" t="s">
        <v>231</v>
      </c>
    </row>
    <row r="22" spans="1:10" ht="13.5" thickBot="1">
      <c r="A22" s="57">
        <v>16</v>
      </c>
      <c r="B22" s="101" t="s">
        <v>1675</v>
      </c>
      <c r="C22" s="810"/>
      <c r="D22" s="135" t="s">
        <v>118</v>
      </c>
      <c r="E22" s="136">
        <v>100</v>
      </c>
      <c r="F22" s="136" t="s">
        <v>121</v>
      </c>
      <c r="G22" s="137" t="str">
        <f>Lbl_E_mail</f>
        <v>E-mail</v>
      </c>
      <c r="H22" s="154">
        <f>IF(ISBLANK(Fld_Org_Email),"",Fld_Org_Email)</f>
      </c>
      <c r="J22" s="313" t="s">
        <v>231</v>
      </c>
    </row>
    <row r="23" spans="1:10" ht="12.75" customHeight="1">
      <c r="A23" s="57">
        <v>17</v>
      </c>
      <c r="B23" s="101" t="s">
        <v>1676</v>
      </c>
      <c r="C23" s="808" t="s">
        <v>771</v>
      </c>
      <c r="D23" s="132" t="s">
        <v>118</v>
      </c>
      <c r="E23" s="133">
        <v>20</v>
      </c>
      <c r="F23" s="133" t="s">
        <v>119</v>
      </c>
      <c r="G23" s="141" t="str">
        <f>Lbl_Titre&amp;" (Mr, Mme,…)"</f>
        <v>Titre (Mr, Mme,…)</v>
      </c>
      <c r="H23" s="150">
        <f>IF(ISBLANK(Fld_Leg_Titre),"",Fld_Leg_Titre)</f>
      </c>
      <c r="I23" s="139" t="s">
        <v>772</v>
      </c>
      <c r="J23" s="313" t="s">
        <v>231</v>
      </c>
    </row>
    <row r="24" spans="1:10" ht="12.75">
      <c r="A24" s="57">
        <v>18</v>
      </c>
      <c r="B24" s="101" t="s">
        <v>773</v>
      </c>
      <c r="C24" s="809"/>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774</v>
      </c>
      <c r="C25" s="809"/>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775</v>
      </c>
      <c r="C26" s="809"/>
      <c r="D26" s="135" t="s">
        <v>118</v>
      </c>
      <c r="E26" s="136">
        <v>1</v>
      </c>
      <c r="F26" s="136" t="s">
        <v>119</v>
      </c>
      <c r="G26" s="142" t="str">
        <f>Lbl_Contact_Sexe&amp;" (M / F)"</f>
        <v>Genre (M / F)</v>
      </c>
      <c r="H26" s="238">
        <f>IF(ISBLANK(Fld_Leg_Genre),"",Fld_Leg_Genre)</f>
      </c>
      <c r="I26" s="139" t="s">
        <v>777</v>
      </c>
      <c r="J26" s="313" t="s">
        <v>231</v>
      </c>
    </row>
    <row r="27" spans="1:10" ht="12.75">
      <c r="A27" s="57">
        <v>21</v>
      </c>
      <c r="B27" s="101" t="s">
        <v>778</v>
      </c>
      <c r="C27" s="809"/>
      <c r="D27" s="135" t="s">
        <v>118</v>
      </c>
      <c r="E27" s="136">
        <v>3</v>
      </c>
      <c r="F27" s="228" t="s">
        <v>121</v>
      </c>
      <c r="G27" s="222" t="s">
        <v>779</v>
      </c>
      <c r="H27" s="239"/>
      <c r="I27" s="139" t="s">
        <v>688</v>
      </c>
      <c r="J27" s="235"/>
    </row>
    <row r="28" spans="1:10" ht="12.75">
      <c r="A28" s="57">
        <v>22</v>
      </c>
      <c r="B28" s="101" t="s">
        <v>780</v>
      </c>
      <c r="C28" s="809"/>
      <c r="D28" s="135" t="s">
        <v>118</v>
      </c>
      <c r="E28" s="136">
        <v>50</v>
      </c>
      <c r="F28" s="228"/>
      <c r="G28" s="222"/>
      <c r="H28" s="239"/>
      <c r="I28" s="139"/>
      <c r="J28" s="235"/>
    </row>
    <row r="29" spans="1:10" ht="12.75">
      <c r="A29" s="57">
        <v>23</v>
      </c>
      <c r="B29" s="101" t="s">
        <v>573</v>
      </c>
      <c r="C29" s="809"/>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09"/>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09"/>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09"/>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09"/>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09"/>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09"/>
      <c r="D35" s="135" t="s">
        <v>493</v>
      </c>
      <c r="E35" s="136"/>
      <c r="F35" s="136" t="s">
        <v>119</v>
      </c>
      <c r="G35" s="142" t="s">
        <v>603</v>
      </c>
      <c r="H35" s="216" t="s">
        <v>604</v>
      </c>
      <c r="I35" s="139" t="s">
        <v>604</v>
      </c>
      <c r="J35" s="235"/>
    </row>
    <row r="36" spans="1:10" ht="12.75">
      <c r="A36" s="57">
        <v>30</v>
      </c>
      <c r="B36" s="101" t="s">
        <v>605</v>
      </c>
      <c r="C36" s="809"/>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09"/>
      <c r="D37" s="135" t="s">
        <v>118</v>
      </c>
      <c r="E37" s="136">
        <v>20</v>
      </c>
      <c r="F37" s="228" t="s">
        <v>121</v>
      </c>
      <c r="G37" s="222" t="s">
        <v>1700</v>
      </c>
      <c r="H37" s="239"/>
      <c r="J37" s="235"/>
    </row>
    <row r="38" spans="1:10" ht="12.75">
      <c r="A38" s="57">
        <v>32</v>
      </c>
      <c r="B38" s="101" t="s">
        <v>607</v>
      </c>
      <c r="C38" s="809"/>
      <c r="D38" s="135" t="s">
        <v>118</v>
      </c>
      <c r="E38" s="136">
        <v>8</v>
      </c>
      <c r="F38" s="228" t="s">
        <v>121</v>
      </c>
      <c r="G38" s="222" t="s">
        <v>608</v>
      </c>
      <c r="H38" s="239"/>
      <c r="I38" s="139" t="s">
        <v>609</v>
      </c>
      <c r="J38" s="235"/>
    </row>
    <row r="39" spans="1:10" ht="12.75">
      <c r="A39" s="57">
        <v>33</v>
      </c>
      <c r="B39" s="101" t="s">
        <v>610</v>
      </c>
      <c r="C39" s="809"/>
      <c r="D39" s="135" t="s">
        <v>118</v>
      </c>
      <c r="E39" s="136">
        <v>30</v>
      </c>
      <c r="F39" s="228" t="s">
        <v>121</v>
      </c>
      <c r="G39" s="222" t="s">
        <v>125</v>
      </c>
      <c r="H39" s="239"/>
      <c r="I39" s="139" t="s">
        <v>126</v>
      </c>
      <c r="J39" s="235"/>
    </row>
    <row r="40" spans="1:10" ht="12.75">
      <c r="A40" s="57">
        <v>34</v>
      </c>
      <c r="B40" s="101" t="s">
        <v>611</v>
      </c>
      <c r="C40" s="809"/>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09"/>
      <c r="D41" s="135" t="s">
        <v>118</v>
      </c>
      <c r="E41" s="136">
        <v>50</v>
      </c>
      <c r="F41" s="228" t="s">
        <v>121</v>
      </c>
      <c r="G41" s="221" t="s">
        <v>130</v>
      </c>
      <c r="H41" s="213"/>
      <c r="J41" s="235"/>
    </row>
    <row r="42" spans="1:10" ht="12.75">
      <c r="A42" s="57">
        <v>36</v>
      </c>
      <c r="B42" s="101" t="s">
        <v>613</v>
      </c>
      <c r="C42" s="809"/>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09"/>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09"/>
      <c r="D44" s="135" t="s">
        <v>118</v>
      </c>
      <c r="E44" s="136">
        <v>50</v>
      </c>
      <c r="F44" s="136" t="s">
        <v>119</v>
      </c>
      <c r="G44" s="142" t="str">
        <f>Lbl_Ville</f>
        <v>Ville</v>
      </c>
      <c r="H44" s="238">
        <f>IF(OR(Fld_Leg_Org_Ville="",Fld_Leg_Org_Ville=0),"",Fld_Leg_Org_Ville)</f>
      </c>
      <c r="J44" s="313" t="s">
        <v>231</v>
      </c>
    </row>
    <row r="45" spans="1:10" ht="12.75">
      <c r="A45" s="57">
        <v>39</v>
      </c>
      <c r="B45" s="101" t="s">
        <v>616</v>
      </c>
      <c r="C45" s="809"/>
      <c r="D45" s="135" t="s">
        <v>118</v>
      </c>
      <c r="E45" s="136">
        <v>50</v>
      </c>
      <c r="F45" s="228" t="s">
        <v>121</v>
      </c>
      <c r="G45" s="221" t="s">
        <v>617</v>
      </c>
      <c r="H45" s="213"/>
      <c r="J45" s="235"/>
    </row>
    <row r="46" spans="1:10" ht="12.75">
      <c r="A46" s="57">
        <v>40</v>
      </c>
      <c r="B46" s="101" t="s">
        <v>618</v>
      </c>
      <c r="C46" s="809"/>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09"/>
      <c r="D47" s="135" t="s">
        <v>118</v>
      </c>
      <c r="E47" s="136">
        <v>3</v>
      </c>
      <c r="F47" s="136" t="s">
        <v>119</v>
      </c>
      <c r="G47" s="142" t="str">
        <f>Lbl_Pays</f>
        <v>Pays</v>
      </c>
      <c r="H47" s="238">
        <f>IF(OR(Fld_Leg_Org_Pays="",Fld_Leg_Org_Pays=0),"",Fld_Leg_Org_Pays)</f>
      </c>
      <c r="J47" s="313" t="s">
        <v>231</v>
      </c>
    </row>
    <row r="48" spans="1:10" ht="12.75">
      <c r="A48" s="57">
        <v>42</v>
      </c>
      <c r="B48" s="101" t="s">
        <v>620</v>
      </c>
      <c r="C48" s="809"/>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09"/>
      <c r="D49" s="135" t="s">
        <v>118</v>
      </c>
      <c r="E49" s="136">
        <v>30</v>
      </c>
      <c r="F49" s="136" t="s">
        <v>121</v>
      </c>
      <c r="G49" s="137" t="str">
        <f>Lbl_Télécopieur</f>
        <v>Télécopieur</v>
      </c>
      <c r="H49" s="270">
        <f>IF(OR(Fld_Leg_Org_Fax="",Fld_Leg_Org_Fax=0),"",Fld_Leg_Org_Fax)</f>
      </c>
      <c r="J49" s="313" t="s">
        <v>231</v>
      </c>
    </row>
    <row r="50" spans="1:10" ht="12.75">
      <c r="A50" s="57">
        <v>44</v>
      </c>
      <c r="B50" s="101" t="s">
        <v>1406</v>
      </c>
      <c r="C50" s="809"/>
      <c r="D50" s="135" t="s">
        <v>118</v>
      </c>
      <c r="E50" s="136">
        <v>100</v>
      </c>
      <c r="F50" s="228" t="s">
        <v>121</v>
      </c>
      <c r="G50" s="221" t="s">
        <v>1407</v>
      </c>
      <c r="H50" s="239"/>
      <c r="J50" s="235"/>
    </row>
    <row r="51" spans="1:10" ht="13.5" thickBot="1">
      <c r="A51" s="57">
        <v>45</v>
      </c>
      <c r="B51" s="101" t="s">
        <v>1408</v>
      </c>
      <c r="C51" s="810"/>
      <c r="D51" s="135" t="s">
        <v>118</v>
      </c>
      <c r="E51" s="136">
        <v>100</v>
      </c>
      <c r="F51" s="228" t="s">
        <v>121</v>
      </c>
      <c r="G51" s="221" t="s">
        <v>386</v>
      </c>
      <c r="H51" s="243"/>
      <c r="J51" s="235"/>
    </row>
    <row r="52" spans="1:10" ht="12.75" customHeight="1">
      <c r="A52" s="57">
        <v>46</v>
      </c>
      <c r="B52" s="101" t="s">
        <v>387</v>
      </c>
      <c r="C52" s="808" t="s">
        <v>388</v>
      </c>
      <c r="D52" s="132" t="s">
        <v>118</v>
      </c>
      <c r="E52" s="133">
        <v>255</v>
      </c>
      <c r="F52" s="133" t="s">
        <v>119</v>
      </c>
      <c r="G52" s="141" t="str">
        <f>Lbl_Nom</f>
        <v>Nom</v>
      </c>
      <c r="H52" s="150">
        <f>IF(ISBLANK(Fld_BankName),"",Fld_BankName)</f>
      </c>
      <c r="J52" s="313" t="s">
        <v>231</v>
      </c>
    </row>
    <row r="53" spans="1:10" ht="12.75">
      <c r="A53" s="57">
        <v>47</v>
      </c>
      <c r="B53" s="101" t="s">
        <v>389</v>
      </c>
      <c r="C53" s="809"/>
      <c r="D53" s="135" t="s">
        <v>118</v>
      </c>
      <c r="E53" s="136">
        <v>20</v>
      </c>
      <c r="F53" s="228" t="s">
        <v>121</v>
      </c>
      <c r="G53" s="221" t="s">
        <v>390</v>
      </c>
      <c r="H53" s="239"/>
      <c r="J53" s="235"/>
    </row>
    <row r="54" spans="1:10" ht="12.75">
      <c r="A54" s="57">
        <v>48</v>
      </c>
      <c r="B54" s="101" t="s">
        <v>391</v>
      </c>
      <c r="C54" s="809"/>
      <c r="D54" s="135" t="s">
        <v>118</v>
      </c>
      <c r="E54" s="136">
        <v>100</v>
      </c>
      <c r="F54" s="228" t="s">
        <v>121</v>
      </c>
      <c r="G54" s="221" t="s">
        <v>392</v>
      </c>
      <c r="H54" s="239"/>
      <c r="J54" s="235"/>
    </row>
    <row r="55" spans="1:10" ht="12.75">
      <c r="A55" s="57">
        <v>49</v>
      </c>
      <c r="B55" s="101" t="s">
        <v>393</v>
      </c>
      <c r="C55" s="809"/>
      <c r="D55" s="135" t="s">
        <v>118</v>
      </c>
      <c r="E55" s="136">
        <v>100</v>
      </c>
      <c r="F55" s="136" t="s">
        <v>119</v>
      </c>
      <c r="G55" s="142" t="str">
        <f>Lbl_Adresse</f>
        <v>Adresse</v>
      </c>
      <c r="H55" s="238">
        <f>IF(ISBLANK(Fld_BankAddress),"",Fld_BankAddress)</f>
      </c>
      <c r="J55" s="313" t="s">
        <v>231</v>
      </c>
    </row>
    <row r="56" spans="1:10" ht="12.75">
      <c r="A56" s="57">
        <v>50</v>
      </c>
      <c r="B56" s="101" t="s">
        <v>394</v>
      </c>
      <c r="C56" s="809"/>
      <c r="D56" s="135" t="s">
        <v>118</v>
      </c>
      <c r="E56" s="136">
        <v>100</v>
      </c>
      <c r="F56" s="228" t="s">
        <v>121</v>
      </c>
      <c r="G56" s="222" t="s">
        <v>395</v>
      </c>
      <c r="H56" s="213"/>
      <c r="J56" s="235"/>
    </row>
    <row r="57" spans="1:10" ht="12.75">
      <c r="A57" s="57">
        <v>51</v>
      </c>
      <c r="B57" s="101" t="s">
        <v>396</v>
      </c>
      <c r="C57" s="809"/>
      <c r="D57" s="135" t="s">
        <v>118</v>
      </c>
      <c r="E57" s="136">
        <v>20</v>
      </c>
      <c r="F57" s="136" t="s">
        <v>121</v>
      </c>
      <c r="G57" s="137" t="str">
        <f>Lbl_Banque_Code_postal</f>
        <v>Code postal</v>
      </c>
      <c r="H57" s="270">
        <f>IF(ISBLANK(Fld_Bank_CodePostal),"",Fld_Bank_CodePostal)</f>
      </c>
      <c r="J57" s="313" t="s">
        <v>231</v>
      </c>
    </row>
    <row r="58" spans="1:10" ht="12.75">
      <c r="A58" s="57">
        <v>52</v>
      </c>
      <c r="B58" s="101" t="s">
        <v>1097</v>
      </c>
      <c r="C58" s="809"/>
      <c r="D58" s="135" t="s">
        <v>118</v>
      </c>
      <c r="E58" s="136">
        <v>50</v>
      </c>
      <c r="F58" s="136" t="s">
        <v>119</v>
      </c>
      <c r="G58" s="142" t="str">
        <f>Lbl_Banque_Commune_Ville</f>
        <v>Commune/Ville</v>
      </c>
      <c r="H58" s="238">
        <f>IF(ISBLANK(Fld_BankVille),"",Fld_BankVille)</f>
      </c>
      <c r="J58" s="313" t="s">
        <v>231</v>
      </c>
    </row>
    <row r="59" spans="1:10" ht="12.75">
      <c r="A59" s="57">
        <v>53</v>
      </c>
      <c r="B59" s="101" t="s">
        <v>1098</v>
      </c>
      <c r="C59" s="809"/>
      <c r="D59" s="135" t="s">
        <v>118</v>
      </c>
      <c r="E59" s="136">
        <v>3</v>
      </c>
      <c r="F59" s="136" t="s">
        <v>119</v>
      </c>
      <c r="G59" s="142" t="str">
        <f>Lbl_Pays</f>
        <v>Pays</v>
      </c>
      <c r="H59" s="238">
        <f>IF(OR(Fld_Bank_Pays="",Fld_Bank_Pays=0),"",Fld_Bank_Pays)</f>
      </c>
      <c r="I59" s="139"/>
      <c r="J59" s="313" t="s">
        <v>231</v>
      </c>
    </row>
    <row r="60" spans="1:10" ht="12.75">
      <c r="A60" s="57">
        <v>54</v>
      </c>
      <c r="B60" s="101" t="s">
        <v>1099</v>
      </c>
      <c r="C60" s="809"/>
      <c r="D60" s="135" t="s">
        <v>118</v>
      </c>
      <c r="E60" s="136">
        <v>50</v>
      </c>
      <c r="F60" s="136" t="s">
        <v>119</v>
      </c>
      <c r="G60" s="142" t="str">
        <f>Lbl_N_Compte</f>
        <v>Compte bancaire no.</v>
      </c>
      <c r="H60" s="271">
        <f>IF(ISBLANK(Fld_N_Compte),"",Fld_N_Compte)</f>
      </c>
      <c r="J60" s="313" t="s">
        <v>231</v>
      </c>
    </row>
    <row r="61" spans="1:10" ht="12.75">
      <c r="A61" s="57">
        <v>55</v>
      </c>
      <c r="B61" s="101" t="s">
        <v>1428</v>
      </c>
      <c r="C61" s="809"/>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1429</v>
      </c>
      <c r="C62" s="809"/>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1430</v>
      </c>
      <c r="C63" s="809"/>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1431</v>
      </c>
      <c r="C64" s="809"/>
      <c r="D64" s="135" t="s">
        <v>118</v>
      </c>
      <c r="E64" s="136">
        <v>20</v>
      </c>
      <c r="F64" s="136" t="s">
        <v>121</v>
      </c>
      <c r="G64" s="138" t="str">
        <f>Lbl_N_Compte&amp;" part 4"</f>
        <v>Compte bancaire no. part 4</v>
      </c>
      <c r="H64" s="269"/>
      <c r="J64" s="311" t="s">
        <v>231</v>
      </c>
    </row>
    <row r="65" spans="1:10" ht="12.75">
      <c r="A65" s="57">
        <v>59</v>
      </c>
      <c r="B65" s="101" t="s">
        <v>1432</v>
      </c>
      <c r="C65" s="809"/>
      <c r="D65" s="135" t="s">
        <v>118</v>
      </c>
      <c r="E65" s="136">
        <v>10</v>
      </c>
      <c r="F65" s="136" t="s">
        <v>121</v>
      </c>
      <c r="G65" s="137" t="str">
        <f>Lbl_IBAN</f>
        <v>IBAN (Optionnel)</v>
      </c>
      <c r="H65" s="269">
        <f>IF(ISBLANK(Fld_Swift),"",Fld_Swift)</f>
      </c>
      <c r="J65" s="311" t="s">
        <v>231</v>
      </c>
    </row>
    <row r="66" spans="1:10" ht="13.5" thickBot="1">
      <c r="A66" s="57">
        <v>60</v>
      </c>
      <c r="B66" s="101" t="s">
        <v>1433</v>
      </c>
      <c r="C66" s="810"/>
      <c r="D66" s="143" t="s">
        <v>118</v>
      </c>
      <c r="E66" s="144">
        <v>50</v>
      </c>
      <c r="F66" s="144" t="s">
        <v>119</v>
      </c>
      <c r="G66" s="145" t="str">
        <f>Lbl_Devise</f>
        <v>Devise du compte</v>
      </c>
      <c r="H66" s="240">
        <f>IF(ISBLANK(Fld_Devise),"",Fld_Devise)</f>
      </c>
      <c r="I66" s="139" t="s">
        <v>1434</v>
      </c>
      <c r="J66" s="313" t="s">
        <v>231</v>
      </c>
    </row>
    <row r="67" spans="1:10" ht="12.75" customHeight="1">
      <c r="A67" s="57">
        <v>61</v>
      </c>
      <c r="B67" s="101" t="s">
        <v>1435</v>
      </c>
      <c r="C67" s="808" t="s">
        <v>1436</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1437</v>
      </c>
      <c r="C68" s="809"/>
      <c r="D68" s="135" t="s">
        <v>118</v>
      </c>
      <c r="E68" s="136">
        <v>20</v>
      </c>
      <c r="F68" s="136" t="s">
        <v>119</v>
      </c>
      <c r="G68" s="142" t="str">
        <f>Lbl_Titre&amp;" (Mr, Mme,…)"</f>
        <v>Titre (Mr, Mme,…)</v>
      </c>
      <c r="H68" s="238">
        <f>IF(OR(Fld_Cpt_TitreContact="",Fld_Cpt_TitreContact=0),"",Fld_Cpt_TitreContact)</f>
      </c>
      <c r="I68" s="139" t="s">
        <v>772</v>
      </c>
      <c r="J68" s="313" t="s">
        <v>231</v>
      </c>
    </row>
    <row r="69" spans="1:10" ht="12.75">
      <c r="A69" s="57">
        <v>63</v>
      </c>
      <c r="B69" s="101" t="s">
        <v>1438</v>
      </c>
      <c r="C69" s="809"/>
      <c r="D69" s="135" t="s">
        <v>118</v>
      </c>
      <c r="E69" s="136">
        <v>80</v>
      </c>
      <c r="F69" s="136" t="s">
        <v>119</v>
      </c>
      <c r="G69" s="142" t="str">
        <f>Lbl_Nom</f>
        <v>Nom</v>
      </c>
      <c r="H69" s="238">
        <f>IF(OR(Fld_Cpt_ContactNom="",Fld_Cpt_ContactNom=0),"",Fld_Cpt_ContactNom)</f>
      </c>
      <c r="J69" s="313" t="s">
        <v>231</v>
      </c>
    </row>
    <row r="70" spans="1:10" ht="12.75">
      <c r="A70" s="57">
        <v>64</v>
      </c>
      <c r="B70" s="101" t="s">
        <v>1439</v>
      </c>
      <c r="C70" s="809"/>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1440</v>
      </c>
      <c r="C71" s="809"/>
      <c r="D71" s="135" t="s">
        <v>118</v>
      </c>
      <c r="E71" s="136">
        <v>3</v>
      </c>
      <c r="F71" s="228" t="s">
        <v>121</v>
      </c>
      <c r="G71" s="222" t="s">
        <v>1441</v>
      </c>
      <c r="H71" s="239"/>
      <c r="I71" s="139" t="s">
        <v>688</v>
      </c>
      <c r="J71" s="235"/>
    </row>
    <row r="72" spans="1:10" ht="12.75">
      <c r="A72" s="57">
        <v>66</v>
      </c>
      <c r="B72" s="101" t="s">
        <v>1442</v>
      </c>
      <c r="C72" s="809"/>
      <c r="D72" s="135" t="s">
        <v>118</v>
      </c>
      <c r="E72" s="136">
        <v>50</v>
      </c>
      <c r="F72" s="228" t="s">
        <v>121</v>
      </c>
      <c r="G72" s="221" t="s">
        <v>1135</v>
      </c>
      <c r="H72" s="239"/>
      <c r="J72" s="235"/>
    </row>
    <row r="73" spans="1:10" ht="12.75">
      <c r="A73" s="57">
        <v>67</v>
      </c>
      <c r="B73" s="101" t="s">
        <v>1136</v>
      </c>
      <c r="C73" s="809"/>
      <c r="D73" s="135" t="s">
        <v>118</v>
      </c>
      <c r="E73" s="136">
        <v>50</v>
      </c>
      <c r="F73" s="228" t="s">
        <v>121</v>
      </c>
      <c r="G73" s="222" t="s">
        <v>1137</v>
      </c>
      <c r="H73" s="242"/>
      <c r="I73" s="139" t="s">
        <v>486</v>
      </c>
      <c r="J73" s="235"/>
    </row>
    <row r="74" spans="1:10" ht="12.75">
      <c r="A74" s="57">
        <v>68</v>
      </c>
      <c r="B74" s="101" t="s">
        <v>1138</v>
      </c>
      <c r="C74" s="809"/>
      <c r="D74" s="135" t="s">
        <v>118</v>
      </c>
      <c r="E74" s="136">
        <v>1</v>
      </c>
      <c r="F74" s="136" t="s">
        <v>119</v>
      </c>
      <c r="G74" s="142" t="str">
        <f>Lbl_Contact_Sexe&amp;" (M / F)"</f>
        <v>Genre (M / F)</v>
      </c>
      <c r="H74" s="238">
        <f>IF(OR(Fld_Cpt_Contactgenre="",Fld_Cpt_Contactgenre=0),"",Fld_Cpt_Contactgenre)</f>
      </c>
      <c r="I74" s="139" t="s">
        <v>777</v>
      </c>
      <c r="J74" s="313" t="s">
        <v>231</v>
      </c>
    </row>
    <row r="75" spans="1:10" ht="12.75">
      <c r="A75" s="57">
        <v>69</v>
      </c>
      <c r="B75" s="101" t="s">
        <v>1139</v>
      </c>
      <c r="C75" s="809"/>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1140</v>
      </c>
      <c r="C76" s="809"/>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1141</v>
      </c>
      <c r="C77" s="809"/>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1142</v>
      </c>
      <c r="C78" s="809"/>
      <c r="D78" s="135" t="s">
        <v>118</v>
      </c>
      <c r="E78" s="136">
        <v>100</v>
      </c>
      <c r="F78" s="228" t="s">
        <v>121</v>
      </c>
      <c r="G78" s="221" t="s">
        <v>1701</v>
      </c>
      <c r="H78" s="239"/>
      <c r="J78" s="235"/>
    </row>
    <row r="79" spans="1:10" ht="12.75">
      <c r="A79" s="57">
        <v>73</v>
      </c>
      <c r="B79" s="101" t="s">
        <v>1143</v>
      </c>
      <c r="C79" s="809"/>
      <c r="D79" s="135" t="s">
        <v>118</v>
      </c>
      <c r="E79" s="136">
        <v>20</v>
      </c>
      <c r="F79" s="228" t="s">
        <v>121</v>
      </c>
      <c r="G79" s="221" t="s">
        <v>1702</v>
      </c>
      <c r="H79" s="239"/>
      <c r="J79" s="235"/>
    </row>
    <row r="80" spans="1:10" ht="12.75">
      <c r="A80" s="57">
        <v>74</v>
      </c>
      <c r="B80" s="101" t="s">
        <v>1144</v>
      </c>
      <c r="C80" s="809"/>
      <c r="D80" s="135" t="s">
        <v>118</v>
      </c>
      <c r="E80" s="136">
        <v>8</v>
      </c>
      <c r="F80" s="228" t="s">
        <v>121</v>
      </c>
      <c r="G80" s="222" t="s">
        <v>1145</v>
      </c>
      <c r="H80" s="239"/>
      <c r="I80" s="139" t="s">
        <v>609</v>
      </c>
      <c r="J80" s="235"/>
    </row>
    <row r="81" spans="1:10" ht="12.75">
      <c r="A81" s="57">
        <v>75</v>
      </c>
      <c r="B81" s="101" t="s">
        <v>1146</v>
      </c>
      <c r="C81" s="809"/>
      <c r="D81" s="135" t="s">
        <v>118</v>
      </c>
      <c r="E81" s="136">
        <v>30</v>
      </c>
      <c r="F81" s="228" t="s">
        <v>121</v>
      </c>
      <c r="G81" s="222" t="s">
        <v>125</v>
      </c>
      <c r="H81" s="239"/>
      <c r="I81" s="139" t="s">
        <v>126</v>
      </c>
      <c r="J81" s="235"/>
    </row>
    <row r="82" spans="1:10" ht="12.75">
      <c r="A82" s="57">
        <v>76</v>
      </c>
      <c r="B82" s="101" t="s">
        <v>1147</v>
      </c>
      <c r="C82" s="809"/>
      <c r="D82" s="135" t="s">
        <v>118</v>
      </c>
      <c r="E82" s="136">
        <v>50</v>
      </c>
      <c r="F82" s="136" t="s">
        <v>121</v>
      </c>
      <c r="G82" s="138" t="str">
        <f>Lbl_N_TVA</f>
        <v>N. TVA</v>
      </c>
      <c r="H82" s="270">
        <f>IF(OR(Fld_Cpt_ContactTVA="",Fld_Cpt_ContactTVA=0),"",Fld_Cpt_ContactTVA)</f>
      </c>
      <c r="J82" s="313" t="s">
        <v>231</v>
      </c>
    </row>
    <row r="83" spans="1:10" ht="12.75">
      <c r="A83" s="57">
        <v>77</v>
      </c>
      <c r="B83" s="101" t="s">
        <v>1148</v>
      </c>
      <c r="C83" s="809"/>
      <c r="D83" s="135" t="s">
        <v>118</v>
      </c>
      <c r="E83" s="136">
        <v>50</v>
      </c>
      <c r="F83" s="228" t="s">
        <v>121</v>
      </c>
      <c r="G83" s="221" t="s">
        <v>130</v>
      </c>
      <c r="H83" s="213"/>
      <c r="J83" s="235"/>
    </row>
    <row r="84" spans="1:10" ht="12.75">
      <c r="A84" s="57">
        <v>78</v>
      </c>
      <c r="B84" s="101" t="s">
        <v>1149</v>
      </c>
      <c r="C84" s="809"/>
      <c r="D84" s="135" t="s">
        <v>118</v>
      </c>
      <c r="E84" s="136">
        <v>100</v>
      </c>
      <c r="F84" s="136" t="s">
        <v>119</v>
      </c>
      <c r="G84" s="142" t="str">
        <f>Lbl_Adresse&amp;"1"</f>
        <v>Adresse1</v>
      </c>
      <c r="H84" s="238">
        <f>IF(OR(Fld_Cpt_Address1="",Fld_Cpt_Address1=0),"",Fld_Cpt_Address1)</f>
      </c>
      <c r="J84" s="313" t="s">
        <v>231</v>
      </c>
    </row>
    <row r="85" spans="1:10" ht="12.75">
      <c r="A85" s="57">
        <v>79</v>
      </c>
      <c r="B85" s="101" t="s">
        <v>1150</v>
      </c>
      <c r="C85" s="809"/>
      <c r="D85" s="135" t="s">
        <v>118</v>
      </c>
      <c r="E85" s="136">
        <v>100</v>
      </c>
      <c r="F85" s="136" t="s">
        <v>121</v>
      </c>
      <c r="G85" s="137" t="str">
        <f>Lbl_Adresse&amp;"2"</f>
        <v>Adresse2</v>
      </c>
      <c r="H85" s="151">
        <f>IF(OR(Fld_Cpt_Address2="",Fld_Cpt_Address2=0),"",Fld_Cpt_Address2)</f>
      </c>
      <c r="J85" s="313" t="s">
        <v>231</v>
      </c>
    </row>
    <row r="86" spans="1:10" ht="12.75">
      <c r="A86" s="57">
        <v>80</v>
      </c>
      <c r="B86" s="101" t="s">
        <v>1151</v>
      </c>
      <c r="C86" s="809"/>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1152</v>
      </c>
      <c r="C87" s="809"/>
      <c r="D87" s="135" t="s">
        <v>118</v>
      </c>
      <c r="E87" s="136">
        <v>50</v>
      </c>
      <c r="F87" s="136" t="s">
        <v>119</v>
      </c>
      <c r="G87" s="142" t="str">
        <f>Lbl_Banque_Commune_Ville</f>
        <v>Commune/Ville</v>
      </c>
      <c r="H87" s="238">
        <f>IF(OR(Fld_Cpt_Ville="",Fld_Cpt_Ville=0),"",Fld_Cpt_Ville)</f>
      </c>
      <c r="J87" s="313" t="s">
        <v>231</v>
      </c>
    </row>
    <row r="88" spans="1:10" ht="12.75">
      <c r="A88" s="57">
        <v>82</v>
      </c>
      <c r="B88" s="101" t="s">
        <v>1153</v>
      </c>
      <c r="C88" s="809"/>
      <c r="D88" s="135" t="s">
        <v>118</v>
      </c>
      <c r="E88" s="136">
        <v>3</v>
      </c>
      <c r="F88" s="136" t="s">
        <v>119</v>
      </c>
      <c r="G88" s="142" t="str">
        <f>Lbl_Pays</f>
        <v>Pays</v>
      </c>
      <c r="H88" s="238">
        <f>IF(OR(Fld_Cpt_Pays="",Fld_Cpt_Pays=0),"",Fld_Cpt_Pays)</f>
      </c>
      <c r="I88" s="139" t="s">
        <v>2093</v>
      </c>
      <c r="J88" s="313" t="s">
        <v>231</v>
      </c>
    </row>
    <row r="89" spans="1:10" ht="12.75">
      <c r="A89" s="57">
        <v>83</v>
      </c>
      <c r="B89" s="101" t="s">
        <v>2094</v>
      </c>
      <c r="C89" s="809"/>
      <c r="D89" s="135" t="s">
        <v>118</v>
      </c>
      <c r="E89" s="136">
        <v>50</v>
      </c>
      <c r="F89" s="228" t="s">
        <v>121</v>
      </c>
      <c r="G89" s="221" t="s">
        <v>617</v>
      </c>
      <c r="H89" s="239"/>
      <c r="J89" s="235"/>
    </row>
    <row r="90" spans="1:10" ht="12.75">
      <c r="A90" s="57">
        <v>84</v>
      </c>
      <c r="B90" s="101" t="s">
        <v>2095</v>
      </c>
      <c r="C90" s="809"/>
      <c r="D90" s="135" t="s">
        <v>118</v>
      </c>
      <c r="E90" s="136">
        <v>30</v>
      </c>
      <c r="F90" s="228" t="s">
        <v>121</v>
      </c>
      <c r="G90" s="222" t="s">
        <v>1377</v>
      </c>
      <c r="H90" s="242"/>
      <c r="J90" s="235"/>
    </row>
    <row r="91" spans="1:10" ht="12.75">
      <c r="A91" s="57">
        <v>85</v>
      </c>
      <c r="B91" s="101" t="s">
        <v>2094</v>
      </c>
      <c r="C91" s="809"/>
      <c r="D91" s="135" t="s">
        <v>118</v>
      </c>
      <c r="E91" s="136">
        <v>30</v>
      </c>
      <c r="F91" s="228" t="s">
        <v>121</v>
      </c>
      <c r="G91" s="221" t="s">
        <v>1378</v>
      </c>
      <c r="H91" s="239"/>
      <c r="J91" s="235"/>
    </row>
    <row r="92" spans="1:10" ht="12.75">
      <c r="A92" s="57">
        <v>86</v>
      </c>
      <c r="B92" s="101" t="s">
        <v>2096</v>
      </c>
      <c r="C92" s="809"/>
      <c r="D92" s="135" t="s">
        <v>118</v>
      </c>
      <c r="E92" s="136">
        <v>100</v>
      </c>
      <c r="F92" s="228" t="s">
        <v>121</v>
      </c>
      <c r="G92" s="221" t="s">
        <v>1379</v>
      </c>
      <c r="H92" s="239"/>
      <c r="J92" s="235"/>
    </row>
    <row r="93" spans="1:10" ht="12.75" customHeight="1" thickBot="1">
      <c r="A93" s="57">
        <v>87</v>
      </c>
      <c r="B93" s="101" t="s">
        <v>1610</v>
      </c>
      <c r="C93" s="810"/>
      <c r="D93" s="143" t="s">
        <v>118</v>
      </c>
      <c r="E93" s="144">
        <v>100</v>
      </c>
      <c r="F93" s="230" t="s">
        <v>121</v>
      </c>
      <c r="G93" s="223" t="s">
        <v>1674</v>
      </c>
      <c r="H93" s="243"/>
      <c r="J93" s="236"/>
    </row>
    <row r="94" spans="1:11" ht="12.75" customHeight="1">
      <c r="A94" s="57">
        <v>115</v>
      </c>
      <c r="B94" s="101" t="s">
        <v>575</v>
      </c>
      <c r="C94" s="811" t="s">
        <v>576</v>
      </c>
      <c r="D94" s="132" t="s">
        <v>118</v>
      </c>
      <c r="E94" s="133">
        <v>20</v>
      </c>
      <c r="F94" s="133" t="s">
        <v>119</v>
      </c>
      <c r="G94" s="147" t="str">
        <f>Lbl_Titre&amp;" (Mr, Mme,…)"</f>
        <v>Titre (Mr, Mme,…)</v>
      </c>
      <c r="H94" s="150">
        <f>IF(OR(Fld_CHP_Titre="",Fld_CHP_Titre=0),"",Fld_CHP_Titre)</f>
      </c>
      <c r="I94" s="139" t="s">
        <v>772</v>
      </c>
      <c r="J94" s="313" t="s">
        <v>231</v>
      </c>
      <c r="K94" s="174">
        <v>1</v>
      </c>
    </row>
    <row r="95" spans="1:10" ht="12.75">
      <c r="A95" s="57">
        <v>116</v>
      </c>
      <c r="B95" s="101" t="s">
        <v>577</v>
      </c>
      <c r="C95" s="812"/>
      <c r="D95" s="135" t="s">
        <v>118</v>
      </c>
      <c r="E95" s="136">
        <v>80</v>
      </c>
      <c r="F95" s="136" t="s">
        <v>119</v>
      </c>
      <c r="G95" s="148" t="str">
        <f>Lbl_Nom</f>
        <v>Nom</v>
      </c>
      <c r="H95" s="238">
        <f>IF(OR(Fld_CHP_Nom="",Fld_CHP_Nom=0),"",Fld_CHP_Nom)</f>
      </c>
      <c r="J95" s="313" t="s">
        <v>231</v>
      </c>
    </row>
    <row r="96" spans="1:10" ht="12.75">
      <c r="A96" s="57">
        <v>117</v>
      </c>
      <c r="B96" s="101" t="s">
        <v>578</v>
      </c>
      <c r="C96" s="812"/>
      <c r="D96" s="135" t="s">
        <v>118</v>
      </c>
      <c r="E96" s="136">
        <v>50</v>
      </c>
      <c r="F96" s="136" t="s">
        <v>121</v>
      </c>
      <c r="G96" s="137" t="str">
        <f>Lbl_Prénom</f>
        <v>Prénom</v>
      </c>
      <c r="H96" s="151">
        <f>IF(OR(Fld_CHP_Prenom="",Fld_CHP_Prenom=0),"",Fld_CHP_Prenom)</f>
      </c>
      <c r="J96" s="313" t="s">
        <v>231</v>
      </c>
    </row>
    <row r="97" spans="1:10" ht="12.75">
      <c r="A97" s="57">
        <v>118</v>
      </c>
      <c r="B97" s="101" t="s">
        <v>579</v>
      </c>
      <c r="C97" s="812"/>
      <c r="D97" s="135" t="s">
        <v>118</v>
      </c>
      <c r="E97" s="136">
        <v>1</v>
      </c>
      <c r="F97" s="136" t="s">
        <v>119</v>
      </c>
      <c r="G97" s="148" t="str">
        <f>Lbl_Contact_Sexe&amp;" (M / F)"</f>
        <v>Genre (M / F)</v>
      </c>
      <c r="H97" s="238">
        <f>IF(OR(Fld_CHP_Genre="",Fld_CHP_Genre=0),"",Fld_CHP_Genre)</f>
      </c>
      <c r="I97" s="139" t="s">
        <v>777</v>
      </c>
      <c r="J97" s="313" t="s">
        <v>231</v>
      </c>
    </row>
    <row r="98" spans="1:10" ht="12.75">
      <c r="A98" s="57">
        <v>119</v>
      </c>
      <c r="B98" s="101" t="s">
        <v>581</v>
      </c>
      <c r="C98" s="812"/>
      <c r="D98" s="135" t="s">
        <v>118</v>
      </c>
      <c r="E98" s="136">
        <v>3</v>
      </c>
      <c r="F98" s="228" t="s">
        <v>121</v>
      </c>
      <c r="G98" s="222" t="s">
        <v>582</v>
      </c>
      <c r="H98" s="239"/>
      <c r="I98" s="139" t="s">
        <v>688</v>
      </c>
      <c r="J98" s="235"/>
    </row>
    <row r="99" spans="1:10" ht="12.75">
      <c r="A99" s="57">
        <v>120</v>
      </c>
      <c r="B99" s="101" t="s">
        <v>1409</v>
      </c>
      <c r="C99" s="812"/>
      <c r="D99" s="135" t="s">
        <v>118</v>
      </c>
      <c r="E99" s="136">
        <v>50</v>
      </c>
      <c r="F99" s="228" t="s">
        <v>121</v>
      </c>
      <c r="G99" s="221" t="s">
        <v>1410</v>
      </c>
      <c r="H99" s="239"/>
      <c r="J99" s="235"/>
    </row>
    <row r="100" spans="1:10" ht="12.75">
      <c r="A100" s="57">
        <v>121</v>
      </c>
      <c r="B100" s="101" t="s">
        <v>1411</v>
      </c>
      <c r="C100" s="812"/>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1357</v>
      </c>
      <c r="C101" s="812"/>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1412</v>
      </c>
      <c r="C102" s="812"/>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1413</v>
      </c>
      <c r="C103" s="812"/>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1414</v>
      </c>
      <c r="C104" s="812"/>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1415</v>
      </c>
      <c r="C105" s="812"/>
      <c r="D105" s="135" t="s">
        <v>118</v>
      </c>
      <c r="E105" s="136">
        <v>100</v>
      </c>
      <c r="F105" s="136" t="s">
        <v>121</v>
      </c>
      <c r="G105" s="137" t="s">
        <v>1416</v>
      </c>
      <c r="H105" s="151">
        <f>IF(OR(Fld_CHP_Email="",Fld_CHP_Email=0),"",Fld_CHP_Email)</f>
      </c>
      <c r="J105" s="313" t="s">
        <v>231</v>
      </c>
    </row>
    <row r="106" spans="1:10" ht="12.75">
      <c r="A106" s="57">
        <v>127</v>
      </c>
      <c r="B106" s="101" t="s">
        <v>1417</v>
      </c>
      <c r="C106" s="812"/>
      <c r="D106" s="135" t="s">
        <v>493</v>
      </c>
      <c r="E106" s="136"/>
      <c r="F106" s="136" t="s">
        <v>119</v>
      </c>
      <c r="G106" s="148" t="s">
        <v>1418</v>
      </c>
      <c r="H106" s="238" t="s">
        <v>1419</v>
      </c>
      <c r="I106" s="139" t="s">
        <v>1419</v>
      </c>
      <c r="J106" s="235"/>
    </row>
    <row r="107" spans="1:10" ht="12.75">
      <c r="A107" s="57">
        <v>128</v>
      </c>
      <c r="B107" s="101" t="s">
        <v>1420</v>
      </c>
      <c r="C107" s="812"/>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1421</v>
      </c>
      <c r="C108" s="812"/>
      <c r="D108" s="135" t="s">
        <v>118</v>
      </c>
      <c r="E108" s="136">
        <v>20</v>
      </c>
      <c r="F108" s="228" t="s">
        <v>121</v>
      </c>
      <c r="G108" s="221" t="s">
        <v>583</v>
      </c>
      <c r="H108" s="239"/>
      <c r="J108" s="235"/>
    </row>
    <row r="109" spans="1:10" ht="12.75">
      <c r="A109" s="57">
        <v>130</v>
      </c>
      <c r="B109" s="101" t="s">
        <v>1422</v>
      </c>
      <c r="C109" s="812"/>
      <c r="D109" s="135" t="s">
        <v>118</v>
      </c>
      <c r="E109" s="136">
        <v>8</v>
      </c>
      <c r="F109" s="228" t="s">
        <v>121</v>
      </c>
      <c r="G109" s="222" t="s">
        <v>1423</v>
      </c>
      <c r="H109" s="239"/>
      <c r="I109" s="139" t="s">
        <v>609</v>
      </c>
      <c r="J109" s="235"/>
    </row>
    <row r="110" spans="1:10" ht="12.75">
      <c r="A110" s="57">
        <v>131</v>
      </c>
      <c r="B110" s="101" t="s">
        <v>1424</v>
      </c>
      <c r="C110" s="812"/>
      <c r="D110" s="135" t="s">
        <v>118</v>
      </c>
      <c r="E110" s="136">
        <v>30</v>
      </c>
      <c r="F110" s="228" t="s">
        <v>121</v>
      </c>
      <c r="G110" s="222" t="s">
        <v>125</v>
      </c>
      <c r="H110" s="239"/>
      <c r="I110" s="139" t="s">
        <v>126</v>
      </c>
      <c r="J110" s="235"/>
    </row>
    <row r="111" spans="1:10" ht="12.75">
      <c r="A111" s="57">
        <v>132</v>
      </c>
      <c r="B111" s="101" t="s">
        <v>1425</v>
      </c>
      <c r="C111" s="812"/>
      <c r="D111" s="135" t="s">
        <v>118</v>
      </c>
      <c r="E111" s="136">
        <v>50</v>
      </c>
      <c r="F111" s="136" t="s">
        <v>121</v>
      </c>
      <c r="G111" s="138" t="str">
        <f>Lbl_N_TVA</f>
        <v>N. TVA</v>
      </c>
      <c r="H111" s="270">
        <f>IF(OR(Fld_CHP_Org_NTVA="",Fld_CHP_Org_NTVA=0),"",Fld_CHP_Org_NTVA)</f>
      </c>
      <c r="J111" s="313" t="s">
        <v>231</v>
      </c>
    </row>
    <row r="112" spans="1:10" ht="12.75">
      <c r="A112" s="57">
        <v>133</v>
      </c>
      <c r="B112" s="101" t="s">
        <v>836</v>
      </c>
      <c r="C112" s="812"/>
      <c r="D112" s="135" t="s">
        <v>118</v>
      </c>
      <c r="E112" s="136">
        <v>50</v>
      </c>
      <c r="F112" s="228" t="s">
        <v>121</v>
      </c>
      <c r="G112" s="221" t="s">
        <v>130</v>
      </c>
      <c r="H112" s="213"/>
      <c r="J112" s="235"/>
    </row>
    <row r="113" spans="1:10" ht="12.75">
      <c r="A113" s="57">
        <v>134</v>
      </c>
      <c r="B113" s="101" t="s">
        <v>837</v>
      </c>
      <c r="C113" s="812"/>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838</v>
      </c>
      <c r="C114" s="812"/>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839</v>
      </c>
      <c r="C115" s="812"/>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840</v>
      </c>
      <c r="C116" s="812"/>
      <c r="D116" s="135" t="s">
        <v>118</v>
      </c>
      <c r="E116" s="136">
        <v>50</v>
      </c>
      <c r="F116" s="228" t="s">
        <v>121</v>
      </c>
      <c r="G116" s="221" t="s">
        <v>1380</v>
      </c>
      <c r="H116" s="213"/>
      <c r="J116" s="235"/>
    </row>
    <row r="117" spans="1:10" ht="12.75">
      <c r="A117" s="57">
        <v>138</v>
      </c>
      <c r="B117" s="101" t="s">
        <v>1381</v>
      </c>
      <c r="C117" s="812"/>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1382</v>
      </c>
      <c r="C118" s="812"/>
      <c r="D118" s="135" t="s">
        <v>118</v>
      </c>
      <c r="E118" s="136">
        <v>3</v>
      </c>
      <c r="F118" s="136" t="s">
        <v>119</v>
      </c>
      <c r="G118" s="148" t="str">
        <f>Lbl_Pays</f>
        <v>Pays</v>
      </c>
      <c r="H118" s="238">
        <f>IF(OR(Fld_CHP_Org_Pays="",Fld_CHP_Org_Pays=0),"",Fld_CHP_Org_Pays)</f>
      </c>
      <c r="I118" s="139" t="s">
        <v>1293</v>
      </c>
      <c r="J118" s="313" t="s">
        <v>231</v>
      </c>
    </row>
    <row r="119" spans="1:10" ht="12.75">
      <c r="A119" s="57">
        <v>140</v>
      </c>
      <c r="B119" s="101" t="s">
        <v>1294</v>
      </c>
      <c r="C119" s="812"/>
      <c r="D119" s="135" t="s">
        <v>118</v>
      </c>
      <c r="E119" s="136">
        <v>30</v>
      </c>
      <c r="F119" s="228" t="s">
        <v>121</v>
      </c>
      <c r="G119" s="221" t="s">
        <v>584</v>
      </c>
      <c r="H119" s="239">
        <f>IF(OR(Fld_CHP_Org_Tel="",Fld_CHP_Org_Tel=0),"",Fld_CHP_Org_Tel)</f>
      </c>
      <c r="J119" s="235"/>
    </row>
    <row r="120" spans="1:10" ht="12.75">
      <c r="A120" s="57">
        <v>141</v>
      </c>
      <c r="B120" s="101" t="s">
        <v>1295</v>
      </c>
      <c r="C120" s="812"/>
      <c r="D120" s="135" t="s">
        <v>118</v>
      </c>
      <c r="E120" s="136">
        <v>30</v>
      </c>
      <c r="F120" s="228" t="s">
        <v>121</v>
      </c>
      <c r="G120" s="221" t="s">
        <v>585</v>
      </c>
      <c r="H120" s="239">
        <f>IF(OR(Fld_CHP_Org_Fax="",Fld_CHP_Org_Fax=0),"",Fld_CHP_Org_Fax)</f>
      </c>
      <c r="J120" s="235"/>
    </row>
    <row r="121" spans="1:10" ht="12.75">
      <c r="A121" s="57">
        <v>142</v>
      </c>
      <c r="B121" s="101" t="s">
        <v>1296</v>
      </c>
      <c r="C121" s="812"/>
      <c r="D121" s="135" t="s">
        <v>118</v>
      </c>
      <c r="E121" s="136">
        <v>100</v>
      </c>
      <c r="F121" s="228" t="s">
        <v>121</v>
      </c>
      <c r="G121" s="221" t="s">
        <v>1297</v>
      </c>
      <c r="H121" s="239"/>
      <c r="J121" s="235"/>
    </row>
    <row r="122" spans="1:10" ht="13.5" thickBot="1">
      <c r="A122" s="57">
        <v>143</v>
      </c>
      <c r="B122" s="101" t="s">
        <v>1298</v>
      </c>
      <c r="C122" s="813"/>
      <c r="D122" s="143" t="s">
        <v>118</v>
      </c>
      <c r="E122" s="144">
        <v>100</v>
      </c>
      <c r="F122" s="230" t="s">
        <v>121</v>
      </c>
      <c r="G122" s="223" t="s">
        <v>2008</v>
      </c>
      <c r="H122" s="243"/>
      <c r="J122" s="235"/>
    </row>
    <row r="123" spans="1:11" ht="12.75" customHeight="1">
      <c r="A123" s="57">
        <v>144</v>
      </c>
      <c r="B123" s="101" t="s">
        <v>2009</v>
      </c>
      <c r="C123" s="805" t="s">
        <v>2010</v>
      </c>
      <c r="D123" s="149" t="s">
        <v>118</v>
      </c>
      <c r="E123" s="149">
        <v>20</v>
      </c>
      <c r="F123" s="114" t="s">
        <v>119</v>
      </c>
      <c r="G123" s="232" t="s">
        <v>2011</v>
      </c>
      <c r="H123" s="241"/>
      <c r="I123" s="139" t="s">
        <v>772</v>
      </c>
      <c r="J123" s="236"/>
      <c r="K123" s="173">
        <v>0</v>
      </c>
    </row>
    <row r="124" spans="1:10" ht="12.75">
      <c r="A124" s="57">
        <v>145</v>
      </c>
      <c r="B124" s="101" t="s">
        <v>2012</v>
      </c>
      <c r="C124" s="806"/>
      <c r="D124" s="149" t="s">
        <v>118</v>
      </c>
      <c r="E124" s="149">
        <v>80</v>
      </c>
      <c r="F124" s="114" t="s">
        <v>119</v>
      </c>
      <c r="G124" s="231" t="s">
        <v>2013</v>
      </c>
      <c r="H124" s="242"/>
      <c r="J124" s="235"/>
    </row>
    <row r="125" spans="1:10" ht="12.75">
      <c r="A125" s="57">
        <v>146</v>
      </c>
      <c r="B125" s="101" t="s">
        <v>2014</v>
      </c>
      <c r="C125" s="806"/>
      <c r="D125" s="149" t="s">
        <v>118</v>
      </c>
      <c r="E125" s="149">
        <v>50</v>
      </c>
      <c r="F125" s="114" t="s">
        <v>121</v>
      </c>
      <c r="G125" s="222" t="s">
        <v>586</v>
      </c>
      <c r="H125" s="239"/>
      <c r="J125" s="235"/>
    </row>
    <row r="126" spans="1:10" ht="12.75">
      <c r="A126" s="57">
        <v>147</v>
      </c>
      <c r="B126" s="101" t="s">
        <v>2015</v>
      </c>
      <c r="C126" s="806"/>
      <c r="D126" s="149" t="s">
        <v>118</v>
      </c>
      <c r="E126" s="149">
        <v>1</v>
      </c>
      <c r="F126" s="114" t="s">
        <v>119</v>
      </c>
      <c r="G126" s="231" t="s">
        <v>580</v>
      </c>
      <c r="H126" s="242"/>
      <c r="I126" s="139" t="s">
        <v>777</v>
      </c>
      <c r="J126" s="235"/>
    </row>
    <row r="127" spans="1:10" ht="12.75">
      <c r="A127" s="57">
        <v>148</v>
      </c>
      <c r="B127" s="101" t="s">
        <v>2016</v>
      </c>
      <c r="C127" s="806"/>
      <c r="D127" s="135" t="s">
        <v>118</v>
      </c>
      <c r="E127" s="136">
        <v>3</v>
      </c>
      <c r="F127" s="228" t="s">
        <v>121</v>
      </c>
      <c r="G127" s="222" t="s">
        <v>2017</v>
      </c>
      <c r="H127" s="239"/>
      <c r="I127" s="139" t="s">
        <v>688</v>
      </c>
      <c r="J127" s="235"/>
    </row>
    <row r="128" spans="1:10" ht="12.75">
      <c r="A128" s="57">
        <v>149</v>
      </c>
      <c r="B128" s="101" t="s">
        <v>2018</v>
      </c>
      <c r="C128" s="806"/>
      <c r="D128" s="149" t="s">
        <v>118</v>
      </c>
      <c r="E128" s="149">
        <v>50</v>
      </c>
      <c r="F128" s="114" t="s">
        <v>121</v>
      </c>
      <c r="G128" s="222" t="s">
        <v>825</v>
      </c>
      <c r="H128" s="239"/>
      <c r="J128" s="235"/>
    </row>
    <row r="129" spans="1:10" ht="12.75">
      <c r="A129" s="57">
        <v>150</v>
      </c>
      <c r="B129" s="101" t="s">
        <v>826</v>
      </c>
      <c r="C129" s="806"/>
      <c r="D129" s="149" t="s">
        <v>118</v>
      </c>
      <c r="E129" s="149">
        <v>50</v>
      </c>
      <c r="F129" s="114" t="s">
        <v>121</v>
      </c>
      <c r="G129" s="222" t="s">
        <v>827</v>
      </c>
      <c r="H129" s="239"/>
      <c r="I129" s="139" t="s">
        <v>486</v>
      </c>
      <c r="J129" s="235"/>
    </row>
    <row r="130" spans="1:10" ht="12.75">
      <c r="A130" s="57">
        <v>151</v>
      </c>
      <c r="B130" s="101" t="s">
        <v>828</v>
      </c>
      <c r="C130" s="806"/>
      <c r="D130" s="149" t="s">
        <v>118</v>
      </c>
      <c r="E130" s="149">
        <v>2</v>
      </c>
      <c r="F130" s="114" t="s">
        <v>119</v>
      </c>
      <c r="G130" s="231" t="s">
        <v>829</v>
      </c>
      <c r="H130" s="242"/>
      <c r="I130" s="139" t="s">
        <v>488</v>
      </c>
      <c r="J130" s="235"/>
    </row>
    <row r="131" spans="1:10" ht="12.75">
      <c r="A131" s="57">
        <v>152</v>
      </c>
      <c r="B131" s="101" t="s">
        <v>830</v>
      </c>
      <c r="C131" s="806"/>
      <c r="D131" s="149" t="s">
        <v>118</v>
      </c>
      <c r="E131" s="149">
        <v>30</v>
      </c>
      <c r="F131" s="114" t="s">
        <v>121</v>
      </c>
      <c r="G131" s="222" t="s">
        <v>587</v>
      </c>
      <c r="H131" s="239"/>
      <c r="J131" s="235"/>
    </row>
    <row r="132" spans="1:10" ht="12.75">
      <c r="A132" s="57">
        <v>153</v>
      </c>
      <c r="B132" s="101" t="s">
        <v>831</v>
      </c>
      <c r="C132" s="806"/>
      <c r="D132" s="149" t="s">
        <v>118</v>
      </c>
      <c r="E132" s="149">
        <v>30</v>
      </c>
      <c r="F132" s="114" t="s">
        <v>121</v>
      </c>
      <c r="G132" s="222" t="s">
        <v>588</v>
      </c>
      <c r="H132" s="239"/>
      <c r="J132" s="235"/>
    </row>
    <row r="133" spans="1:10" ht="12.75">
      <c r="A133" s="57">
        <v>154</v>
      </c>
      <c r="B133" s="101" t="s">
        <v>832</v>
      </c>
      <c r="C133" s="806"/>
      <c r="D133" s="149" t="s">
        <v>118</v>
      </c>
      <c r="E133" s="149">
        <v>100</v>
      </c>
      <c r="F133" s="114" t="s">
        <v>121</v>
      </c>
      <c r="G133" s="222" t="s">
        <v>589</v>
      </c>
      <c r="H133" s="239"/>
      <c r="J133" s="235"/>
    </row>
    <row r="134" spans="1:10" ht="12.75">
      <c r="A134" s="57">
        <v>155</v>
      </c>
      <c r="B134" s="101" t="s">
        <v>833</v>
      </c>
      <c r="C134" s="806"/>
      <c r="D134" s="149" t="s">
        <v>493</v>
      </c>
      <c r="E134" s="149"/>
      <c r="F134" s="114" t="s">
        <v>119</v>
      </c>
      <c r="G134" s="231" t="s">
        <v>834</v>
      </c>
      <c r="H134" s="242"/>
      <c r="I134" s="139" t="s">
        <v>1419</v>
      </c>
      <c r="J134" s="235"/>
    </row>
    <row r="135" spans="1:10" ht="12.75">
      <c r="A135" s="57">
        <v>156</v>
      </c>
      <c r="B135" s="101" t="s">
        <v>835</v>
      </c>
      <c r="C135" s="806"/>
      <c r="D135" s="149" t="s">
        <v>118</v>
      </c>
      <c r="E135" s="149">
        <v>255</v>
      </c>
      <c r="F135" s="114" t="s">
        <v>121</v>
      </c>
      <c r="G135" s="222" t="s">
        <v>1590</v>
      </c>
      <c r="H135" s="239"/>
      <c r="J135" s="235"/>
    </row>
    <row r="136" spans="1:10" ht="12.75">
      <c r="A136" s="57">
        <v>157</v>
      </c>
      <c r="B136" s="101" t="s">
        <v>1591</v>
      </c>
      <c r="C136" s="806"/>
      <c r="D136" s="149" t="s">
        <v>118</v>
      </c>
      <c r="E136" s="149">
        <v>20</v>
      </c>
      <c r="F136" s="114" t="s">
        <v>121</v>
      </c>
      <c r="G136" s="222" t="s">
        <v>590</v>
      </c>
      <c r="H136" s="239"/>
      <c r="J136" s="235"/>
    </row>
    <row r="137" spans="1:10" ht="12.75">
      <c r="A137" s="57">
        <v>158</v>
      </c>
      <c r="B137" s="101" t="s">
        <v>1592</v>
      </c>
      <c r="C137" s="806"/>
      <c r="D137" s="149" t="s">
        <v>118</v>
      </c>
      <c r="E137" s="149">
        <v>8</v>
      </c>
      <c r="F137" s="114" t="s">
        <v>121</v>
      </c>
      <c r="G137" s="222" t="s">
        <v>1593</v>
      </c>
      <c r="H137" s="239"/>
      <c r="I137" s="139" t="s">
        <v>609</v>
      </c>
      <c r="J137" s="235"/>
    </row>
    <row r="138" spans="1:10" ht="12.75">
      <c r="A138" s="57">
        <v>159</v>
      </c>
      <c r="B138" s="101" t="s">
        <v>1594</v>
      </c>
      <c r="C138" s="806"/>
      <c r="D138" s="135" t="s">
        <v>118</v>
      </c>
      <c r="E138" s="136">
        <v>30</v>
      </c>
      <c r="F138" s="228" t="s">
        <v>121</v>
      </c>
      <c r="G138" s="222" t="s">
        <v>125</v>
      </c>
      <c r="H138" s="239"/>
      <c r="I138" s="139" t="s">
        <v>126</v>
      </c>
      <c r="J138" s="235"/>
    </row>
    <row r="139" spans="1:10" ht="12.75">
      <c r="A139" s="57">
        <v>160</v>
      </c>
      <c r="B139" s="101" t="s">
        <v>1595</v>
      </c>
      <c r="C139" s="806"/>
      <c r="D139" s="135" t="s">
        <v>118</v>
      </c>
      <c r="E139" s="136">
        <v>50</v>
      </c>
      <c r="F139" s="228" t="s">
        <v>121</v>
      </c>
      <c r="G139" s="222" t="s">
        <v>128</v>
      </c>
      <c r="H139" s="239"/>
      <c r="J139" s="235"/>
    </row>
    <row r="140" spans="1:10" ht="12.75">
      <c r="A140" s="57">
        <v>161</v>
      </c>
      <c r="B140" s="101" t="s">
        <v>1596</v>
      </c>
      <c r="C140" s="806"/>
      <c r="D140" s="135" t="s">
        <v>118</v>
      </c>
      <c r="E140" s="136">
        <v>50</v>
      </c>
      <c r="F140" s="228" t="s">
        <v>121</v>
      </c>
      <c r="G140" s="221" t="s">
        <v>130</v>
      </c>
      <c r="H140" s="239"/>
      <c r="J140" s="235"/>
    </row>
    <row r="141" spans="1:10" ht="12.75">
      <c r="A141" s="57">
        <v>162</v>
      </c>
      <c r="B141" s="101" t="s">
        <v>1597</v>
      </c>
      <c r="C141" s="806"/>
      <c r="D141" s="149" t="s">
        <v>118</v>
      </c>
      <c r="E141" s="149">
        <v>100</v>
      </c>
      <c r="F141" s="114" t="s">
        <v>119</v>
      </c>
      <c r="G141" s="231" t="s">
        <v>471</v>
      </c>
      <c r="H141" s="242"/>
      <c r="J141" s="235"/>
    </row>
    <row r="142" spans="1:10" ht="12.75">
      <c r="A142" s="57">
        <v>163</v>
      </c>
      <c r="B142" s="101" t="s">
        <v>1598</v>
      </c>
      <c r="C142" s="806"/>
      <c r="D142" s="149" t="s">
        <v>118</v>
      </c>
      <c r="E142" s="149">
        <v>100</v>
      </c>
      <c r="F142" s="114" t="s">
        <v>121</v>
      </c>
      <c r="G142" s="222" t="s">
        <v>591</v>
      </c>
      <c r="H142" s="239"/>
      <c r="J142" s="235"/>
    </row>
    <row r="143" spans="1:10" ht="12.75">
      <c r="A143" s="57">
        <v>164</v>
      </c>
      <c r="B143" s="101" t="s">
        <v>1599</v>
      </c>
      <c r="C143" s="806"/>
      <c r="D143" s="149" t="s">
        <v>118</v>
      </c>
      <c r="E143" s="149">
        <v>50</v>
      </c>
      <c r="F143" s="114" t="s">
        <v>119</v>
      </c>
      <c r="G143" s="231" t="s">
        <v>1600</v>
      </c>
      <c r="H143" s="242"/>
      <c r="J143" s="235"/>
    </row>
    <row r="144" spans="1:10" ht="12.75">
      <c r="A144" s="57">
        <v>165</v>
      </c>
      <c r="B144" s="101" t="s">
        <v>1601</v>
      </c>
      <c r="C144" s="806"/>
      <c r="D144" s="149" t="s">
        <v>118</v>
      </c>
      <c r="E144" s="149">
        <v>50</v>
      </c>
      <c r="F144" s="114" t="s">
        <v>121</v>
      </c>
      <c r="G144" s="222" t="s">
        <v>1602</v>
      </c>
      <c r="H144" s="239"/>
      <c r="J144" s="235"/>
    </row>
    <row r="145" spans="1:10" ht="12.75">
      <c r="A145" s="57">
        <v>166</v>
      </c>
      <c r="B145" s="101" t="s">
        <v>1603</v>
      </c>
      <c r="C145" s="806"/>
      <c r="D145" s="149" t="s">
        <v>118</v>
      </c>
      <c r="E145" s="149">
        <v>20</v>
      </c>
      <c r="F145" s="114" t="s">
        <v>121</v>
      </c>
      <c r="G145" s="222" t="s">
        <v>1604</v>
      </c>
      <c r="H145" s="239"/>
      <c r="J145" s="235"/>
    </row>
    <row r="146" spans="1:10" ht="12.75">
      <c r="A146" s="57">
        <v>167</v>
      </c>
      <c r="B146" s="101" t="s">
        <v>1605</v>
      </c>
      <c r="C146" s="806"/>
      <c r="D146" s="149" t="s">
        <v>118</v>
      </c>
      <c r="E146" s="149">
        <v>3</v>
      </c>
      <c r="F146" s="114" t="s">
        <v>119</v>
      </c>
      <c r="G146" s="231" t="s">
        <v>1299</v>
      </c>
      <c r="H146" s="242"/>
      <c r="I146" s="139" t="s">
        <v>2093</v>
      </c>
      <c r="J146" s="235"/>
    </row>
    <row r="147" spans="1:10" ht="12.75">
      <c r="A147" s="57">
        <v>168</v>
      </c>
      <c r="B147" s="101" t="s">
        <v>1300</v>
      </c>
      <c r="C147" s="806"/>
      <c r="D147" s="149" t="s">
        <v>118</v>
      </c>
      <c r="E147" s="149">
        <v>30</v>
      </c>
      <c r="F147" s="114" t="s">
        <v>121</v>
      </c>
      <c r="G147" s="222" t="s">
        <v>592</v>
      </c>
      <c r="H147" s="239"/>
      <c r="J147" s="235"/>
    </row>
    <row r="148" spans="1:10" ht="12.75">
      <c r="A148" s="57">
        <v>169</v>
      </c>
      <c r="B148" s="101" t="s">
        <v>1301</v>
      </c>
      <c r="C148" s="806"/>
      <c r="D148" s="149" t="s">
        <v>118</v>
      </c>
      <c r="E148" s="149">
        <v>30</v>
      </c>
      <c r="F148" s="114" t="s">
        <v>121</v>
      </c>
      <c r="G148" s="222" t="s">
        <v>593</v>
      </c>
      <c r="H148" s="239"/>
      <c r="J148" s="235"/>
    </row>
    <row r="149" spans="1:10" ht="12.75">
      <c r="A149" s="57">
        <v>170</v>
      </c>
      <c r="B149" s="101" t="s">
        <v>1302</v>
      </c>
      <c r="C149" s="806"/>
      <c r="D149" s="149" t="s">
        <v>118</v>
      </c>
      <c r="E149" s="149">
        <v>100</v>
      </c>
      <c r="F149" s="114" t="s">
        <v>121</v>
      </c>
      <c r="G149" s="222" t="s">
        <v>1303</v>
      </c>
      <c r="H149" s="239"/>
      <c r="J149" s="235"/>
    </row>
    <row r="150" spans="1:10" ht="13.5" thickBot="1">
      <c r="A150" s="57">
        <v>171</v>
      </c>
      <c r="B150" s="101" t="s">
        <v>1304</v>
      </c>
      <c r="C150" s="807"/>
      <c r="D150" s="149" t="s">
        <v>118</v>
      </c>
      <c r="E150" s="149">
        <v>100</v>
      </c>
      <c r="F150" s="114" t="s">
        <v>121</v>
      </c>
      <c r="G150" s="224" t="s">
        <v>1305</v>
      </c>
      <c r="H150" s="243"/>
      <c r="J150" s="235"/>
    </row>
    <row r="151" spans="1:10" ht="12.75" customHeight="1">
      <c r="A151" s="57">
        <v>172</v>
      </c>
      <c r="B151" s="101" t="s">
        <v>1306</v>
      </c>
      <c r="C151" s="808" t="s">
        <v>1307</v>
      </c>
      <c r="D151" s="132" t="s">
        <v>118</v>
      </c>
      <c r="E151" s="133">
        <v>2</v>
      </c>
      <c r="F151" s="133" t="s">
        <v>119</v>
      </c>
      <c r="G151" s="141" t="str">
        <f>Lbl_Type_de_projet</f>
        <v>Type d'activités</v>
      </c>
      <c r="H151" s="150">
        <f>IF(OR(Fld_Type_de_projet="",Fld_Type_de_projet=0),"",Fld_Type_de_projet)</f>
      </c>
      <c r="I151" s="139" t="s">
        <v>1308</v>
      </c>
      <c r="J151" s="313" t="s">
        <v>231</v>
      </c>
    </row>
    <row r="152" spans="1:10" ht="12.75">
      <c r="A152" s="57">
        <v>173</v>
      </c>
      <c r="B152" s="101" t="s">
        <v>1309</v>
      </c>
      <c r="C152" s="809"/>
      <c r="D152" s="135" t="s">
        <v>118</v>
      </c>
      <c r="E152" s="136">
        <v>4</v>
      </c>
      <c r="F152" s="136" t="s">
        <v>119</v>
      </c>
      <c r="G152" s="142" t="str">
        <f>Lbl_Année</f>
        <v>Année</v>
      </c>
      <c r="H152" s="271">
        <f>IF(OR(Fld_Année_Projet="",Fld_Année_Projet=0),"",Fld_Année_Projet)</f>
      </c>
      <c r="J152" s="313" t="s">
        <v>231</v>
      </c>
    </row>
    <row r="153" spans="1:10" ht="12.75">
      <c r="A153" s="57">
        <v>174</v>
      </c>
      <c r="B153" s="101" t="s">
        <v>1310</v>
      </c>
      <c r="C153" s="809"/>
      <c r="D153" s="135" t="s">
        <v>118</v>
      </c>
      <c r="E153" s="136">
        <v>3</v>
      </c>
      <c r="F153" s="136" t="s">
        <v>119</v>
      </c>
      <c r="G153" s="142" t="str">
        <f>Lbl_Pays</f>
        <v>Pays</v>
      </c>
      <c r="H153" s="238">
        <f>IF(OR(Fld_Org_Pays="",Fld_Org_Pays=0),"",Fld_Org_Pays)</f>
      </c>
      <c r="I153" s="139" t="s">
        <v>2093</v>
      </c>
      <c r="J153" s="313" t="s">
        <v>231</v>
      </c>
    </row>
    <row r="154" spans="1:10" ht="12.75">
      <c r="A154" s="57">
        <v>175</v>
      </c>
      <c r="B154" s="101" t="s">
        <v>1311</v>
      </c>
      <c r="C154" s="809"/>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1312</v>
      </c>
      <c r="C155" s="809"/>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1313</v>
      </c>
      <c r="C156" s="809"/>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1316</v>
      </c>
      <c r="C157" s="809"/>
      <c r="D157" s="135" t="s">
        <v>118</v>
      </c>
      <c r="E157" s="136">
        <v>50</v>
      </c>
      <c r="F157" s="136" t="s">
        <v>121</v>
      </c>
      <c r="G157" s="137" t="s">
        <v>1317</v>
      </c>
      <c r="H157" s="151" t="str">
        <f>IF(OR(Fld_Appel_Offre="",Fld_Appel_Offre=0),"",Fld_Appel_Offre)</f>
        <v>VP/2002/010</v>
      </c>
      <c r="I157" s="139" t="s">
        <v>1318</v>
      </c>
      <c r="J157" s="235"/>
    </row>
    <row r="158" spans="1:10" ht="12.75">
      <c r="A158" s="57">
        <v>179</v>
      </c>
      <c r="B158" s="101" t="s">
        <v>1319</v>
      </c>
      <c r="C158" s="809"/>
      <c r="D158" s="135" t="s">
        <v>118</v>
      </c>
      <c r="E158" s="136">
        <v>50</v>
      </c>
      <c r="F158" s="136" t="s">
        <v>121</v>
      </c>
      <c r="G158" s="137" t="str">
        <f>Lbl_Domaine</f>
        <v>Volet d'action</v>
      </c>
      <c r="H158" s="151">
        <f>IF(OR(Fld_Domaine="",Fld_Domaine=0),"",Fld_Domaine)</f>
      </c>
      <c r="I158" s="139" t="s">
        <v>1320</v>
      </c>
      <c r="J158" s="312" t="s">
        <v>231</v>
      </c>
    </row>
    <row r="159" spans="1:10" ht="12.75">
      <c r="A159" s="57">
        <v>180</v>
      </c>
      <c r="B159" s="101" t="s">
        <v>1321</v>
      </c>
      <c r="C159" s="809"/>
      <c r="D159" s="135" t="s">
        <v>118</v>
      </c>
      <c r="E159" s="136">
        <v>50</v>
      </c>
      <c r="F159" s="228" t="s">
        <v>121</v>
      </c>
      <c r="G159" s="221" t="s">
        <v>1322</v>
      </c>
      <c r="H159" s="213"/>
      <c r="I159" s="139" t="s">
        <v>1323</v>
      </c>
      <c r="J159" s="235"/>
    </row>
    <row r="160" spans="1:10" ht="12.75">
      <c r="A160" s="57">
        <v>181</v>
      </c>
      <c r="B160" s="101" t="s">
        <v>1324</v>
      </c>
      <c r="C160" s="809"/>
      <c r="D160" s="135" t="s">
        <v>118</v>
      </c>
      <c r="E160" s="136">
        <v>30</v>
      </c>
      <c r="F160" s="136" t="s">
        <v>121</v>
      </c>
      <c r="G160" s="137" t="str">
        <f>Lbl_Title_Line4</f>
        <v>LIGNE BUDGETAIRE</v>
      </c>
      <c r="H160" s="151" t="str">
        <f>IF(OR(Fld_Ligne_Budgetaire="",Fld_Ligne_Budgetaire=0),"",Fld_Ligne_Budgetaire)</f>
        <v>B3-4105</v>
      </c>
      <c r="I160" s="139" t="s">
        <v>1326</v>
      </c>
      <c r="J160" s="235"/>
    </row>
    <row r="161" spans="1:10" ht="12.75">
      <c r="A161" s="57">
        <v>182</v>
      </c>
      <c r="B161" s="101" t="s">
        <v>1327</v>
      </c>
      <c r="C161" s="809"/>
      <c r="D161" s="135" t="s">
        <v>1328</v>
      </c>
      <c r="E161" s="136"/>
      <c r="F161" s="228" t="s">
        <v>121</v>
      </c>
      <c r="G161" s="221" t="s">
        <v>1329</v>
      </c>
      <c r="H161" s="213"/>
      <c r="J161" s="235"/>
    </row>
    <row r="162" spans="1:10" ht="12.75">
      <c r="A162" s="57">
        <v>183</v>
      </c>
      <c r="B162" s="101" t="s">
        <v>1330</v>
      </c>
      <c r="C162" s="809"/>
      <c r="D162" s="135" t="s">
        <v>1328</v>
      </c>
      <c r="E162" s="136"/>
      <c r="F162" s="136" t="s">
        <v>119</v>
      </c>
      <c r="G162" s="142" t="s">
        <v>1331</v>
      </c>
      <c r="H162" s="238">
        <f>IF(OR(Fld_Debut_Projet="",Fld_Debut_Projet=0),"",Fld_Debut_Projet)</f>
      </c>
      <c r="J162" s="312" t="s">
        <v>231</v>
      </c>
    </row>
    <row r="163" spans="1:10" ht="12.75">
      <c r="A163" s="57">
        <v>184</v>
      </c>
      <c r="B163" s="101" t="s">
        <v>1332</v>
      </c>
      <c r="C163" s="809"/>
      <c r="D163" s="135" t="s">
        <v>1333</v>
      </c>
      <c r="E163" s="136"/>
      <c r="F163" s="136" t="s">
        <v>119</v>
      </c>
      <c r="G163" s="142" t="s">
        <v>1334</v>
      </c>
      <c r="H163" s="238">
        <f>IF(OR(Fld_Duree="",Fld_Duree=0),"",Fld_Duree)</f>
      </c>
      <c r="J163" s="312" t="s">
        <v>231</v>
      </c>
    </row>
    <row r="164" spans="1:10" ht="12.75">
      <c r="A164" s="57">
        <v>185</v>
      </c>
      <c r="B164" s="101" t="s">
        <v>1335</v>
      </c>
      <c r="C164" s="809"/>
      <c r="D164" s="135" t="s">
        <v>1328</v>
      </c>
      <c r="E164" s="136"/>
      <c r="F164" s="136" t="s">
        <v>119</v>
      </c>
      <c r="G164" s="142" t="s">
        <v>1336</v>
      </c>
      <c r="H164" s="238">
        <f>IF(OR(Fld_Fin_Projet="",Fld_Fin_Projet=0),"",Fld_Fin_Projet)</f>
      </c>
      <c r="J164" s="312" t="s">
        <v>231</v>
      </c>
    </row>
    <row r="165" spans="1:10" ht="12.75">
      <c r="A165" s="57">
        <v>186</v>
      </c>
      <c r="B165" s="101" t="s">
        <v>1337</v>
      </c>
      <c r="C165" s="809"/>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1338</v>
      </c>
      <c r="C166" s="809"/>
      <c r="D166" s="135" t="s">
        <v>1333</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1339</v>
      </c>
      <c r="C167" s="809"/>
      <c r="D167" s="135" t="s">
        <v>118</v>
      </c>
      <c r="E167" s="136">
        <v>255</v>
      </c>
      <c r="F167" s="228" t="s">
        <v>121</v>
      </c>
      <c r="G167" s="221" t="s">
        <v>1401</v>
      </c>
      <c r="H167" s="239"/>
      <c r="J167" s="235"/>
    </row>
    <row r="168" spans="1:10" ht="12.75">
      <c r="A168" s="57">
        <v>189</v>
      </c>
      <c r="B168" s="101" t="s">
        <v>1340</v>
      </c>
      <c r="C168" s="809"/>
      <c r="D168" s="135" t="s">
        <v>1333</v>
      </c>
      <c r="E168" s="136"/>
      <c r="F168" s="228" t="s">
        <v>121</v>
      </c>
      <c r="G168" s="222" t="s">
        <v>1341</v>
      </c>
      <c r="H168" s="239"/>
      <c r="J168" s="235"/>
    </row>
    <row r="169" spans="1:10" ht="13.5" thickBot="1">
      <c r="A169" s="57">
        <v>190</v>
      </c>
      <c r="B169" s="101" t="s">
        <v>1342</v>
      </c>
      <c r="C169" s="810"/>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1343</v>
      </c>
      <c r="C170" s="808" t="s">
        <v>1344</v>
      </c>
      <c r="D170" s="132" t="s">
        <v>1345</v>
      </c>
      <c r="E170" s="133"/>
      <c r="F170" s="133" t="s">
        <v>119</v>
      </c>
      <c r="G170" s="141" t="str">
        <f>Lbl_CoutTotal&amp;" (Euro)"</f>
        <v>Cout total du projet (Euro)</v>
      </c>
      <c r="H170" s="150">
        <f>IF(OR(Fld_Cout_Total="",Fld_Cout_Total=0),0,Fld_Cout_Total)</f>
        <v>0</v>
      </c>
      <c r="J170" s="312" t="s">
        <v>231</v>
      </c>
    </row>
    <row r="171" spans="1:10" ht="12.75">
      <c r="A171" s="57">
        <v>192</v>
      </c>
      <c r="B171" s="101" t="s">
        <v>1346</v>
      </c>
      <c r="C171" s="809"/>
      <c r="D171" s="135" t="s">
        <v>1345</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1347</v>
      </c>
      <c r="C172" s="809"/>
      <c r="D172" s="135" t="s">
        <v>1345</v>
      </c>
      <c r="E172" s="136"/>
      <c r="F172" s="136" t="s">
        <v>121</v>
      </c>
      <c r="G172" s="137" t="str">
        <f>Lbl_MNT_Apport&amp;" (Euro)"</f>
        <v>Apport propre (Euro)</v>
      </c>
      <c r="H172" s="151">
        <f>IF(OR(Fld_MNT_Apport="",Fld_MNT_Apport=0),0,Fld_MNT_Apport)</f>
        <v>0</v>
      </c>
      <c r="J172" s="313" t="s">
        <v>231</v>
      </c>
    </row>
    <row r="173" spans="1:10" ht="12.75">
      <c r="A173" s="57">
        <v>194</v>
      </c>
      <c r="B173" s="101" t="s">
        <v>1348</v>
      </c>
      <c r="C173" s="809"/>
      <c r="D173" s="135" t="s">
        <v>1345</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0"/>
      <c r="D174" s="143" t="s">
        <v>1345</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1" t="s">
        <v>496</v>
      </c>
      <c r="D175" s="132" t="s">
        <v>118</v>
      </c>
      <c r="E175" s="133">
        <v>20</v>
      </c>
      <c r="F175" s="328" t="s">
        <v>119</v>
      </c>
      <c r="G175" s="329" t="str">
        <f>"Nom de la description 0 ("&amp;Fld_Desc_Titre0&amp;")"</f>
        <v>Nom de la description 0 (Structure de l'organisation)</v>
      </c>
      <c r="H175" s="330" t="str">
        <f>Fld_Desc_Titre0</f>
        <v>Structure de l'organisation</v>
      </c>
      <c r="I175" s="331" t="s">
        <v>419</v>
      </c>
      <c r="J175" s="332"/>
    </row>
    <row r="176" spans="1:10" ht="51">
      <c r="A176" s="57">
        <v>197</v>
      </c>
      <c r="B176" s="101" t="s">
        <v>420</v>
      </c>
      <c r="C176" s="812"/>
      <c r="D176" s="135" t="s">
        <v>118</v>
      </c>
      <c r="E176" s="136">
        <v>2000</v>
      </c>
      <c r="F176" s="333" t="s">
        <v>119</v>
      </c>
      <c r="G176" s="334" t="str">
        <f>Lib_Desc_Titre0</f>
        <v>Quelle est la structure de l'organisation (autorités locales, régionales ou nationales, association indépendante, etc.) et mentionnez combien d'organisations sont membres de votre structure, qui et quelle sorte d'organisation peut être membre : </v>
      </c>
      <c r="H176" s="335">
        <f>IF(OR(Fld_Description0="",Fld_Description0=0),"",Fld_Description0)</f>
      </c>
      <c r="I176" s="336"/>
      <c r="J176" s="337" t="s">
        <v>231</v>
      </c>
    </row>
    <row r="177" spans="1:10" ht="12.75">
      <c r="A177" s="57">
        <v>198</v>
      </c>
      <c r="B177" s="101" t="s">
        <v>421</v>
      </c>
      <c r="C177" s="812"/>
      <c r="D177" s="135" t="s">
        <v>118</v>
      </c>
      <c r="E177" s="136">
        <v>20</v>
      </c>
      <c r="F177" s="333" t="s">
        <v>119</v>
      </c>
      <c r="G177" s="338" t="str">
        <f>"Nom de la description 1 ("&amp;Fld_Desc_Titre1&amp;")"</f>
        <v>Nom de la description 1 (Personnel permanent)</v>
      </c>
      <c r="H177" s="335" t="str">
        <f>Fld_Desc_Titre1</f>
        <v>Personnel permanent</v>
      </c>
      <c r="I177" s="331" t="s">
        <v>419</v>
      </c>
      <c r="J177" s="332"/>
    </row>
    <row r="178" spans="1:10" ht="12.75">
      <c r="A178" s="57">
        <v>199</v>
      </c>
      <c r="B178" s="101" t="s">
        <v>422</v>
      </c>
      <c r="C178" s="812"/>
      <c r="D178" s="135" t="s">
        <v>118</v>
      </c>
      <c r="E178" s="136">
        <v>2000</v>
      </c>
      <c r="F178" s="333" t="s">
        <v>119</v>
      </c>
      <c r="G178" s="339" t="str">
        <f>Lib_Desc_Titre1</f>
        <v>Personnel permanent employé par votre organisation (nombre) :</v>
      </c>
      <c r="H178" s="335">
        <f>IF(OR(Fld_Description1="",Fld_Description1=0),"",Fld_Description1)</f>
      </c>
      <c r="I178" s="336"/>
      <c r="J178" s="337" t="s">
        <v>231</v>
      </c>
    </row>
    <row r="179" spans="1:10" ht="12.75">
      <c r="A179" s="57">
        <v>200</v>
      </c>
      <c r="B179" s="101" t="s">
        <v>423</v>
      </c>
      <c r="C179" s="812"/>
      <c r="D179" s="135" t="s">
        <v>118</v>
      </c>
      <c r="E179" s="136">
        <v>20</v>
      </c>
      <c r="F179" s="333" t="s">
        <v>119</v>
      </c>
      <c r="G179" s="338" t="str">
        <f>"Nom de la description 2 ("&amp;Fld_Desc_Titre2&amp;")"</f>
        <v>Nom de la description 2 (Objectifs et activité)</v>
      </c>
      <c r="H179" s="335" t="str">
        <f>Fld_Desc_Titre2</f>
        <v>Objectifs et activité</v>
      </c>
      <c r="I179" s="331" t="s">
        <v>419</v>
      </c>
      <c r="J179" s="332"/>
    </row>
    <row r="180" spans="1:10" ht="12.75">
      <c r="A180" s="57">
        <v>201</v>
      </c>
      <c r="B180" s="101" t="s">
        <v>424</v>
      </c>
      <c r="C180" s="812"/>
      <c r="D180" s="135" t="s">
        <v>118</v>
      </c>
      <c r="E180" s="136">
        <v>2000</v>
      </c>
      <c r="F180" s="333" t="s">
        <v>119</v>
      </c>
      <c r="G180" s="339" t="str">
        <f>Lib_Desc_Titre2</f>
        <v>Bref résumé des objectifs et des activités habituelles de l'organisation:</v>
      </c>
      <c r="H180" s="335">
        <f>IF(OR(Fld_Description2="",Fld_Description2=0),"",Fld_Description2)</f>
      </c>
      <c r="I180" s="336"/>
      <c r="J180" s="337" t="s">
        <v>231</v>
      </c>
    </row>
    <row r="181" spans="1:10" ht="12.75">
      <c r="A181" s="57">
        <v>202</v>
      </c>
      <c r="B181" s="101" t="s">
        <v>425</v>
      </c>
      <c r="C181" s="812"/>
      <c r="D181" s="135" t="s">
        <v>118</v>
      </c>
      <c r="E181" s="136">
        <v>20</v>
      </c>
      <c r="F181" s="333" t="s">
        <v>119</v>
      </c>
      <c r="G181" s="338" t="str">
        <f>"Nom de la description 3 ("&amp;Fld_Desc_Titre3&amp;")"</f>
        <v>Nom de la description 3 (Source de financement)</v>
      </c>
      <c r="H181" s="335" t="str">
        <f>Fld_Desc_Titre3</f>
        <v>Source de financement</v>
      </c>
      <c r="I181" s="331" t="s">
        <v>419</v>
      </c>
      <c r="J181" s="332"/>
    </row>
    <row r="182" spans="1:10" ht="12.75">
      <c r="A182" s="57">
        <v>203</v>
      </c>
      <c r="B182" s="101" t="s">
        <v>426</v>
      </c>
      <c r="C182" s="812"/>
      <c r="D182" s="135" t="s">
        <v>118</v>
      </c>
      <c r="E182" s="136">
        <v>2000</v>
      </c>
      <c r="F182" s="333" t="s">
        <v>119</v>
      </c>
      <c r="G182" s="339" t="str">
        <f>Lib_Desc_Titre3</f>
        <v>Sources habituelles de financement de l'organisation :</v>
      </c>
      <c r="H182" s="335">
        <f>IF(OR(Fld_Description3="",Fld_Description3=0),"",Fld_Description3)</f>
      </c>
      <c r="I182" s="336"/>
      <c r="J182" s="337" t="s">
        <v>231</v>
      </c>
    </row>
    <row r="183" spans="1:10" ht="12.75">
      <c r="A183" s="57">
        <v>204</v>
      </c>
      <c r="B183" s="101" t="s">
        <v>427</v>
      </c>
      <c r="C183" s="812"/>
      <c r="D183" s="135" t="s">
        <v>118</v>
      </c>
      <c r="E183" s="136">
        <v>20</v>
      </c>
      <c r="F183" s="333" t="s">
        <v>119</v>
      </c>
      <c r="G183" s="338" t="str">
        <f>"Nom de la description 4 ("&amp;Fld_Desc_Titre4&amp;")"</f>
        <v>Nom de la description 4 (Autres informations utiles)</v>
      </c>
      <c r="H183" s="335" t="str">
        <f>Fld_Desc_Titre4</f>
        <v>Autres informations utiles</v>
      </c>
      <c r="I183" s="331" t="s">
        <v>419</v>
      </c>
      <c r="J183" s="332"/>
    </row>
    <row r="184" spans="1:10" ht="12.75">
      <c r="A184" s="57">
        <v>205</v>
      </c>
      <c r="B184" s="101" t="s">
        <v>428</v>
      </c>
      <c r="C184" s="812"/>
      <c r="D184" s="135" t="s">
        <v>118</v>
      </c>
      <c r="E184" s="136">
        <v>2000</v>
      </c>
      <c r="F184" s="333" t="s">
        <v>119</v>
      </c>
      <c r="G184" s="338" t="str">
        <f>Lib_Desc_Titre4</f>
        <v>Autres informations utiles :</v>
      </c>
      <c r="H184" s="335">
        <f>IF(OR(Fld_Description4="",Fld_Description4=0),"",Fld_Description4)</f>
      </c>
      <c r="I184" s="336"/>
      <c r="J184" s="337" t="s">
        <v>231</v>
      </c>
    </row>
    <row r="185" spans="1:10" ht="12.75">
      <c r="A185" s="57">
        <v>206</v>
      </c>
      <c r="B185" s="101" t="s">
        <v>9</v>
      </c>
      <c r="C185" s="812"/>
      <c r="D185" s="135" t="s">
        <v>118</v>
      </c>
      <c r="E185" s="136">
        <v>20</v>
      </c>
      <c r="F185" s="340" t="s">
        <v>121</v>
      </c>
      <c r="G185" s="341" t="s">
        <v>594</v>
      </c>
      <c r="H185" s="342"/>
      <c r="I185" s="331" t="s">
        <v>419</v>
      </c>
      <c r="J185" s="332"/>
    </row>
    <row r="186" spans="1:10" ht="12.75">
      <c r="A186" s="57">
        <v>207</v>
      </c>
      <c r="B186" s="101" t="s">
        <v>1568</v>
      </c>
      <c r="C186" s="812"/>
      <c r="D186" s="135" t="s">
        <v>118</v>
      </c>
      <c r="E186" s="136">
        <v>2000</v>
      </c>
      <c r="F186" s="340" t="s">
        <v>121</v>
      </c>
      <c r="G186" s="341" t="s">
        <v>1569</v>
      </c>
      <c r="H186" s="342"/>
      <c r="I186" s="336"/>
      <c r="J186" s="332"/>
    </row>
    <row r="187" spans="1:10" ht="12.75">
      <c r="A187" s="57">
        <v>208</v>
      </c>
      <c r="B187" s="101" t="s">
        <v>1570</v>
      </c>
      <c r="C187" s="812"/>
      <c r="D187" s="135" t="s">
        <v>118</v>
      </c>
      <c r="E187" s="136">
        <v>20</v>
      </c>
      <c r="F187" s="340" t="s">
        <v>121</v>
      </c>
      <c r="G187" s="341" t="s">
        <v>595</v>
      </c>
      <c r="H187" s="342"/>
      <c r="I187" s="331" t="s">
        <v>419</v>
      </c>
      <c r="J187" s="332"/>
    </row>
    <row r="188" spans="1:10" ht="12.75">
      <c r="A188" s="57">
        <v>209</v>
      </c>
      <c r="B188" s="101" t="s">
        <v>1571</v>
      </c>
      <c r="C188" s="812"/>
      <c r="D188" s="135" t="s">
        <v>118</v>
      </c>
      <c r="E188" s="136">
        <v>2000</v>
      </c>
      <c r="F188" s="340" t="s">
        <v>121</v>
      </c>
      <c r="G188" s="341" t="s">
        <v>1566</v>
      </c>
      <c r="H188" s="342"/>
      <c r="I188" s="336"/>
      <c r="J188" s="332"/>
    </row>
    <row r="189" spans="1:10" ht="12.75">
      <c r="A189" s="57">
        <v>210</v>
      </c>
      <c r="B189" s="101" t="s">
        <v>1567</v>
      </c>
      <c r="C189" s="812"/>
      <c r="D189" s="135" t="s">
        <v>118</v>
      </c>
      <c r="E189" s="136">
        <v>20</v>
      </c>
      <c r="F189" s="340" t="s">
        <v>121</v>
      </c>
      <c r="G189" s="341" t="s">
        <v>1352</v>
      </c>
      <c r="H189" s="342"/>
      <c r="I189" s="331" t="s">
        <v>569</v>
      </c>
      <c r="J189" s="332"/>
    </row>
    <row r="190" spans="1:10" ht="12.75">
      <c r="A190" s="57">
        <v>211</v>
      </c>
      <c r="B190" s="101" t="s">
        <v>570</v>
      </c>
      <c r="C190" s="812"/>
      <c r="D190" s="135" t="s">
        <v>118</v>
      </c>
      <c r="E190" s="136">
        <v>2000</v>
      </c>
      <c r="F190" s="340" t="s">
        <v>121</v>
      </c>
      <c r="G190" s="341" t="s">
        <v>571</v>
      </c>
      <c r="H190" s="342"/>
      <c r="I190" s="336"/>
      <c r="J190" s="332"/>
    </row>
    <row r="191" spans="1:10" ht="12.75">
      <c r="A191" s="57">
        <v>212</v>
      </c>
      <c r="B191" s="101" t="s">
        <v>572</v>
      </c>
      <c r="C191" s="812"/>
      <c r="D191" s="135" t="s">
        <v>118</v>
      </c>
      <c r="E191" s="136">
        <v>20</v>
      </c>
      <c r="F191" s="340" t="s">
        <v>121</v>
      </c>
      <c r="G191" s="341" t="s">
        <v>1353</v>
      </c>
      <c r="H191" s="342"/>
      <c r="I191" s="331" t="s">
        <v>1896</v>
      </c>
      <c r="J191" s="332"/>
    </row>
    <row r="192" spans="1:10" ht="12.75">
      <c r="A192" s="57">
        <v>213</v>
      </c>
      <c r="B192" s="101" t="s">
        <v>1897</v>
      </c>
      <c r="C192" s="812"/>
      <c r="D192" s="135" t="s">
        <v>118</v>
      </c>
      <c r="E192" s="136">
        <v>2000</v>
      </c>
      <c r="F192" s="340" t="s">
        <v>121</v>
      </c>
      <c r="G192" s="341" t="s">
        <v>1898</v>
      </c>
      <c r="H192" s="342"/>
      <c r="I192" s="336"/>
      <c r="J192" s="332"/>
    </row>
    <row r="193" spans="1:10" ht="12.75">
      <c r="A193" s="57">
        <v>214</v>
      </c>
      <c r="B193" s="101" t="s">
        <v>1899</v>
      </c>
      <c r="C193" s="812"/>
      <c r="D193" s="135" t="s">
        <v>118</v>
      </c>
      <c r="E193" s="136">
        <v>20</v>
      </c>
      <c r="F193" s="340" t="s">
        <v>121</v>
      </c>
      <c r="G193" s="341" t="s">
        <v>1354</v>
      </c>
      <c r="H193" s="342"/>
      <c r="I193" s="331" t="s">
        <v>1900</v>
      </c>
      <c r="J193" s="332"/>
    </row>
    <row r="194" spans="1:10" ht="13.5" thickBot="1">
      <c r="A194" s="57">
        <v>215</v>
      </c>
      <c r="B194" s="101" t="s">
        <v>1901</v>
      </c>
      <c r="C194" s="813"/>
      <c r="D194" s="143" t="s">
        <v>118</v>
      </c>
      <c r="E194" s="144">
        <v>2000</v>
      </c>
      <c r="F194" s="343" t="s">
        <v>121</v>
      </c>
      <c r="G194" s="344" t="s">
        <v>1902</v>
      </c>
      <c r="H194" s="345"/>
      <c r="I194" s="336"/>
      <c r="J194" s="332"/>
    </row>
    <row r="195" spans="1:10" ht="45" customHeight="1">
      <c r="A195" s="57">
        <v>216</v>
      </c>
      <c r="B195" s="101" t="s">
        <v>1903</v>
      </c>
      <c r="C195" s="811" t="s">
        <v>473</v>
      </c>
      <c r="D195" s="132" t="s">
        <v>493</v>
      </c>
      <c r="E195" s="133"/>
      <c r="F195" s="328" t="s">
        <v>119</v>
      </c>
      <c r="G195" s="346" t="str">
        <f>Lbl_SubventionsAnterieures</f>
        <v>Soutiens financiers antérieurs obtenus directement ou indirectement au cours des trois années précédentes auprès d'une institution européenne ou organisme communautaire (s’il y a lieu)</v>
      </c>
      <c r="H195" s="347" t="str">
        <f>IF('Part I'!$M$71=1,"Yes","No")</f>
        <v>No</v>
      </c>
      <c r="I195" s="331" t="s">
        <v>604</v>
      </c>
      <c r="J195" s="348" t="s">
        <v>231</v>
      </c>
    </row>
    <row r="196" spans="1:10" ht="12.75">
      <c r="A196" s="57">
        <v>217</v>
      </c>
      <c r="B196" s="101" t="s">
        <v>1904</v>
      </c>
      <c r="C196" s="812"/>
      <c r="D196" s="135" t="s">
        <v>118</v>
      </c>
      <c r="E196" s="136">
        <v>10</v>
      </c>
      <c r="F196" s="340" t="s">
        <v>121</v>
      </c>
      <c r="G196" s="349" t="s">
        <v>1905</v>
      </c>
      <c r="H196" s="350"/>
      <c r="I196" s="331" t="s">
        <v>1906</v>
      </c>
      <c r="J196" s="332"/>
    </row>
    <row r="197" spans="1:10" ht="12.75">
      <c r="A197" s="57">
        <v>218</v>
      </c>
      <c r="B197" s="101" t="s">
        <v>1907</v>
      </c>
      <c r="C197" s="812"/>
      <c r="D197" s="135" t="s">
        <v>118</v>
      </c>
      <c r="E197" s="136">
        <v>50</v>
      </c>
      <c r="F197" s="333" t="s">
        <v>121</v>
      </c>
      <c r="G197" s="351" t="str">
        <f>Lbl_N_SOC</f>
        <v>N° du contrat</v>
      </c>
      <c r="H197" s="335">
        <f>IF(ISBLANK(Fld_N_SOC_1),"",Fld_N_SOC_1)</f>
      </c>
      <c r="I197" s="336"/>
      <c r="J197" s="352" t="s">
        <v>231</v>
      </c>
    </row>
    <row r="198" spans="1:10" ht="12.75">
      <c r="A198" s="57">
        <v>219</v>
      </c>
      <c r="B198" s="101" t="s">
        <v>1909</v>
      </c>
      <c r="C198" s="812"/>
      <c r="D198" s="135" t="s">
        <v>118</v>
      </c>
      <c r="E198" s="136">
        <v>50</v>
      </c>
      <c r="F198" s="333" t="s">
        <v>121</v>
      </c>
      <c r="G198" s="351" t="str">
        <f>Lbl_DG_Respons</f>
        <v>Direction générale responsable de la ligne budgétaire</v>
      </c>
      <c r="H198" s="335">
        <f>IF(ISBLANK(Fld_DG_4),"",Fld_DG_4)</f>
      </c>
      <c r="I198" s="336"/>
      <c r="J198" s="352" t="s">
        <v>231</v>
      </c>
    </row>
    <row r="199" spans="1:10" ht="12.75">
      <c r="A199" s="57">
        <v>220</v>
      </c>
      <c r="B199" s="101" t="s">
        <v>1910</v>
      </c>
      <c r="C199" s="812"/>
      <c r="D199" s="135" t="s">
        <v>118</v>
      </c>
      <c r="E199" s="136">
        <v>4</v>
      </c>
      <c r="F199" s="333" t="s">
        <v>121</v>
      </c>
      <c r="G199" s="351" t="str">
        <f>Lbl_Année</f>
        <v>Année</v>
      </c>
      <c r="H199" s="335">
        <f>IF(ISBLANK(Fld_Annee_1),"",Fld_Annee_1)</f>
      </c>
      <c r="I199" s="336"/>
      <c r="J199" s="352" t="s">
        <v>231</v>
      </c>
    </row>
    <row r="200" spans="1:10" ht="12.75">
      <c r="A200" s="57">
        <v>221</v>
      </c>
      <c r="B200" s="101" t="s">
        <v>1912</v>
      </c>
      <c r="C200" s="812"/>
      <c r="D200" s="135" t="s">
        <v>1345</v>
      </c>
      <c r="E200" s="136"/>
      <c r="F200" s="333" t="s">
        <v>121</v>
      </c>
      <c r="G200" s="351" t="str">
        <f>Lbl_Montant</f>
        <v>Montant (€)</v>
      </c>
      <c r="H200" s="335">
        <f>IF(ISBLANK(Fld_Montant_1),"",Fld_Montant_1)</f>
      </c>
      <c r="I200" s="336"/>
      <c r="J200" s="352" t="s">
        <v>231</v>
      </c>
    </row>
    <row r="201" spans="1:10" ht="12.75">
      <c r="A201" s="57">
        <v>222</v>
      </c>
      <c r="B201" s="101" t="s">
        <v>1914</v>
      </c>
      <c r="C201" s="812"/>
      <c r="D201" s="135" t="s">
        <v>118</v>
      </c>
      <c r="E201" s="136"/>
      <c r="F201" s="333" t="s">
        <v>121</v>
      </c>
      <c r="G201" s="351" t="str">
        <f>Lbl_Titre</f>
        <v>Titre</v>
      </c>
      <c r="H201" s="335">
        <f>IF(ISBLANK(Fld_Titre_1),"",Fld_Titre_1)</f>
      </c>
      <c r="I201" s="336"/>
      <c r="J201" s="352" t="s">
        <v>231</v>
      </c>
    </row>
    <row r="202" spans="1:10" ht="13.5" thickBot="1">
      <c r="A202" s="57">
        <v>223</v>
      </c>
      <c r="B202" s="101" t="s">
        <v>1915</v>
      </c>
      <c r="C202" s="812"/>
      <c r="D202" s="152" t="s">
        <v>118</v>
      </c>
      <c r="E202" s="153"/>
      <c r="F202" s="353" t="s">
        <v>121</v>
      </c>
      <c r="G202" s="354" t="s">
        <v>1325</v>
      </c>
      <c r="H202" s="350"/>
      <c r="I202" s="336"/>
      <c r="J202" s="332"/>
    </row>
    <row r="203" spans="1:10" ht="38.25">
      <c r="A203" s="57">
        <v>224</v>
      </c>
      <c r="B203" s="101" t="s">
        <v>1916</v>
      </c>
      <c r="C203" s="812"/>
      <c r="D203" s="135" t="s">
        <v>493</v>
      </c>
      <c r="E203" s="136"/>
      <c r="F203" s="333" t="s">
        <v>119</v>
      </c>
      <c r="G203" s="346" t="str">
        <f>Lbl_SubventionsAnterieures</f>
        <v>Soutiens financiers antérieurs obtenus directement ou indirectement au cours des trois années précédentes auprès d'une institution européenne ou organisme communautaire (s’il y a lieu)</v>
      </c>
      <c r="H203" s="347" t="str">
        <f>IF('Part I'!$M$72=1,"Yes","No")</f>
        <v>No</v>
      </c>
      <c r="I203" s="331" t="s">
        <v>604</v>
      </c>
      <c r="J203" s="348" t="s">
        <v>231</v>
      </c>
    </row>
    <row r="204" spans="1:10" ht="12.75">
      <c r="A204" s="57">
        <v>225</v>
      </c>
      <c r="B204" s="101" t="s">
        <v>1917</v>
      </c>
      <c r="C204" s="812"/>
      <c r="D204" s="135" t="s">
        <v>118</v>
      </c>
      <c r="E204" s="136">
        <v>10</v>
      </c>
      <c r="F204" s="340" t="s">
        <v>121</v>
      </c>
      <c r="G204" s="341" t="s">
        <v>1905</v>
      </c>
      <c r="H204" s="350"/>
      <c r="I204" s="331" t="s">
        <v>1906</v>
      </c>
      <c r="J204" s="332"/>
    </row>
    <row r="205" spans="1:10" ht="12.75">
      <c r="A205" s="57">
        <v>226</v>
      </c>
      <c r="B205" s="101" t="s">
        <v>1918</v>
      </c>
      <c r="C205" s="812"/>
      <c r="D205" s="135" t="s">
        <v>118</v>
      </c>
      <c r="E205" s="136">
        <v>50</v>
      </c>
      <c r="F205" s="333" t="s">
        <v>121</v>
      </c>
      <c r="G205" s="351" t="str">
        <f>Lbl_N_SOC</f>
        <v>N° du contrat</v>
      </c>
      <c r="H205" s="335">
        <f>IF(ISBLANK(Fld_N_SOC_2),"",Fld_N_SOC_2)</f>
      </c>
      <c r="I205" s="336"/>
      <c r="J205" s="348" t="s">
        <v>231</v>
      </c>
    </row>
    <row r="206" spans="1:10" ht="12.75">
      <c r="A206" s="57">
        <v>227</v>
      </c>
      <c r="B206" s="101" t="s">
        <v>1919</v>
      </c>
      <c r="C206" s="812"/>
      <c r="D206" s="135" t="s">
        <v>118</v>
      </c>
      <c r="E206" s="136">
        <v>50</v>
      </c>
      <c r="F206" s="333" t="s">
        <v>121</v>
      </c>
      <c r="G206" s="351" t="str">
        <f>Lbl_DG_Respons</f>
        <v>Direction générale responsable de la ligne budgétaire</v>
      </c>
      <c r="H206" s="335">
        <f>IF(ISBLANK(Fld_DG_5),"",Fld_DG_5)</f>
      </c>
      <c r="I206" s="336"/>
      <c r="J206" s="348" t="s">
        <v>231</v>
      </c>
    </row>
    <row r="207" spans="1:10" ht="12.75">
      <c r="A207" s="57">
        <v>228</v>
      </c>
      <c r="B207" s="101" t="s">
        <v>1920</v>
      </c>
      <c r="C207" s="812"/>
      <c r="D207" s="135" t="s">
        <v>118</v>
      </c>
      <c r="E207" s="136">
        <v>4</v>
      </c>
      <c r="F207" s="333" t="s">
        <v>121</v>
      </c>
      <c r="G207" s="351" t="str">
        <f>Lbl_Année</f>
        <v>Année</v>
      </c>
      <c r="H207" s="335">
        <f>IF(ISBLANK(Fld_Annee_2),"",Fld_Annee_2)</f>
      </c>
      <c r="I207" s="336"/>
      <c r="J207" s="355" t="s">
        <v>231</v>
      </c>
    </row>
    <row r="208" spans="1:10" ht="12.75">
      <c r="A208" s="57">
        <v>229</v>
      </c>
      <c r="B208" s="101" t="s">
        <v>1921</v>
      </c>
      <c r="C208" s="812"/>
      <c r="D208" s="135" t="s">
        <v>1345</v>
      </c>
      <c r="E208" s="136"/>
      <c r="F208" s="333" t="s">
        <v>121</v>
      </c>
      <c r="G208" s="351" t="str">
        <f>Lbl_Montant</f>
        <v>Montant (€)</v>
      </c>
      <c r="H208" s="335">
        <f>IF(ISBLANK(Fld_Montant_2),"",Fld_Montant_2)</f>
      </c>
      <c r="I208" s="336"/>
      <c r="J208" s="355" t="s">
        <v>231</v>
      </c>
    </row>
    <row r="209" spans="1:10" ht="12.75">
      <c r="A209" s="57">
        <v>230</v>
      </c>
      <c r="B209" s="101" t="s">
        <v>1922</v>
      </c>
      <c r="C209" s="812"/>
      <c r="D209" s="135" t="s">
        <v>118</v>
      </c>
      <c r="E209" s="136"/>
      <c r="F209" s="333" t="s">
        <v>121</v>
      </c>
      <c r="G209" s="351" t="str">
        <f>Lbl_Titre</f>
        <v>Titre</v>
      </c>
      <c r="H209" s="335">
        <f>IF(ISBLANK(Fld_Titre_2),"",Fld_Titre_2)</f>
      </c>
      <c r="I209" s="336"/>
      <c r="J209" s="355" t="s">
        <v>231</v>
      </c>
    </row>
    <row r="210" spans="1:10" ht="13.5" thickBot="1">
      <c r="A210" s="57">
        <v>231</v>
      </c>
      <c r="B210" s="101" t="s">
        <v>1923</v>
      </c>
      <c r="C210" s="812"/>
      <c r="D210" s="152" t="s">
        <v>118</v>
      </c>
      <c r="E210" s="153"/>
      <c r="F210" s="353" t="s">
        <v>121</v>
      </c>
      <c r="G210" s="354" t="s">
        <v>1325</v>
      </c>
      <c r="H210" s="356"/>
      <c r="I210" s="336"/>
      <c r="J210" s="332"/>
    </row>
    <row r="211" spans="1:10" ht="38.25">
      <c r="A211" s="57">
        <v>232</v>
      </c>
      <c r="B211" s="101" t="s">
        <v>1924</v>
      </c>
      <c r="C211" s="812"/>
      <c r="D211" s="135" t="s">
        <v>493</v>
      </c>
      <c r="E211" s="136"/>
      <c r="F211" s="333" t="s">
        <v>119</v>
      </c>
      <c r="G211" s="346" t="str">
        <f>Lbl_SubventionsAnterieures</f>
        <v>Soutiens financiers antérieurs obtenus directement ou indirectement au cours des trois années précédentes auprès d'une institution européenne ou organisme communautaire (s’il y a lieu)</v>
      </c>
      <c r="H211" s="347" t="str">
        <f>IF('Part I'!$M$73=1,"Yes","No")</f>
        <v>No</v>
      </c>
      <c r="I211" s="331" t="s">
        <v>604</v>
      </c>
      <c r="J211" s="348" t="s">
        <v>231</v>
      </c>
    </row>
    <row r="212" spans="1:10" ht="12.75">
      <c r="A212" s="57">
        <v>233</v>
      </c>
      <c r="B212" s="101" t="s">
        <v>1925</v>
      </c>
      <c r="C212" s="812"/>
      <c r="D212" s="135" t="s">
        <v>118</v>
      </c>
      <c r="E212" s="136">
        <v>10</v>
      </c>
      <c r="F212" s="340" t="s">
        <v>121</v>
      </c>
      <c r="G212" s="341" t="s">
        <v>1905</v>
      </c>
      <c r="H212" s="350"/>
      <c r="I212" s="331" t="s">
        <v>1906</v>
      </c>
      <c r="J212" s="332"/>
    </row>
    <row r="213" spans="1:10" ht="12.75">
      <c r="A213" s="57">
        <v>234</v>
      </c>
      <c r="B213" s="101" t="s">
        <v>1926</v>
      </c>
      <c r="C213" s="812"/>
      <c r="D213" s="135" t="s">
        <v>118</v>
      </c>
      <c r="E213" s="136">
        <v>50</v>
      </c>
      <c r="F213" s="333" t="s">
        <v>121</v>
      </c>
      <c r="G213" s="351" t="str">
        <f>Lbl_N_SOC</f>
        <v>N° du contrat</v>
      </c>
      <c r="H213" s="335">
        <f>IF(ISBLANK(Fld_N_SOC_3),"",Fld_N_SOC_3)</f>
      </c>
      <c r="I213" s="336"/>
      <c r="J213" s="352" t="s">
        <v>231</v>
      </c>
    </row>
    <row r="214" spans="1:10" ht="12.75">
      <c r="A214" s="57">
        <v>235</v>
      </c>
      <c r="B214" s="101" t="s">
        <v>1927</v>
      </c>
      <c r="C214" s="812"/>
      <c r="D214" s="135" t="s">
        <v>118</v>
      </c>
      <c r="E214" s="136">
        <v>50</v>
      </c>
      <c r="F214" s="333" t="s">
        <v>121</v>
      </c>
      <c r="G214" s="351" t="str">
        <f>Lbl_DG_Respons</f>
        <v>Direction générale responsable de la ligne budgétaire</v>
      </c>
      <c r="H214" s="335">
        <f>IF(ISBLANK(Fld_DG_6),"",Fld_DG_6)</f>
      </c>
      <c r="I214" s="336"/>
      <c r="J214" s="352" t="s">
        <v>231</v>
      </c>
    </row>
    <row r="215" spans="1:10" ht="12.75">
      <c r="A215" s="57">
        <v>236</v>
      </c>
      <c r="B215" s="101" t="s">
        <v>1928</v>
      </c>
      <c r="C215" s="812"/>
      <c r="D215" s="135" t="s">
        <v>118</v>
      </c>
      <c r="E215" s="136">
        <v>4</v>
      </c>
      <c r="F215" s="333" t="s">
        <v>121</v>
      </c>
      <c r="G215" s="351" t="str">
        <f>Lbl_Année</f>
        <v>Année</v>
      </c>
      <c r="H215" s="335">
        <f>IF(ISBLANK(Fld_Annee_3),"",Fld_Annee_3)</f>
      </c>
      <c r="I215" s="336"/>
      <c r="J215" s="352" t="s">
        <v>231</v>
      </c>
    </row>
    <row r="216" spans="1:10" ht="12.75">
      <c r="A216" s="57">
        <v>237</v>
      </c>
      <c r="B216" s="101" t="s">
        <v>1929</v>
      </c>
      <c r="C216" s="812"/>
      <c r="D216" s="135" t="s">
        <v>1345</v>
      </c>
      <c r="E216" s="136"/>
      <c r="F216" s="333" t="s">
        <v>121</v>
      </c>
      <c r="G216" s="351" t="str">
        <f>Lbl_Montant</f>
        <v>Montant (€)</v>
      </c>
      <c r="H216" s="335">
        <f>IF(ISBLANK(Fld_Montant_3),"",Fld_Montant_3)</f>
      </c>
      <c r="I216" s="336"/>
      <c r="J216" s="352" t="s">
        <v>231</v>
      </c>
    </row>
    <row r="217" spans="1:10" ht="12.75">
      <c r="A217" s="57">
        <v>238</v>
      </c>
      <c r="B217" s="101" t="s">
        <v>1930</v>
      </c>
      <c r="C217" s="812"/>
      <c r="D217" s="135" t="s">
        <v>118</v>
      </c>
      <c r="E217" s="136"/>
      <c r="F217" s="333" t="s">
        <v>121</v>
      </c>
      <c r="G217" s="351" t="str">
        <f>Lbl_Titre</f>
        <v>Titre</v>
      </c>
      <c r="H217" s="335">
        <f>IF(ISBLANK(Fld_Titre_3),"",Fld_Titre_3)</f>
      </c>
      <c r="I217" s="336"/>
      <c r="J217" s="352" t="s">
        <v>231</v>
      </c>
    </row>
    <row r="218" spans="1:10" ht="13.5" thickBot="1">
      <c r="A218" s="57">
        <v>239</v>
      </c>
      <c r="B218" s="101" t="s">
        <v>1934</v>
      </c>
      <c r="C218" s="812"/>
      <c r="D218" s="152" t="s">
        <v>118</v>
      </c>
      <c r="E218" s="153"/>
      <c r="F218" s="353" t="s">
        <v>121</v>
      </c>
      <c r="G218" s="354" t="s">
        <v>1325</v>
      </c>
      <c r="H218" s="356"/>
      <c r="I218" s="336"/>
      <c r="J218" s="332"/>
    </row>
    <row r="219" spans="1:10" ht="38.25">
      <c r="A219" s="57">
        <v>240</v>
      </c>
      <c r="B219" s="101" t="s">
        <v>1935</v>
      </c>
      <c r="C219" s="812"/>
      <c r="D219" s="135" t="s">
        <v>493</v>
      </c>
      <c r="E219" s="136"/>
      <c r="F219" s="333" t="s">
        <v>119</v>
      </c>
      <c r="G219" s="346" t="str">
        <f>Lbl_SubventionsAnterieures</f>
        <v>Soutiens financiers antérieurs obtenus directement ou indirectement au cours des trois années précédentes auprès d'une institution européenne ou organisme communautaire (s’il y a lieu)</v>
      </c>
      <c r="H219" s="347" t="str">
        <f>IF('Part I'!$M$74=1,"Yes","No")</f>
        <v>No</v>
      </c>
      <c r="I219" s="331" t="s">
        <v>604</v>
      </c>
      <c r="J219" s="348" t="s">
        <v>231</v>
      </c>
    </row>
    <row r="220" spans="1:10" ht="12.75">
      <c r="A220" s="57">
        <v>241</v>
      </c>
      <c r="B220" s="101" t="s">
        <v>1936</v>
      </c>
      <c r="C220" s="812"/>
      <c r="D220" s="135" t="s">
        <v>118</v>
      </c>
      <c r="E220" s="136">
        <v>10</v>
      </c>
      <c r="F220" s="340" t="s">
        <v>121</v>
      </c>
      <c r="G220" s="341" t="s">
        <v>1905</v>
      </c>
      <c r="H220" s="350"/>
      <c r="I220" s="331" t="s">
        <v>1906</v>
      </c>
      <c r="J220" s="332"/>
    </row>
    <row r="221" spans="1:10" ht="12.75">
      <c r="A221" s="57">
        <v>242</v>
      </c>
      <c r="B221" s="101" t="s">
        <v>680</v>
      </c>
      <c r="C221" s="812"/>
      <c r="D221" s="135" t="s">
        <v>118</v>
      </c>
      <c r="E221" s="136">
        <v>50</v>
      </c>
      <c r="F221" s="333" t="s">
        <v>121</v>
      </c>
      <c r="G221" s="351" t="str">
        <f>Lbl_N_SOC</f>
        <v>N° du contrat</v>
      </c>
      <c r="H221" s="335">
        <f>IF(ISBLANK(Fld_N_SOC_4),"",Fld_N_SOC_4)</f>
      </c>
      <c r="I221" s="336"/>
      <c r="J221" s="355" t="s">
        <v>231</v>
      </c>
    </row>
    <row r="222" spans="1:10" ht="12.75">
      <c r="A222" s="57">
        <v>243</v>
      </c>
      <c r="B222" s="101" t="s">
        <v>681</v>
      </c>
      <c r="C222" s="812"/>
      <c r="D222" s="135" t="s">
        <v>118</v>
      </c>
      <c r="E222" s="136">
        <v>50</v>
      </c>
      <c r="F222" s="333" t="s">
        <v>121</v>
      </c>
      <c r="G222" s="351" t="str">
        <f>Lbl_DG_Respons</f>
        <v>Direction générale responsable de la ligne budgétaire</v>
      </c>
      <c r="H222" s="335">
        <f>IF(ISBLANK(Fld_DG_7),"",Fld_DG_7)</f>
      </c>
      <c r="I222" s="336"/>
      <c r="J222" s="355" t="s">
        <v>231</v>
      </c>
    </row>
    <row r="223" spans="1:10" ht="12.75">
      <c r="A223" s="57">
        <v>244</v>
      </c>
      <c r="B223" s="101" t="s">
        <v>682</v>
      </c>
      <c r="C223" s="812"/>
      <c r="D223" s="135" t="s">
        <v>118</v>
      </c>
      <c r="E223" s="136">
        <v>4</v>
      </c>
      <c r="F223" s="333" t="s">
        <v>121</v>
      </c>
      <c r="G223" s="351" t="str">
        <f>Lbl_Année</f>
        <v>Année</v>
      </c>
      <c r="H223" s="335">
        <f>IF(ISBLANK(Fld_Annee_4),"",Fld_Annee_4)</f>
      </c>
      <c r="I223" s="336"/>
      <c r="J223" s="355" t="s">
        <v>231</v>
      </c>
    </row>
    <row r="224" spans="1:10" ht="12.75">
      <c r="A224" s="57">
        <v>245</v>
      </c>
      <c r="B224" s="101" t="s">
        <v>683</v>
      </c>
      <c r="C224" s="812"/>
      <c r="D224" s="135" t="s">
        <v>1345</v>
      </c>
      <c r="E224" s="136"/>
      <c r="F224" s="333" t="s">
        <v>121</v>
      </c>
      <c r="G224" s="351" t="str">
        <f>Lbl_Montant</f>
        <v>Montant (€)</v>
      </c>
      <c r="H224" s="335">
        <f>IF(ISBLANK(Fld_Montant_4),"",Fld_Montant_4)</f>
      </c>
      <c r="I224" s="336"/>
      <c r="J224" s="355" t="s">
        <v>231</v>
      </c>
    </row>
    <row r="225" spans="1:10" ht="12.75">
      <c r="A225" s="57">
        <v>246</v>
      </c>
      <c r="B225" s="101" t="s">
        <v>684</v>
      </c>
      <c r="C225" s="812"/>
      <c r="D225" s="135" t="s">
        <v>118</v>
      </c>
      <c r="E225" s="136"/>
      <c r="F225" s="333" t="s">
        <v>121</v>
      </c>
      <c r="G225" s="351" t="str">
        <f>Lbl_Titre</f>
        <v>Titre</v>
      </c>
      <c r="H225" s="335">
        <f>IF(ISBLANK(Fld_Titre_4),"",Fld_Titre_4)</f>
      </c>
      <c r="I225" s="336"/>
      <c r="J225" s="355" t="s">
        <v>231</v>
      </c>
    </row>
    <row r="226" spans="1:10" ht="13.5" thickBot="1">
      <c r="A226" s="57">
        <v>247</v>
      </c>
      <c r="B226" s="101" t="s">
        <v>685</v>
      </c>
      <c r="C226" s="812"/>
      <c r="D226" s="152" t="s">
        <v>118</v>
      </c>
      <c r="E226" s="153"/>
      <c r="F226" s="353" t="s">
        <v>121</v>
      </c>
      <c r="G226" s="354" t="s">
        <v>1325</v>
      </c>
      <c r="H226" s="356"/>
      <c r="I226" s="336"/>
      <c r="J226" s="332"/>
    </row>
    <row r="227" spans="1:10" ht="38.25">
      <c r="A227" s="57">
        <v>248</v>
      </c>
      <c r="B227" s="101" t="s">
        <v>813</v>
      </c>
      <c r="C227" s="812"/>
      <c r="D227" s="135" t="s">
        <v>493</v>
      </c>
      <c r="E227" s="136"/>
      <c r="F227" s="333" t="s">
        <v>119</v>
      </c>
      <c r="G227" s="346" t="str">
        <f>Lbl_SubventionsAnterieures</f>
        <v>Soutiens financiers antérieurs obtenus directement ou indirectement au cours des trois années précédentes auprès d'une institution européenne ou organisme communautaire (s’il y a lieu)</v>
      </c>
      <c r="H227" s="347" t="str">
        <f>IF('Part I'!$M$75=1,"Yes","No")</f>
        <v>No</v>
      </c>
      <c r="I227" s="331" t="s">
        <v>604</v>
      </c>
      <c r="J227" s="348" t="s">
        <v>231</v>
      </c>
    </row>
    <row r="228" spans="1:10" ht="12.75">
      <c r="A228" s="57">
        <v>249</v>
      </c>
      <c r="B228" s="101" t="s">
        <v>814</v>
      </c>
      <c r="C228" s="812"/>
      <c r="D228" s="135" t="s">
        <v>118</v>
      </c>
      <c r="E228" s="136">
        <v>10</v>
      </c>
      <c r="F228" s="340" t="s">
        <v>121</v>
      </c>
      <c r="G228" s="341" t="s">
        <v>1905</v>
      </c>
      <c r="H228" s="350"/>
      <c r="I228" s="331" t="s">
        <v>1906</v>
      </c>
      <c r="J228" s="332"/>
    </row>
    <row r="229" spans="1:10" ht="12.75">
      <c r="A229" s="57">
        <v>250</v>
      </c>
      <c r="B229" s="101" t="s">
        <v>815</v>
      </c>
      <c r="C229" s="812"/>
      <c r="D229" s="135" t="s">
        <v>118</v>
      </c>
      <c r="E229" s="136">
        <v>50</v>
      </c>
      <c r="F229" s="333" t="s">
        <v>121</v>
      </c>
      <c r="G229" s="351" t="str">
        <f>Lbl_N_SOC</f>
        <v>N° du contrat</v>
      </c>
      <c r="H229" s="335">
        <f>IF(ISBLANK(Fld_N_SOC_5),"",Fld_N_SOC_5)</f>
      </c>
      <c r="I229" s="336"/>
      <c r="J229" s="355" t="s">
        <v>231</v>
      </c>
    </row>
    <row r="230" spans="1:10" ht="12.75">
      <c r="A230" s="57">
        <v>251</v>
      </c>
      <c r="B230" s="101" t="s">
        <v>816</v>
      </c>
      <c r="C230" s="812"/>
      <c r="D230" s="135" t="s">
        <v>118</v>
      </c>
      <c r="E230" s="136">
        <v>50</v>
      </c>
      <c r="F230" s="333" t="s">
        <v>121</v>
      </c>
      <c r="G230" s="351" t="str">
        <f>Lbl_DG_Respons</f>
        <v>Direction générale responsable de la ligne budgétaire</v>
      </c>
      <c r="H230" s="335">
        <f>IF(ISBLANK(Fld_DG_8),"",Fld_DG_8)</f>
      </c>
      <c r="I230" s="336"/>
      <c r="J230" s="355" t="s">
        <v>231</v>
      </c>
    </row>
    <row r="231" spans="1:10" ht="12.75">
      <c r="A231" s="57">
        <v>252</v>
      </c>
      <c r="B231" s="101" t="s">
        <v>817</v>
      </c>
      <c r="C231" s="812"/>
      <c r="D231" s="135" t="s">
        <v>118</v>
      </c>
      <c r="E231" s="136">
        <v>4</v>
      </c>
      <c r="F231" s="333" t="s">
        <v>121</v>
      </c>
      <c r="G231" s="351" t="str">
        <f>Lbl_Année</f>
        <v>Année</v>
      </c>
      <c r="H231" s="335">
        <f>IF(ISBLANK(Fld_Annee_5),"",Fld_Annee_5)</f>
      </c>
      <c r="I231" s="336"/>
      <c r="J231" s="355" t="s">
        <v>231</v>
      </c>
    </row>
    <row r="232" spans="1:10" ht="12.75">
      <c r="A232" s="57">
        <v>253</v>
      </c>
      <c r="B232" s="101" t="s">
        <v>818</v>
      </c>
      <c r="C232" s="812"/>
      <c r="D232" s="135" t="s">
        <v>1345</v>
      </c>
      <c r="E232" s="136"/>
      <c r="F232" s="333" t="s">
        <v>121</v>
      </c>
      <c r="G232" s="351" t="str">
        <f>Lbl_Montant</f>
        <v>Montant (€)</v>
      </c>
      <c r="H232" s="335">
        <f>IF(ISBLANK(Fld_Montant_5),"",Fld_Montant_5)</f>
      </c>
      <c r="I232" s="336"/>
      <c r="J232" s="355" t="s">
        <v>231</v>
      </c>
    </row>
    <row r="233" spans="1:10" ht="12.75">
      <c r="A233" s="57">
        <v>254</v>
      </c>
      <c r="B233" s="101" t="s">
        <v>819</v>
      </c>
      <c r="C233" s="812"/>
      <c r="D233" s="135" t="s">
        <v>118</v>
      </c>
      <c r="E233" s="136"/>
      <c r="F233" s="333" t="s">
        <v>121</v>
      </c>
      <c r="G233" s="351" t="str">
        <f>Lbl_Titre</f>
        <v>Titre</v>
      </c>
      <c r="H233" s="335">
        <f>IF(ISBLANK(Fld_Titre_5),"",Fld_Titre_5)</f>
      </c>
      <c r="I233" s="336"/>
      <c r="J233" s="355" t="s">
        <v>231</v>
      </c>
    </row>
    <row r="234" spans="1:10" ht="13.5" thickBot="1">
      <c r="A234" s="57">
        <v>255</v>
      </c>
      <c r="B234" s="101" t="s">
        <v>820</v>
      </c>
      <c r="C234" s="812"/>
      <c r="D234" s="152" t="s">
        <v>118</v>
      </c>
      <c r="E234" s="153"/>
      <c r="F234" s="353" t="s">
        <v>121</v>
      </c>
      <c r="G234" s="354" t="s">
        <v>1325</v>
      </c>
      <c r="H234" s="356"/>
      <c r="I234" s="336"/>
      <c r="J234" s="332"/>
    </row>
    <row r="235" spans="1:10" ht="38.25">
      <c r="A235" s="57">
        <v>256</v>
      </c>
      <c r="B235" s="101" t="s">
        <v>821</v>
      </c>
      <c r="C235" s="812"/>
      <c r="D235" s="135" t="s">
        <v>493</v>
      </c>
      <c r="E235" s="136"/>
      <c r="F235" s="333" t="s">
        <v>119</v>
      </c>
      <c r="G235" s="346" t="str">
        <f>Lbl_SubventionsAnterieures</f>
        <v>Soutiens financiers antérieurs obtenus directement ou indirectement au cours des trois années précédentes auprès d'une institution européenne ou organisme communautaire (s’il y a lieu)</v>
      </c>
      <c r="H235" s="347" t="str">
        <f>IF('Part I'!$M$76=1,"Yes","No")</f>
        <v>No</v>
      </c>
      <c r="I235" s="331" t="s">
        <v>604</v>
      </c>
      <c r="J235" s="348" t="s">
        <v>231</v>
      </c>
    </row>
    <row r="236" spans="1:10" ht="12.75">
      <c r="A236" s="57">
        <v>257</v>
      </c>
      <c r="B236" s="101" t="s">
        <v>822</v>
      </c>
      <c r="C236" s="812"/>
      <c r="D236" s="135" t="s">
        <v>118</v>
      </c>
      <c r="E236" s="136">
        <v>10</v>
      </c>
      <c r="F236" s="340" t="s">
        <v>121</v>
      </c>
      <c r="G236" s="341" t="s">
        <v>1905</v>
      </c>
      <c r="H236" s="350"/>
      <c r="I236" s="331" t="s">
        <v>1906</v>
      </c>
      <c r="J236" s="332"/>
    </row>
    <row r="237" spans="1:10" ht="12.75">
      <c r="A237" s="57">
        <v>258</v>
      </c>
      <c r="B237" s="101" t="s">
        <v>871</v>
      </c>
      <c r="C237" s="812"/>
      <c r="D237" s="135" t="s">
        <v>118</v>
      </c>
      <c r="E237" s="136">
        <v>50</v>
      </c>
      <c r="F237" s="333" t="s">
        <v>121</v>
      </c>
      <c r="G237" s="351" t="str">
        <f>Lbl_N_SOC</f>
        <v>N° du contrat</v>
      </c>
      <c r="H237" s="335">
        <f>IF(ISBLANK(Fld_N_SOC_6),"",Fld_N_SOC_6)</f>
      </c>
      <c r="I237" s="336"/>
      <c r="J237" s="355" t="s">
        <v>231</v>
      </c>
    </row>
    <row r="238" spans="1:10" ht="12.75">
      <c r="A238" s="57">
        <v>259</v>
      </c>
      <c r="B238" s="101" t="s">
        <v>872</v>
      </c>
      <c r="C238" s="812"/>
      <c r="D238" s="135" t="s">
        <v>118</v>
      </c>
      <c r="E238" s="136">
        <v>50</v>
      </c>
      <c r="F238" s="333" t="s">
        <v>121</v>
      </c>
      <c r="G238" s="351" t="str">
        <f>Lbl_DG_Respons</f>
        <v>Direction générale responsable de la ligne budgétaire</v>
      </c>
      <c r="H238" s="335">
        <f>IF(ISBLANK(Fld_DG_9),"",Fld_DG_9)</f>
      </c>
      <c r="I238" s="336"/>
      <c r="J238" s="355" t="s">
        <v>231</v>
      </c>
    </row>
    <row r="239" spans="1:10" ht="12.75">
      <c r="A239" s="57">
        <v>260</v>
      </c>
      <c r="B239" s="101" t="s">
        <v>873</v>
      </c>
      <c r="C239" s="812"/>
      <c r="D239" s="135" t="s">
        <v>118</v>
      </c>
      <c r="E239" s="136">
        <v>4</v>
      </c>
      <c r="F239" s="333" t="s">
        <v>121</v>
      </c>
      <c r="G239" s="351" t="str">
        <f>Lbl_Année</f>
        <v>Année</v>
      </c>
      <c r="H239" s="335">
        <f>IF(ISBLANK(Fld_Annee_6),"",Fld_Annee_6)</f>
      </c>
      <c r="I239" s="336"/>
      <c r="J239" s="355" t="s">
        <v>231</v>
      </c>
    </row>
    <row r="240" spans="1:10" ht="12.75">
      <c r="A240" s="57">
        <v>261</v>
      </c>
      <c r="B240" s="101" t="s">
        <v>874</v>
      </c>
      <c r="C240" s="812"/>
      <c r="D240" s="135" t="s">
        <v>1345</v>
      </c>
      <c r="E240" s="136"/>
      <c r="F240" s="333" t="s">
        <v>121</v>
      </c>
      <c r="G240" s="351" t="str">
        <f>Lbl_Montant</f>
        <v>Montant (€)</v>
      </c>
      <c r="H240" s="335">
        <f>IF(ISBLANK(Fld_Montant_6),"",Fld_Montant_6)</f>
      </c>
      <c r="I240" s="336"/>
      <c r="J240" s="355" t="s">
        <v>231</v>
      </c>
    </row>
    <row r="241" spans="1:10" ht="12.75">
      <c r="A241" s="57">
        <v>262</v>
      </c>
      <c r="B241" s="101" t="s">
        <v>875</v>
      </c>
      <c r="C241" s="812"/>
      <c r="D241" s="135" t="s">
        <v>118</v>
      </c>
      <c r="E241" s="136"/>
      <c r="F241" s="333" t="s">
        <v>121</v>
      </c>
      <c r="G241" s="351" t="str">
        <f>Lbl_Titre</f>
        <v>Titre</v>
      </c>
      <c r="H241" s="335">
        <f>IF(ISBLANK(Fld_Titre_6),"",Fld_Titre_6)</f>
      </c>
      <c r="I241" s="336"/>
      <c r="J241" s="355" t="s">
        <v>231</v>
      </c>
    </row>
    <row r="242" spans="1:10" ht="13.5" thickBot="1">
      <c r="A242" s="57">
        <v>263</v>
      </c>
      <c r="B242" s="101" t="s">
        <v>876</v>
      </c>
      <c r="C242" s="812"/>
      <c r="D242" s="152" t="s">
        <v>118</v>
      </c>
      <c r="E242" s="153"/>
      <c r="F242" s="353" t="s">
        <v>121</v>
      </c>
      <c r="G242" s="354" t="s">
        <v>1325</v>
      </c>
      <c r="H242" s="356"/>
      <c r="I242" s="336"/>
      <c r="J242" s="332"/>
    </row>
    <row r="243" spans="1:10" ht="38.25">
      <c r="A243" s="57">
        <v>264</v>
      </c>
      <c r="B243" s="101" t="s">
        <v>877</v>
      </c>
      <c r="C243" s="812"/>
      <c r="D243" s="135" t="s">
        <v>493</v>
      </c>
      <c r="E243" s="136"/>
      <c r="F243" s="333" t="s">
        <v>119</v>
      </c>
      <c r="G243" s="346" t="str">
        <f>Lbl_SubventionsAnterieures</f>
        <v>Soutiens financiers antérieurs obtenus directement ou indirectement au cours des trois années précédentes auprès d'une institution européenne ou organisme communautaire (s’il y a lieu)</v>
      </c>
      <c r="H243" s="347" t="str">
        <f>IF('Part I'!$M$77=1,"Yes","No")</f>
        <v>No</v>
      </c>
      <c r="I243" s="331" t="s">
        <v>604</v>
      </c>
      <c r="J243" s="348" t="s">
        <v>231</v>
      </c>
    </row>
    <row r="244" spans="1:10" ht="12.75">
      <c r="A244" s="57">
        <v>265</v>
      </c>
      <c r="B244" s="101" t="s">
        <v>878</v>
      </c>
      <c r="C244" s="812"/>
      <c r="D244" s="135" t="s">
        <v>118</v>
      </c>
      <c r="E244" s="136">
        <v>10</v>
      </c>
      <c r="F244" s="340" t="s">
        <v>121</v>
      </c>
      <c r="G244" s="341" t="s">
        <v>1905</v>
      </c>
      <c r="H244" s="350"/>
      <c r="I244" s="331" t="s">
        <v>1906</v>
      </c>
      <c r="J244" s="332"/>
    </row>
    <row r="245" spans="1:10" ht="12.75">
      <c r="A245" s="57">
        <v>266</v>
      </c>
      <c r="B245" s="101" t="s">
        <v>879</v>
      </c>
      <c r="C245" s="812"/>
      <c r="D245" s="135" t="s">
        <v>118</v>
      </c>
      <c r="E245" s="136">
        <v>50</v>
      </c>
      <c r="F245" s="333" t="s">
        <v>121</v>
      </c>
      <c r="G245" s="351" t="str">
        <f>Lbl_N_SOC</f>
        <v>N° du contrat</v>
      </c>
      <c r="H245" s="335">
        <f>IF(ISBLANK(Fld_N_SOC_7),"",Fld_N_SOC_7)</f>
      </c>
      <c r="I245" s="336"/>
      <c r="J245" s="355" t="s">
        <v>231</v>
      </c>
    </row>
    <row r="246" spans="1:10" ht="12.75">
      <c r="A246" s="57">
        <v>267</v>
      </c>
      <c r="B246" s="101" t="s">
        <v>880</v>
      </c>
      <c r="C246" s="812"/>
      <c r="D246" s="135" t="s">
        <v>118</v>
      </c>
      <c r="E246" s="136">
        <v>50</v>
      </c>
      <c r="F246" s="333" t="s">
        <v>121</v>
      </c>
      <c r="G246" s="351" t="str">
        <f>Lbl_DG_Respons</f>
        <v>Direction générale responsable de la ligne budgétaire</v>
      </c>
      <c r="H246" s="335">
        <f>IF(ISBLANK(Fld_DG_0),"",Fld_DG_0)</f>
      </c>
      <c r="I246" s="336"/>
      <c r="J246" s="355" t="s">
        <v>231</v>
      </c>
    </row>
    <row r="247" spans="1:10" ht="12.75">
      <c r="A247" s="57">
        <v>268</v>
      </c>
      <c r="B247" s="101" t="s">
        <v>881</v>
      </c>
      <c r="C247" s="812"/>
      <c r="D247" s="135" t="s">
        <v>118</v>
      </c>
      <c r="E247" s="136">
        <v>4</v>
      </c>
      <c r="F247" s="333" t="s">
        <v>121</v>
      </c>
      <c r="G247" s="351" t="str">
        <f>Lbl_Année</f>
        <v>Année</v>
      </c>
      <c r="H247" s="335">
        <f>IF(ISBLANK(Fld_Annee_7),"",Fld_Annee_7)</f>
      </c>
      <c r="I247" s="336"/>
      <c r="J247" s="355" t="s">
        <v>231</v>
      </c>
    </row>
    <row r="248" spans="1:10" ht="12.75">
      <c r="A248" s="57">
        <v>269</v>
      </c>
      <c r="B248" s="101" t="s">
        <v>339</v>
      </c>
      <c r="C248" s="812"/>
      <c r="D248" s="135" t="s">
        <v>1345</v>
      </c>
      <c r="E248" s="136"/>
      <c r="F248" s="333" t="s">
        <v>121</v>
      </c>
      <c r="G248" s="351" t="str">
        <f>Lbl_Montant</f>
        <v>Montant (€)</v>
      </c>
      <c r="H248" s="335">
        <f>IF(ISBLANK(Fld_Montant_7),"",Fld_Montant_7)</f>
      </c>
      <c r="I248" s="336"/>
      <c r="J248" s="355" t="s">
        <v>231</v>
      </c>
    </row>
    <row r="249" spans="1:10" ht="12.75">
      <c r="A249" s="57">
        <v>270</v>
      </c>
      <c r="B249" s="101" t="s">
        <v>340</v>
      </c>
      <c r="C249" s="812"/>
      <c r="D249" s="135" t="s">
        <v>118</v>
      </c>
      <c r="E249" s="136"/>
      <c r="F249" s="333" t="s">
        <v>121</v>
      </c>
      <c r="G249" s="351" t="str">
        <f>Lbl_Titre</f>
        <v>Titre</v>
      </c>
      <c r="H249" s="335">
        <f>IF(ISBLANK(Fld_Titre_7),"",Fld_Titre_7)</f>
      </c>
      <c r="I249" s="336"/>
      <c r="J249" s="355" t="s">
        <v>231</v>
      </c>
    </row>
    <row r="250" spans="1:10" ht="13.5" thickBot="1">
      <c r="A250" s="57">
        <v>271</v>
      </c>
      <c r="B250" s="101" t="s">
        <v>341</v>
      </c>
      <c r="C250" s="812"/>
      <c r="D250" s="152" t="s">
        <v>118</v>
      </c>
      <c r="E250" s="153"/>
      <c r="F250" s="353" t="s">
        <v>121</v>
      </c>
      <c r="G250" s="354" t="s">
        <v>1325</v>
      </c>
      <c r="H250" s="356"/>
      <c r="I250" s="336"/>
      <c r="J250" s="332"/>
    </row>
    <row r="251" spans="1:10" ht="39">
      <c r="A251" s="57">
        <v>272</v>
      </c>
      <c r="B251" s="101" t="s">
        <v>342</v>
      </c>
      <c r="C251" s="812"/>
      <c r="D251" s="135" t="s">
        <v>493</v>
      </c>
      <c r="E251" s="136"/>
      <c r="F251" s="333" t="s">
        <v>119</v>
      </c>
      <c r="G251"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8" t="str">
        <f>IF('Part I'!$M$82=1,"Yes","No")</f>
        <v>No</v>
      </c>
      <c r="I251" s="331" t="s">
        <v>1419</v>
      </c>
      <c r="J251" s="348" t="s">
        <v>231</v>
      </c>
    </row>
    <row r="252" spans="1:10" ht="12.75">
      <c r="A252" s="57">
        <v>273</v>
      </c>
      <c r="B252" s="101" t="s">
        <v>343</v>
      </c>
      <c r="C252" s="812"/>
      <c r="D252" s="135" t="s">
        <v>118</v>
      </c>
      <c r="E252" s="136">
        <v>10</v>
      </c>
      <c r="F252" s="340" t="s">
        <v>121</v>
      </c>
      <c r="G252" s="341" t="s">
        <v>1905</v>
      </c>
      <c r="H252" s="342"/>
      <c r="I252" s="331" t="s">
        <v>1906</v>
      </c>
      <c r="J252" s="332"/>
    </row>
    <row r="253" spans="1:10" ht="12.75">
      <c r="A253" s="57">
        <v>274</v>
      </c>
      <c r="B253" s="101" t="s">
        <v>344</v>
      </c>
      <c r="C253" s="812"/>
      <c r="D253" s="135" t="s">
        <v>118</v>
      </c>
      <c r="E253" s="136">
        <v>50</v>
      </c>
      <c r="F253" s="340" t="s">
        <v>121</v>
      </c>
      <c r="G253" s="341" t="s">
        <v>1908</v>
      </c>
      <c r="H253" s="342"/>
      <c r="I253" s="336"/>
      <c r="J253" s="332"/>
    </row>
    <row r="254" spans="1:10" ht="12.75">
      <c r="A254" s="57">
        <v>275</v>
      </c>
      <c r="B254" s="101" t="s">
        <v>345</v>
      </c>
      <c r="C254" s="812"/>
      <c r="D254" s="135" t="s">
        <v>118</v>
      </c>
      <c r="E254" s="136">
        <v>50</v>
      </c>
      <c r="F254" s="333" t="s">
        <v>121</v>
      </c>
      <c r="G254" s="338" t="str">
        <f>Lbl_DG_Respons</f>
        <v>Direction générale responsable de la ligne budgétaire</v>
      </c>
      <c r="H254" s="335">
        <f>IF(ISBLANK(Fld_DG_1),"",Fld_DG_1)</f>
      </c>
      <c r="I254" s="336"/>
      <c r="J254" s="355" t="s">
        <v>231</v>
      </c>
    </row>
    <row r="255" spans="1:10" ht="12.75">
      <c r="A255" s="57">
        <v>276</v>
      </c>
      <c r="B255" s="101" t="s">
        <v>346</v>
      </c>
      <c r="C255" s="812"/>
      <c r="D255" s="135" t="s">
        <v>118</v>
      </c>
      <c r="E255" s="136">
        <v>4</v>
      </c>
      <c r="F255" s="340" t="s">
        <v>121</v>
      </c>
      <c r="G255" s="341" t="s">
        <v>1911</v>
      </c>
      <c r="H255" s="342"/>
      <c r="I255" s="336"/>
      <c r="J255" s="332"/>
    </row>
    <row r="256" spans="1:10" ht="12.75">
      <c r="A256" s="57">
        <v>277</v>
      </c>
      <c r="B256" s="101" t="s">
        <v>347</v>
      </c>
      <c r="C256" s="812"/>
      <c r="D256" s="135" t="s">
        <v>1345</v>
      </c>
      <c r="E256" s="136"/>
      <c r="F256" s="340" t="s">
        <v>121</v>
      </c>
      <c r="G256" s="341" t="s">
        <v>1913</v>
      </c>
      <c r="H256" s="342"/>
      <c r="I256" s="336"/>
      <c r="J256" s="332"/>
    </row>
    <row r="257" spans="1:10" ht="12.75">
      <c r="A257" s="57">
        <v>278</v>
      </c>
      <c r="B257" s="101" t="s">
        <v>348</v>
      </c>
      <c r="C257" s="812"/>
      <c r="D257" s="135" t="s">
        <v>118</v>
      </c>
      <c r="E257" s="136"/>
      <c r="F257" s="333" t="s">
        <v>121</v>
      </c>
      <c r="G257" s="351" t="str">
        <f>Lbl_Ref_Proj</f>
        <v>Titre et numéro de référence du projet</v>
      </c>
      <c r="H257" s="335">
        <f>IF(ISBLANK(Fld_TitreRef_1),"",Fld_TitreRef_1)</f>
      </c>
      <c r="I257" s="336"/>
      <c r="J257" s="355" t="s">
        <v>231</v>
      </c>
    </row>
    <row r="258" spans="1:10" ht="13.5" thickBot="1">
      <c r="A258" s="57">
        <v>279</v>
      </c>
      <c r="B258" s="101" t="s">
        <v>349</v>
      </c>
      <c r="C258" s="812"/>
      <c r="D258" s="152" t="s">
        <v>118</v>
      </c>
      <c r="E258" s="153"/>
      <c r="F258" s="353" t="s">
        <v>121</v>
      </c>
      <c r="G258" s="354" t="s">
        <v>1325</v>
      </c>
      <c r="H258" s="345"/>
      <c r="I258" s="336"/>
      <c r="J258" s="332"/>
    </row>
    <row r="259" spans="1:10" ht="39">
      <c r="A259" s="57">
        <v>280</v>
      </c>
      <c r="B259" s="101" t="s">
        <v>350</v>
      </c>
      <c r="C259" s="812"/>
      <c r="D259" s="135" t="s">
        <v>493</v>
      </c>
      <c r="E259" s="136"/>
      <c r="F259" s="333" t="s">
        <v>119</v>
      </c>
      <c r="G259"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8" t="str">
        <f>IF('Part I'!$M$83=1,"Yes","No")</f>
        <v>No</v>
      </c>
      <c r="I259" s="331" t="s">
        <v>1419</v>
      </c>
      <c r="J259" s="348" t="s">
        <v>231</v>
      </c>
    </row>
    <row r="260" spans="1:10" ht="12.75">
      <c r="A260" s="57">
        <v>281</v>
      </c>
      <c r="B260" s="101" t="s">
        <v>351</v>
      </c>
      <c r="C260" s="812"/>
      <c r="D260" s="135" t="s">
        <v>118</v>
      </c>
      <c r="E260" s="136">
        <v>10</v>
      </c>
      <c r="F260" s="340" t="s">
        <v>121</v>
      </c>
      <c r="G260" s="341" t="s">
        <v>1905</v>
      </c>
      <c r="H260" s="342"/>
      <c r="I260" s="331" t="s">
        <v>1906</v>
      </c>
      <c r="J260" s="332"/>
    </row>
    <row r="261" spans="1:10" ht="12.75">
      <c r="A261" s="57">
        <v>282</v>
      </c>
      <c r="B261" s="101" t="s">
        <v>352</v>
      </c>
      <c r="C261" s="812"/>
      <c r="D261" s="135" t="s">
        <v>118</v>
      </c>
      <c r="E261" s="136">
        <v>50</v>
      </c>
      <c r="F261" s="340" t="s">
        <v>121</v>
      </c>
      <c r="G261" s="341" t="s">
        <v>1908</v>
      </c>
      <c r="H261" s="342"/>
      <c r="I261" s="336"/>
      <c r="J261" s="332"/>
    </row>
    <row r="262" spans="1:10" ht="12.75">
      <c r="A262" s="57">
        <v>283</v>
      </c>
      <c r="B262" s="101" t="s">
        <v>353</v>
      </c>
      <c r="C262" s="812"/>
      <c r="D262" s="135" t="s">
        <v>118</v>
      </c>
      <c r="E262" s="136">
        <v>50</v>
      </c>
      <c r="F262" s="333" t="s">
        <v>121</v>
      </c>
      <c r="G262" s="338" t="str">
        <f>Lbl_DG_Respons</f>
        <v>Direction générale responsable de la ligne budgétaire</v>
      </c>
      <c r="H262" s="335">
        <f>IF(ISBLANK(Fld_DG_2),"",Fld_DG_2)</f>
      </c>
      <c r="I262" s="336"/>
      <c r="J262" s="355" t="s">
        <v>231</v>
      </c>
    </row>
    <row r="263" spans="1:10" ht="12.75">
      <c r="A263" s="57">
        <v>284</v>
      </c>
      <c r="B263" s="101" t="s">
        <v>354</v>
      </c>
      <c r="C263" s="812"/>
      <c r="D263" s="135" t="s">
        <v>118</v>
      </c>
      <c r="E263" s="136">
        <v>4</v>
      </c>
      <c r="F263" s="340" t="s">
        <v>121</v>
      </c>
      <c r="G263" s="341" t="s">
        <v>1911</v>
      </c>
      <c r="H263" s="342"/>
      <c r="I263" s="336"/>
      <c r="J263" s="332"/>
    </row>
    <row r="264" spans="1:10" ht="12.75">
      <c r="A264" s="57">
        <v>285</v>
      </c>
      <c r="B264" s="101" t="s">
        <v>355</v>
      </c>
      <c r="C264" s="812"/>
      <c r="D264" s="135" t="s">
        <v>1345</v>
      </c>
      <c r="E264" s="136"/>
      <c r="F264" s="340" t="s">
        <v>121</v>
      </c>
      <c r="G264" s="341" t="s">
        <v>1913</v>
      </c>
      <c r="H264" s="342"/>
      <c r="I264" s="336"/>
      <c r="J264" s="332"/>
    </row>
    <row r="265" spans="1:10" ht="12.75">
      <c r="A265" s="57">
        <v>286</v>
      </c>
      <c r="B265" s="101" t="s">
        <v>356</v>
      </c>
      <c r="C265" s="812"/>
      <c r="D265" s="135" t="s">
        <v>118</v>
      </c>
      <c r="E265" s="136"/>
      <c r="F265" s="333" t="s">
        <v>121</v>
      </c>
      <c r="G265" s="351" t="str">
        <f>Lbl_Ref_Proj</f>
        <v>Titre et numéro de référence du projet</v>
      </c>
      <c r="H265" s="335">
        <f>IF(ISBLANK(Fld_TitreRef_2),"",Fld_TitreRef_2)</f>
      </c>
      <c r="I265" s="336"/>
      <c r="J265" s="355" t="s">
        <v>231</v>
      </c>
    </row>
    <row r="266" spans="1:10" ht="13.5" thickBot="1">
      <c r="A266" s="57">
        <v>287</v>
      </c>
      <c r="B266" s="101" t="s">
        <v>357</v>
      </c>
      <c r="C266" s="812"/>
      <c r="D266" s="152" t="s">
        <v>118</v>
      </c>
      <c r="E266" s="153"/>
      <c r="F266" s="353" t="s">
        <v>121</v>
      </c>
      <c r="G266" s="354" t="s">
        <v>1325</v>
      </c>
      <c r="H266" s="356"/>
      <c r="I266" s="336"/>
      <c r="J266" s="332"/>
    </row>
    <row r="267" spans="1:10" ht="39">
      <c r="A267" s="57">
        <v>288</v>
      </c>
      <c r="B267" s="101" t="s">
        <v>358</v>
      </c>
      <c r="C267" s="812"/>
      <c r="D267" s="135" t="s">
        <v>493</v>
      </c>
      <c r="E267" s="136"/>
      <c r="F267" s="333" t="s">
        <v>119</v>
      </c>
      <c r="G267"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8" t="str">
        <f>IF('Part I'!$M$84=1,"Yes","No")</f>
        <v>No</v>
      </c>
      <c r="I267" s="331" t="s">
        <v>1419</v>
      </c>
      <c r="J267" s="348" t="s">
        <v>231</v>
      </c>
    </row>
    <row r="268" spans="1:10" ht="12.75">
      <c r="A268" s="57">
        <v>289</v>
      </c>
      <c r="B268" s="101" t="s">
        <v>359</v>
      </c>
      <c r="C268" s="812"/>
      <c r="D268" s="135" t="s">
        <v>118</v>
      </c>
      <c r="E268" s="136">
        <v>10</v>
      </c>
      <c r="F268" s="340" t="s">
        <v>121</v>
      </c>
      <c r="G268" s="341" t="s">
        <v>1905</v>
      </c>
      <c r="H268" s="342"/>
      <c r="I268" s="331" t="s">
        <v>1906</v>
      </c>
      <c r="J268" s="332"/>
    </row>
    <row r="269" spans="1:10" ht="12.75">
      <c r="A269" s="57">
        <v>290</v>
      </c>
      <c r="B269" s="101" t="s">
        <v>360</v>
      </c>
      <c r="C269" s="812"/>
      <c r="D269" s="135" t="s">
        <v>118</v>
      </c>
      <c r="E269" s="136">
        <v>50</v>
      </c>
      <c r="F269" s="340" t="s">
        <v>121</v>
      </c>
      <c r="G269" s="341" t="s">
        <v>1908</v>
      </c>
      <c r="H269" s="342"/>
      <c r="I269" s="336"/>
      <c r="J269" s="332"/>
    </row>
    <row r="270" spans="1:10" ht="12.75">
      <c r="A270" s="57">
        <v>291</v>
      </c>
      <c r="B270" s="101" t="s">
        <v>361</v>
      </c>
      <c r="C270" s="812"/>
      <c r="D270" s="135" t="s">
        <v>118</v>
      </c>
      <c r="E270" s="136">
        <v>50</v>
      </c>
      <c r="F270" s="333" t="s">
        <v>121</v>
      </c>
      <c r="G270" s="338" t="str">
        <f>Lbl_DG_Respons</f>
        <v>Direction générale responsable de la ligne budgétaire</v>
      </c>
      <c r="H270" s="335">
        <f>IF(ISBLANK(Fld_DG_3),"",Fld_DG_3)</f>
      </c>
      <c r="I270" s="336"/>
      <c r="J270" s="355" t="s">
        <v>231</v>
      </c>
    </row>
    <row r="271" spans="1:10" ht="12.75">
      <c r="A271" s="57">
        <v>292</v>
      </c>
      <c r="B271" s="101" t="s">
        <v>362</v>
      </c>
      <c r="C271" s="812"/>
      <c r="D271" s="135" t="s">
        <v>118</v>
      </c>
      <c r="E271" s="136">
        <v>4</v>
      </c>
      <c r="F271" s="340" t="s">
        <v>121</v>
      </c>
      <c r="G271" s="341" t="s">
        <v>1911</v>
      </c>
      <c r="H271" s="342"/>
      <c r="I271" s="336"/>
      <c r="J271" s="332"/>
    </row>
    <row r="272" spans="1:10" ht="12.75">
      <c r="A272" s="57">
        <v>293</v>
      </c>
      <c r="B272" s="101" t="s">
        <v>363</v>
      </c>
      <c r="C272" s="812"/>
      <c r="D272" s="135" t="s">
        <v>1345</v>
      </c>
      <c r="E272" s="136"/>
      <c r="F272" s="340" t="s">
        <v>121</v>
      </c>
      <c r="G272" s="341" t="s">
        <v>1913</v>
      </c>
      <c r="H272" s="342"/>
      <c r="I272" s="336"/>
      <c r="J272" s="359"/>
    </row>
    <row r="273" spans="1:10" ht="12.75">
      <c r="A273" s="57">
        <v>294</v>
      </c>
      <c r="B273" s="101" t="s">
        <v>364</v>
      </c>
      <c r="C273" s="812"/>
      <c r="D273" s="135" t="s">
        <v>118</v>
      </c>
      <c r="E273" s="136"/>
      <c r="F273" s="333" t="s">
        <v>121</v>
      </c>
      <c r="G273" s="351" t="str">
        <f>Lbl_Ref_Proj</f>
        <v>Titre et numéro de référence du projet</v>
      </c>
      <c r="H273" s="335">
        <f>IF(ISBLANK(Fld_TitreRef_3),"",Fld_TitreRef_3)</f>
      </c>
      <c r="I273" s="336"/>
      <c r="J273" s="355" t="s">
        <v>231</v>
      </c>
    </row>
    <row r="274" spans="1:10" ht="13.5" thickBot="1">
      <c r="A274" s="57">
        <v>295</v>
      </c>
      <c r="B274" s="101" t="s">
        <v>365</v>
      </c>
      <c r="C274" s="813"/>
      <c r="D274" s="143" t="s">
        <v>118</v>
      </c>
      <c r="E274" s="144"/>
      <c r="F274" s="343" t="s">
        <v>121</v>
      </c>
      <c r="G274" s="360" t="s">
        <v>1325</v>
      </c>
      <c r="H274" s="356"/>
      <c r="I274" s="336"/>
      <c r="J274" s="332"/>
    </row>
    <row r="275" spans="3:10" ht="12.75">
      <c r="C275" s="155"/>
      <c r="D275" s="155"/>
      <c r="E275" s="155"/>
      <c r="F275" s="155"/>
      <c r="G275" s="814" t="s">
        <v>366</v>
      </c>
      <c r="H275" s="156"/>
      <c r="J275" s="57"/>
    </row>
    <row r="276" spans="3:10" ht="13.5" thickBot="1">
      <c r="C276" s="157"/>
      <c r="D276" s="157"/>
      <c r="E276" s="157"/>
      <c r="F276" s="157"/>
      <c r="G276" s="815"/>
      <c r="H276" s="156"/>
      <c r="J276" s="57"/>
    </row>
    <row r="277" spans="1:11" ht="12.75" customHeight="1">
      <c r="A277" s="158"/>
      <c r="B277" s="159"/>
      <c r="C277" s="805" t="s">
        <v>367</v>
      </c>
      <c r="D277" s="225" t="s">
        <v>118</v>
      </c>
      <c r="E277" s="226">
        <v>20</v>
      </c>
      <c r="F277" s="226" t="s">
        <v>121</v>
      </c>
      <c r="G277" s="232" t="s">
        <v>368</v>
      </c>
      <c r="H277" s="215"/>
      <c r="I277" s="139" t="s">
        <v>772</v>
      </c>
      <c r="J277" s="169"/>
      <c r="K277" s="173">
        <v>0</v>
      </c>
    </row>
    <row r="278" spans="1:10" ht="12.75">
      <c r="A278" s="159"/>
      <c r="B278" s="159"/>
      <c r="C278" s="806"/>
      <c r="D278" s="227" t="s">
        <v>118</v>
      </c>
      <c r="E278" s="228">
        <v>80</v>
      </c>
      <c r="F278" s="228" t="s">
        <v>121</v>
      </c>
      <c r="G278" s="231" t="s">
        <v>369</v>
      </c>
      <c r="H278" s="216"/>
      <c r="J278" s="114"/>
    </row>
    <row r="279" spans="1:10" ht="12.75">
      <c r="A279" s="159"/>
      <c r="B279" s="159"/>
      <c r="C279" s="806"/>
      <c r="D279" s="227" t="s">
        <v>118</v>
      </c>
      <c r="E279" s="228">
        <v>50</v>
      </c>
      <c r="F279" s="228" t="s">
        <v>121</v>
      </c>
      <c r="G279" s="221" t="s">
        <v>1355</v>
      </c>
      <c r="H279" s="213"/>
      <c r="J279" s="114"/>
    </row>
    <row r="280" spans="1:10" ht="12.75">
      <c r="A280" s="159"/>
      <c r="B280" s="159"/>
      <c r="C280" s="806"/>
      <c r="D280" s="227" t="s">
        <v>118</v>
      </c>
      <c r="E280" s="228">
        <v>1</v>
      </c>
      <c r="F280" s="228" t="s">
        <v>121</v>
      </c>
      <c r="G280" s="231" t="s">
        <v>776</v>
      </c>
      <c r="H280" s="216"/>
      <c r="I280" s="139" t="s">
        <v>777</v>
      </c>
      <c r="J280" s="114"/>
    </row>
    <row r="281" spans="1:10" ht="12.75">
      <c r="A281" s="159"/>
      <c r="B281" s="159"/>
      <c r="C281" s="806"/>
      <c r="D281" s="227" t="s">
        <v>118</v>
      </c>
      <c r="E281" s="228">
        <v>3</v>
      </c>
      <c r="F281" s="228" t="s">
        <v>121</v>
      </c>
      <c r="G281" s="222" t="s">
        <v>370</v>
      </c>
      <c r="H281" s="213"/>
      <c r="I281" s="139" t="s">
        <v>688</v>
      </c>
      <c r="J281" s="114"/>
    </row>
    <row r="282" spans="1:10" ht="12.75">
      <c r="A282" s="159"/>
      <c r="B282" s="159"/>
      <c r="C282" s="806"/>
      <c r="D282" s="227" t="s">
        <v>118</v>
      </c>
      <c r="E282" s="228">
        <v>50</v>
      </c>
      <c r="F282" s="228" t="s">
        <v>121</v>
      </c>
      <c r="G282" s="221" t="s">
        <v>371</v>
      </c>
      <c r="H282" s="213"/>
      <c r="J282" s="114"/>
    </row>
    <row r="283" spans="1:10" ht="12.75">
      <c r="A283" s="159"/>
      <c r="B283" s="159"/>
      <c r="C283" s="806"/>
      <c r="D283" s="227" t="s">
        <v>118</v>
      </c>
      <c r="E283" s="228">
        <v>50</v>
      </c>
      <c r="F283" s="228" t="s">
        <v>121</v>
      </c>
      <c r="G283" s="222" t="s">
        <v>372</v>
      </c>
      <c r="H283" s="213"/>
      <c r="I283" s="139" t="s">
        <v>486</v>
      </c>
      <c r="J283" s="114"/>
    </row>
    <row r="284" spans="1:10" ht="12.75">
      <c r="A284" s="159"/>
      <c r="B284" s="159"/>
      <c r="C284" s="806"/>
      <c r="D284" s="227" t="s">
        <v>118</v>
      </c>
      <c r="E284" s="228">
        <v>2</v>
      </c>
      <c r="F284" s="228" t="s">
        <v>121</v>
      </c>
      <c r="G284" s="231" t="s">
        <v>373</v>
      </c>
      <c r="H284" s="216"/>
      <c r="I284" s="139" t="s">
        <v>488</v>
      </c>
      <c r="J284" s="114"/>
    </row>
    <row r="285" spans="1:10" ht="12.75">
      <c r="A285" s="159"/>
      <c r="B285" s="159"/>
      <c r="C285" s="806"/>
      <c r="D285" s="227" t="s">
        <v>118</v>
      </c>
      <c r="E285" s="228">
        <v>30</v>
      </c>
      <c r="F285" s="228" t="s">
        <v>121</v>
      </c>
      <c r="G285" s="222" t="s">
        <v>1356</v>
      </c>
      <c r="H285" s="213"/>
      <c r="J285" s="114"/>
    </row>
    <row r="286" spans="1:10" ht="12.75">
      <c r="A286" s="159"/>
      <c r="B286" s="159"/>
      <c r="C286" s="806"/>
      <c r="D286" s="227" t="s">
        <v>118</v>
      </c>
      <c r="E286" s="228">
        <v>30</v>
      </c>
      <c r="F286" s="228" t="s">
        <v>121</v>
      </c>
      <c r="G286" s="221" t="s">
        <v>466</v>
      </c>
      <c r="H286" s="213"/>
      <c r="J286" s="114"/>
    </row>
    <row r="287" spans="1:10" ht="12.75">
      <c r="A287" s="159"/>
      <c r="B287" s="159"/>
      <c r="C287" s="806"/>
      <c r="D287" s="227" t="s">
        <v>118</v>
      </c>
      <c r="E287" s="228">
        <v>100</v>
      </c>
      <c r="F287" s="228" t="s">
        <v>121</v>
      </c>
      <c r="G287" s="221" t="s">
        <v>467</v>
      </c>
      <c r="H287" s="213"/>
      <c r="J287" s="114"/>
    </row>
    <row r="288" spans="1:10" ht="12.75">
      <c r="A288" s="159"/>
      <c r="B288" s="159"/>
      <c r="C288" s="806"/>
      <c r="D288" s="227" t="s">
        <v>118</v>
      </c>
      <c r="E288" s="228">
        <v>255</v>
      </c>
      <c r="F288" s="228" t="s">
        <v>121</v>
      </c>
      <c r="G288" s="222" t="s">
        <v>374</v>
      </c>
      <c r="H288" s="213"/>
      <c r="J288" s="114"/>
    </row>
    <row r="289" spans="1:10" ht="12.75">
      <c r="A289" s="159"/>
      <c r="B289" s="159"/>
      <c r="C289" s="806"/>
      <c r="D289" s="227" t="s">
        <v>118</v>
      </c>
      <c r="E289" s="228">
        <v>20</v>
      </c>
      <c r="F289" s="228" t="s">
        <v>121</v>
      </c>
      <c r="G289" s="221" t="s">
        <v>375</v>
      </c>
      <c r="H289" s="213"/>
      <c r="J289" s="114"/>
    </row>
    <row r="290" spans="1:10" ht="12.75">
      <c r="A290" s="159"/>
      <c r="B290" s="159"/>
      <c r="C290" s="806"/>
      <c r="D290" s="227" t="s">
        <v>118</v>
      </c>
      <c r="E290" s="228">
        <v>8</v>
      </c>
      <c r="F290" s="228" t="s">
        <v>121</v>
      </c>
      <c r="G290" s="221" t="s">
        <v>376</v>
      </c>
      <c r="H290" s="213"/>
      <c r="I290" s="139" t="s">
        <v>609</v>
      </c>
      <c r="J290" s="114"/>
    </row>
    <row r="291" spans="1:10" ht="12.75">
      <c r="A291" s="159"/>
      <c r="B291" s="159"/>
      <c r="C291" s="806"/>
      <c r="D291" s="227" t="s">
        <v>118</v>
      </c>
      <c r="E291" s="228">
        <v>30</v>
      </c>
      <c r="F291" s="228" t="s">
        <v>121</v>
      </c>
      <c r="G291" s="221" t="s">
        <v>125</v>
      </c>
      <c r="H291" s="213"/>
      <c r="I291" s="139" t="s">
        <v>126</v>
      </c>
      <c r="J291" s="114"/>
    </row>
    <row r="292" spans="1:10" ht="12.75">
      <c r="A292" s="159"/>
      <c r="B292" s="159"/>
      <c r="C292" s="806"/>
      <c r="D292" s="227" t="s">
        <v>118</v>
      </c>
      <c r="E292" s="228">
        <v>50</v>
      </c>
      <c r="F292" s="228" t="s">
        <v>121</v>
      </c>
      <c r="G292" s="221" t="s">
        <v>128</v>
      </c>
      <c r="H292" s="213"/>
      <c r="J292" s="114"/>
    </row>
    <row r="293" spans="1:10" ht="12.75">
      <c r="A293" s="159"/>
      <c r="B293" s="159"/>
      <c r="C293" s="806"/>
      <c r="D293" s="227" t="s">
        <v>118</v>
      </c>
      <c r="E293" s="228">
        <v>50</v>
      </c>
      <c r="F293" s="228" t="s">
        <v>121</v>
      </c>
      <c r="G293" s="221" t="s">
        <v>130</v>
      </c>
      <c r="H293" s="213"/>
      <c r="J293" s="114"/>
    </row>
    <row r="294" spans="1:10" ht="12.75">
      <c r="A294" s="159"/>
      <c r="B294" s="159"/>
      <c r="C294" s="806"/>
      <c r="D294" s="227" t="s">
        <v>118</v>
      </c>
      <c r="E294" s="228">
        <v>100</v>
      </c>
      <c r="F294" s="228" t="s">
        <v>121</v>
      </c>
      <c r="G294" s="231" t="s">
        <v>472</v>
      </c>
      <c r="H294" s="216"/>
      <c r="J294" s="114"/>
    </row>
    <row r="295" spans="1:10" ht="12.75">
      <c r="A295" s="159"/>
      <c r="B295" s="159"/>
      <c r="C295" s="806"/>
      <c r="D295" s="227" t="s">
        <v>118</v>
      </c>
      <c r="E295" s="228">
        <v>100</v>
      </c>
      <c r="F295" s="228" t="s">
        <v>121</v>
      </c>
      <c r="G295" s="221" t="s">
        <v>468</v>
      </c>
      <c r="H295" s="213"/>
      <c r="J295" s="114"/>
    </row>
    <row r="296" spans="1:10" ht="12.75">
      <c r="A296" s="159"/>
      <c r="B296" s="159"/>
      <c r="C296" s="806"/>
      <c r="D296" s="227" t="s">
        <v>118</v>
      </c>
      <c r="E296" s="228">
        <v>50</v>
      </c>
      <c r="F296" s="228" t="s">
        <v>121</v>
      </c>
      <c r="G296" s="231" t="s">
        <v>377</v>
      </c>
      <c r="H296" s="216"/>
      <c r="J296" s="114"/>
    </row>
    <row r="297" spans="1:10" ht="12.75">
      <c r="A297" s="159"/>
      <c r="B297" s="159"/>
      <c r="C297" s="806"/>
      <c r="D297" s="227" t="s">
        <v>118</v>
      </c>
      <c r="E297" s="228">
        <v>50</v>
      </c>
      <c r="F297" s="228" t="s">
        <v>121</v>
      </c>
      <c r="G297" s="221" t="s">
        <v>378</v>
      </c>
      <c r="H297" s="213"/>
      <c r="J297" s="114"/>
    </row>
    <row r="298" spans="1:10" ht="12.75">
      <c r="A298" s="159"/>
      <c r="B298" s="159"/>
      <c r="C298" s="806"/>
      <c r="D298" s="227" t="s">
        <v>118</v>
      </c>
      <c r="E298" s="228">
        <v>20</v>
      </c>
      <c r="F298" s="228" t="s">
        <v>121</v>
      </c>
      <c r="G298" s="221" t="s">
        <v>379</v>
      </c>
      <c r="H298" s="213"/>
      <c r="J298" s="114"/>
    </row>
    <row r="299" spans="1:10" ht="12.75">
      <c r="A299" s="159"/>
      <c r="B299" s="159"/>
      <c r="C299" s="806"/>
      <c r="D299" s="227" t="s">
        <v>118</v>
      </c>
      <c r="E299" s="228">
        <v>3</v>
      </c>
      <c r="F299" s="228" t="s">
        <v>121</v>
      </c>
      <c r="G299" s="231" t="s">
        <v>380</v>
      </c>
      <c r="H299" s="216"/>
      <c r="J299" s="114"/>
    </row>
    <row r="300" spans="1:10" ht="12.75">
      <c r="A300" s="159"/>
      <c r="B300" s="159"/>
      <c r="C300" s="806"/>
      <c r="D300" s="227" t="s">
        <v>118</v>
      </c>
      <c r="E300" s="228">
        <v>30</v>
      </c>
      <c r="F300" s="228" t="s">
        <v>121</v>
      </c>
      <c r="G300" s="221" t="s">
        <v>469</v>
      </c>
      <c r="H300" s="213"/>
      <c r="J300" s="114"/>
    </row>
    <row r="301" spans="1:10" ht="12.75">
      <c r="A301" s="159"/>
      <c r="B301" s="159"/>
      <c r="C301" s="806"/>
      <c r="D301" s="227" t="s">
        <v>118</v>
      </c>
      <c r="E301" s="228">
        <v>30</v>
      </c>
      <c r="F301" s="228" t="s">
        <v>121</v>
      </c>
      <c r="G301" s="221" t="s">
        <v>470</v>
      </c>
      <c r="H301" s="213"/>
      <c r="J301" s="114"/>
    </row>
    <row r="302" spans="1:10" ht="12.75">
      <c r="A302" s="159"/>
      <c r="B302" s="159"/>
      <c r="C302" s="806"/>
      <c r="D302" s="227" t="s">
        <v>118</v>
      </c>
      <c r="E302" s="228">
        <v>100</v>
      </c>
      <c r="F302" s="228" t="s">
        <v>121</v>
      </c>
      <c r="G302" s="221" t="s">
        <v>600</v>
      </c>
      <c r="H302" s="213"/>
      <c r="J302" s="114"/>
    </row>
    <row r="303" spans="1:10" ht="13.5" thickBot="1">
      <c r="A303" s="159"/>
      <c r="B303" s="159"/>
      <c r="C303" s="807"/>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3" customWidth="1"/>
    <col min="2" max="2" width="44.7109375" style="463" customWidth="1"/>
    <col min="3" max="3" width="44.28125" style="463" customWidth="1"/>
    <col min="4" max="4" width="44.28125" style="471" customWidth="1"/>
    <col min="5" max="16384" width="40.7109375" style="463" hidden="1" customWidth="1"/>
  </cols>
  <sheetData>
    <row r="1" spans="1:7" ht="12">
      <c r="A1" s="463" t="str">
        <f>IF(Fld_Menu_DE&amp;"x"&lt;&gt;"x","DE",IF(Fld_Menu_EN&amp;"x"&lt;&gt;"x","EN","FR"))</f>
        <v>FR</v>
      </c>
      <c r="B1" s="464" t="s">
        <v>27</v>
      </c>
      <c r="C1" s="464" t="s">
        <v>28</v>
      </c>
      <c r="D1" s="465" t="s">
        <v>29</v>
      </c>
      <c r="F1" s="466"/>
      <c r="G1" s="466"/>
    </row>
    <row r="2" spans="1:7" ht="11.25">
      <c r="A2" s="463" t="str">
        <f aca="true" t="shared" si="0" ref="A2:A53">IF($A$1=$B$1,B2,IF($A$1=$C$1,C2,IF($A$1=$D$1,D2,"N/A")))</f>
        <v>Formulaire - Texte en …</v>
      </c>
      <c r="B2" s="463" t="s">
        <v>2003</v>
      </c>
      <c r="C2" s="467" t="s">
        <v>2002</v>
      </c>
      <c r="D2" s="468" t="s">
        <v>2001</v>
      </c>
      <c r="E2" s="469"/>
      <c r="F2" s="466"/>
      <c r="G2" s="466"/>
    </row>
    <row r="3" spans="1:7" ht="11.25">
      <c r="A3" s="463" t="str">
        <f t="shared" si="0"/>
        <v>Affichages du formulaire bancaire pour</v>
      </c>
      <c r="B3" s="463" t="s">
        <v>2006</v>
      </c>
      <c r="C3" s="463" t="s">
        <v>2005</v>
      </c>
      <c r="D3" s="470" t="s">
        <v>2004</v>
      </c>
      <c r="F3" s="466"/>
      <c r="G3" s="466"/>
    </row>
    <row r="4" spans="1:7" ht="11.25">
      <c r="A4" s="463" t="str">
        <f t="shared" si="0"/>
        <v>A - Autriche</v>
      </c>
      <c r="B4" s="463" t="s">
        <v>1101</v>
      </c>
      <c r="C4" s="463" t="s">
        <v>1553</v>
      </c>
      <c r="D4" s="471" t="s">
        <v>2007</v>
      </c>
      <c r="F4" s="466"/>
      <c r="G4" s="466"/>
    </row>
    <row r="5" spans="1:7" ht="11.25">
      <c r="A5" s="463" t="str">
        <f t="shared" si="0"/>
        <v>B - Belgique</v>
      </c>
      <c r="B5" s="463" t="s">
        <v>1102</v>
      </c>
      <c r="C5" s="463" t="s">
        <v>1554</v>
      </c>
      <c r="D5" s="471" t="s">
        <v>1279</v>
      </c>
      <c r="F5" s="466"/>
      <c r="G5" s="466"/>
    </row>
    <row r="6" spans="1:7" ht="11.25">
      <c r="A6" s="463" t="str">
        <f t="shared" si="0"/>
        <v>D - Allemagne</v>
      </c>
      <c r="B6" s="463" t="s">
        <v>1103</v>
      </c>
      <c r="C6" s="463" t="s">
        <v>1555</v>
      </c>
      <c r="D6" s="471" t="s">
        <v>1280</v>
      </c>
      <c r="F6" s="466"/>
      <c r="G6" s="466"/>
    </row>
    <row r="7" spans="1:7" ht="11.25">
      <c r="A7" s="463" t="str">
        <f t="shared" si="0"/>
        <v>DK - Danemark</v>
      </c>
      <c r="B7" s="463" t="s">
        <v>1104</v>
      </c>
      <c r="C7" s="463" t="s">
        <v>1556</v>
      </c>
      <c r="D7" s="471" t="s">
        <v>1281</v>
      </c>
      <c r="F7" s="466"/>
      <c r="G7" s="466"/>
    </row>
    <row r="8" spans="1:7" ht="11.25">
      <c r="A8" s="463" t="str">
        <f t="shared" si="0"/>
        <v>E - Espagne</v>
      </c>
      <c r="B8" s="463" t="s">
        <v>1105</v>
      </c>
      <c r="C8" s="463" t="s">
        <v>1557</v>
      </c>
      <c r="D8" s="471" t="s">
        <v>1282</v>
      </c>
      <c r="F8" s="466"/>
      <c r="G8" s="466"/>
    </row>
    <row r="9" spans="1:7" ht="11.25">
      <c r="A9" s="463" t="str">
        <f t="shared" si="0"/>
        <v>EL - Grèce</v>
      </c>
      <c r="B9" s="463" t="s">
        <v>1106</v>
      </c>
      <c r="C9" s="463" t="s">
        <v>1558</v>
      </c>
      <c r="D9" s="471" t="s">
        <v>1283</v>
      </c>
      <c r="F9" s="466"/>
      <c r="G9" s="466"/>
    </row>
    <row r="10" spans="1:7" ht="11.25">
      <c r="A10" s="463" t="str">
        <f t="shared" si="0"/>
        <v>F - France</v>
      </c>
      <c r="B10" s="463" t="s">
        <v>1107</v>
      </c>
      <c r="C10" s="463" t="s">
        <v>1284</v>
      </c>
      <c r="D10" s="471" t="s">
        <v>1284</v>
      </c>
      <c r="F10" s="466"/>
      <c r="G10" s="466"/>
    </row>
    <row r="11" spans="1:7" ht="11.25">
      <c r="A11" s="463" t="str">
        <f t="shared" si="0"/>
        <v>FIN - Finlande</v>
      </c>
      <c r="B11" s="463" t="s">
        <v>1108</v>
      </c>
      <c r="C11" s="463" t="s">
        <v>1559</v>
      </c>
      <c r="D11" s="471" t="s">
        <v>1285</v>
      </c>
      <c r="F11" s="466"/>
      <c r="G11" s="466"/>
    </row>
    <row r="12" spans="1:7" ht="11.25">
      <c r="A12" s="463" t="str">
        <f t="shared" si="0"/>
        <v>I - Italie</v>
      </c>
      <c r="B12" s="463" t="s">
        <v>1109</v>
      </c>
      <c r="C12" s="463" t="s">
        <v>1560</v>
      </c>
      <c r="D12" s="471" t="s">
        <v>1286</v>
      </c>
      <c r="F12" s="466"/>
      <c r="G12" s="466"/>
    </row>
    <row r="13" spans="1:7" ht="11.25">
      <c r="A13" s="463" t="str">
        <f t="shared" si="0"/>
        <v>IRL - Irlande</v>
      </c>
      <c r="B13" s="463" t="s">
        <v>1110</v>
      </c>
      <c r="C13" s="463" t="s">
        <v>1561</v>
      </c>
      <c r="D13" s="471" t="s">
        <v>1287</v>
      </c>
      <c r="F13" s="466"/>
      <c r="G13" s="466"/>
    </row>
    <row r="14" spans="1:7" ht="11.25">
      <c r="A14" s="463" t="str">
        <f t="shared" si="0"/>
        <v>L - Grand Duché de Luxembourg</v>
      </c>
      <c r="B14" s="463" t="s">
        <v>1111</v>
      </c>
      <c r="C14" s="463" t="s">
        <v>1562</v>
      </c>
      <c r="D14" s="471" t="s">
        <v>1288</v>
      </c>
      <c r="F14" s="466"/>
      <c r="G14" s="466"/>
    </row>
    <row r="15" spans="1:7" ht="11.25">
      <c r="A15" s="463" t="str">
        <f t="shared" si="0"/>
        <v>NL - Pays-Bas</v>
      </c>
      <c r="B15" s="463" t="s">
        <v>1112</v>
      </c>
      <c r="C15" s="463" t="s">
        <v>1563</v>
      </c>
      <c r="D15" s="471" t="s">
        <v>1289</v>
      </c>
      <c r="F15" s="466"/>
      <c r="G15" s="466"/>
    </row>
    <row r="16" spans="1:7" ht="11.25">
      <c r="A16" s="463" t="str">
        <f t="shared" si="0"/>
        <v>P - Portugal</v>
      </c>
      <c r="B16" s="463" t="s">
        <v>1290</v>
      </c>
      <c r="C16" s="463" t="s">
        <v>1290</v>
      </c>
      <c r="D16" s="471" t="s">
        <v>1290</v>
      </c>
      <c r="F16" s="466"/>
      <c r="G16" s="466"/>
    </row>
    <row r="17" spans="1:7" ht="11.25">
      <c r="A17" s="463" t="str">
        <f t="shared" si="0"/>
        <v>S - Suède</v>
      </c>
      <c r="B17" s="463" t="s">
        <v>1113</v>
      </c>
      <c r="C17" s="463" t="s">
        <v>1564</v>
      </c>
      <c r="D17" s="471" t="s">
        <v>1291</v>
      </c>
      <c r="F17" s="466"/>
      <c r="G17" s="466"/>
    </row>
    <row r="18" spans="1:7" ht="11.25">
      <c r="A18" s="463" t="str">
        <f t="shared" si="0"/>
        <v>UK - Royaume-Uni</v>
      </c>
      <c r="B18" s="463" t="s">
        <v>1114</v>
      </c>
      <c r="C18" s="463" t="s">
        <v>1565</v>
      </c>
      <c r="D18" s="471" t="s">
        <v>1292</v>
      </c>
      <c r="F18" s="466"/>
      <c r="G18" s="466"/>
    </row>
    <row r="19" spans="1:7" ht="11.25">
      <c r="A19" s="463" t="str">
        <f t="shared" si="0"/>
        <v>Autres</v>
      </c>
      <c r="B19" s="463" t="s">
        <v>1186</v>
      </c>
      <c r="C19" s="463" t="s">
        <v>1100</v>
      </c>
      <c r="D19" s="471" t="s">
        <v>1552</v>
      </c>
      <c r="F19" s="466"/>
      <c r="G19" s="466"/>
    </row>
    <row r="20" spans="1:7" ht="11.25">
      <c r="A20" s="463" t="str">
        <f t="shared" si="0"/>
        <v>FORMULAIRE DE DEMANDE 2002</v>
      </c>
      <c r="B20" s="463" t="s">
        <v>732</v>
      </c>
      <c r="C20" s="463" t="s">
        <v>733</v>
      </c>
      <c r="D20" s="471" t="s">
        <v>734</v>
      </c>
      <c r="F20" s="466"/>
      <c r="G20" s="466"/>
    </row>
    <row r="21" spans="1:7" ht="11.25">
      <c r="A21" s="463" t="str">
        <f t="shared" si="0"/>
        <v>PROGRAMME D'ÉCHANGE TRANSNATIONAL - PHASE I</v>
      </c>
      <c r="B21" s="463" t="s">
        <v>933</v>
      </c>
      <c r="C21" s="463" t="s">
        <v>735</v>
      </c>
      <c r="D21" s="471" t="s">
        <v>736</v>
      </c>
      <c r="F21" s="466"/>
      <c r="G21" s="466"/>
    </row>
    <row r="22" spans="1:7" ht="11.25">
      <c r="A22" s="463" t="str">
        <f t="shared" si="0"/>
        <v>LIGNE BUDGETAIRE</v>
      </c>
      <c r="B22" s="463" t="s">
        <v>901</v>
      </c>
      <c r="C22" s="463" t="s">
        <v>934</v>
      </c>
      <c r="D22" s="471" t="s">
        <v>902</v>
      </c>
      <c r="F22" s="466"/>
      <c r="G22" s="466"/>
    </row>
    <row r="23" spans="1:7" ht="11.25">
      <c r="A23" s="463" t="str">
        <f t="shared" si="0"/>
        <v>Informations générales</v>
      </c>
      <c r="B23" s="463" t="s">
        <v>1967</v>
      </c>
      <c r="C23" s="463" t="s">
        <v>1968</v>
      </c>
      <c r="D23" s="471" t="s">
        <v>30</v>
      </c>
      <c r="F23" s="466"/>
      <c r="G23" s="466"/>
    </row>
    <row r="24" spans="1:7" ht="11.25">
      <c r="A24" s="463" t="str">
        <f t="shared" si="0"/>
        <v>Organisme demandeur</v>
      </c>
      <c r="B24" s="463" t="s">
        <v>1985</v>
      </c>
      <c r="C24" s="463" t="s">
        <v>1089</v>
      </c>
      <c r="D24" s="471" t="s">
        <v>41</v>
      </c>
      <c r="F24" s="466"/>
      <c r="G24" s="466"/>
    </row>
    <row r="25" spans="1:7" ht="11.25">
      <c r="A25" s="463" t="str">
        <f t="shared" si="0"/>
        <v>Abréviation</v>
      </c>
      <c r="B25" s="463" t="s">
        <v>904</v>
      </c>
      <c r="C25" s="463" t="s">
        <v>763</v>
      </c>
      <c r="D25" s="471" t="s">
        <v>1931</v>
      </c>
      <c r="F25" s="466"/>
      <c r="G25" s="466"/>
    </row>
    <row r="26" spans="1:7" ht="11.25">
      <c r="A26" s="463" t="str">
        <f t="shared" si="0"/>
        <v>Nom ou raison sociale</v>
      </c>
      <c r="B26" s="463" t="s">
        <v>1987</v>
      </c>
      <c r="C26" s="463" t="s">
        <v>764</v>
      </c>
      <c r="D26" s="471" t="s">
        <v>31</v>
      </c>
      <c r="F26" s="466"/>
      <c r="G26" s="466"/>
    </row>
    <row r="27" spans="1:7" ht="11.25">
      <c r="A27" s="463" t="str">
        <f t="shared" si="0"/>
        <v>Statut légal</v>
      </c>
      <c r="B27" s="463" t="s">
        <v>1986</v>
      </c>
      <c r="C27" s="463" t="s">
        <v>1969</v>
      </c>
      <c r="D27" s="471" t="s">
        <v>32</v>
      </c>
      <c r="F27" s="466"/>
      <c r="G27" s="466"/>
    </row>
    <row r="28" spans="1:7" ht="11.25">
      <c r="A28" s="463" t="str">
        <f t="shared" si="0"/>
        <v>Adresse</v>
      </c>
      <c r="B28" s="463" t="s">
        <v>1988</v>
      </c>
      <c r="C28" s="463" t="s">
        <v>1970</v>
      </c>
      <c r="D28" s="471" t="s">
        <v>33</v>
      </c>
      <c r="F28" s="466"/>
      <c r="G28" s="466"/>
    </row>
    <row r="29" spans="1:7" ht="11.25">
      <c r="A29" s="463" t="str">
        <f t="shared" si="0"/>
        <v>Code postal</v>
      </c>
      <c r="B29" s="463" t="s">
        <v>1537</v>
      </c>
      <c r="C29" s="463" t="s">
        <v>1091</v>
      </c>
      <c r="D29" s="471" t="s">
        <v>1536</v>
      </c>
      <c r="F29" s="466"/>
      <c r="G29" s="466"/>
    </row>
    <row r="30" spans="1:7" ht="11.25">
      <c r="A30" s="463" t="str">
        <f t="shared" si="0"/>
        <v>Ville</v>
      </c>
      <c r="B30" s="463" t="s">
        <v>1351</v>
      </c>
      <c r="C30" s="463" t="s">
        <v>1049</v>
      </c>
      <c r="D30" s="471" t="s">
        <v>1794</v>
      </c>
      <c r="F30" s="466"/>
      <c r="G30" s="466"/>
    </row>
    <row r="31" spans="1:7" ht="11.25">
      <c r="A31" s="463" t="str">
        <f t="shared" si="0"/>
        <v>Pays</v>
      </c>
      <c r="B31" s="463" t="s">
        <v>1989</v>
      </c>
      <c r="C31" s="463" t="s">
        <v>1971</v>
      </c>
      <c r="D31" s="471" t="s">
        <v>34</v>
      </c>
      <c r="F31" s="466"/>
      <c r="G31" s="466"/>
    </row>
    <row r="32" spans="1:7" ht="11.25">
      <c r="A32" s="463" t="str">
        <f t="shared" si="0"/>
        <v>Téléphone</v>
      </c>
      <c r="B32" s="463" t="s">
        <v>1990</v>
      </c>
      <c r="C32" s="463" t="s">
        <v>1092</v>
      </c>
      <c r="D32" s="471" t="s">
        <v>35</v>
      </c>
      <c r="F32" s="466"/>
      <c r="G32" s="466"/>
    </row>
    <row r="33" spans="1:7" ht="11.25">
      <c r="A33" s="463" t="str">
        <f t="shared" si="0"/>
        <v>Télécopieur</v>
      </c>
      <c r="B33" s="463" t="s">
        <v>1991</v>
      </c>
      <c r="C33" s="463" t="s">
        <v>1972</v>
      </c>
      <c r="D33" s="471" t="s">
        <v>36</v>
      </c>
      <c r="F33" s="466"/>
      <c r="G33" s="466"/>
    </row>
    <row r="34" spans="1:7" ht="11.25">
      <c r="A34" s="463" t="str">
        <f t="shared" si="0"/>
        <v>E-mail</v>
      </c>
      <c r="B34" s="463" t="s">
        <v>37</v>
      </c>
      <c r="C34" s="463" t="s">
        <v>1973</v>
      </c>
      <c r="D34" s="471" t="s">
        <v>37</v>
      </c>
      <c r="F34" s="466"/>
      <c r="G34" s="466"/>
    </row>
    <row r="35" spans="1:7" ht="11.25">
      <c r="A35" s="463" t="str">
        <f t="shared" si="0"/>
        <v>N. d'enregistrement légal</v>
      </c>
      <c r="B35" s="463" t="s">
        <v>1992</v>
      </c>
      <c r="C35" s="463" t="s">
        <v>1093</v>
      </c>
      <c r="D35" s="471" t="s">
        <v>38</v>
      </c>
      <c r="F35" s="466"/>
      <c r="G35" s="466"/>
    </row>
    <row r="36" spans="1:7" ht="11.25">
      <c r="A36" s="463" t="str">
        <f t="shared" si="0"/>
        <v>N. TVA</v>
      </c>
      <c r="B36" s="463" t="s">
        <v>1993</v>
      </c>
      <c r="C36" s="463" t="s">
        <v>1094</v>
      </c>
      <c r="D36" s="471" t="s">
        <v>39</v>
      </c>
      <c r="F36" s="466"/>
      <c r="G36" s="466"/>
    </row>
    <row r="37" spans="1:7" ht="11.25">
      <c r="A37" s="463" t="str">
        <f t="shared" si="0"/>
        <v>Représentant légal</v>
      </c>
      <c r="B37" s="463" t="s">
        <v>1994</v>
      </c>
      <c r="C37" s="463" t="s">
        <v>1095</v>
      </c>
      <c r="D37" s="471" t="s">
        <v>1974</v>
      </c>
      <c r="F37" s="466"/>
      <c r="G37" s="466"/>
    </row>
    <row r="38" spans="1:7" ht="11.25">
      <c r="A38" s="463" t="str">
        <f t="shared" si="0"/>
        <v>Titre, Nom, Prénom</v>
      </c>
      <c r="B38" s="463" t="s">
        <v>1764</v>
      </c>
      <c r="C38" s="463" t="s">
        <v>1765</v>
      </c>
      <c r="D38" s="471" t="s">
        <v>1766</v>
      </c>
      <c r="F38" s="466"/>
      <c r="G38" s="466"/>
    </row>
    <row r="39" spans="1:7" ht="11.25">
      <c r="A39" s="463" t="str">
        <f t="shared" si="0"/>
        <v>Prénom</v>
      </c>
      <c r="B39" s="463" t="s">
        <v>1995</v>
      </c>
      <c r="C39" s="463" t="s">
        <v>1096</v>
      </c>
      <c r="D39" s="471" t="s">
        <v>1975</v>
      </c>
      <c r="F39" s="466"/>
      <c r="G39" s="466"/>
    </row>
    <row r="40" spans="1:7" ht="11.25">
      <c r="A40" s="463" t="str">
        <f t="shared" si="0"/>
        <v>Fonction</v>
      </c>
      <c r="B40" s="463" t="s">
        <v>1996</v>
      </c>
      <c r="C40" s="463" t="s">
        <v>1572</v>
      </c>
      <c r="D40" s="471" t="s">
        <v>1976</v>
      </c>
      <c r="F40" s="466"/>
      <c r="G40" s="466"/>
    </row>
    <row r="41" spans="1:7" ht="11.25">
      <c r="A41" s="463" t="str">
        <f t="shared" si="0"/>
        <v>Responsable du projet</v>
      </c>
      <c r="B41" s="463" t="s">
        <v>1997</v>
      </c>
      <c r="C41" s="463" t="s">
        <v>1573</v>
      </c>
      <c r="D41" s="471" t="s">
        <v>1977</v>
      </c>
      <c r="F41" s="466"/>
      <c r="G41" s="466"/>
    </row>
    <row r="42" spans="1:7" ht="11.25">
      <c r="A42" s="463" t="str">
        <f t="shared" si="0"/>
        <v>Sous-traitance prévue</v>
      </c>
      <c r="B42" s="463" t="s">
        <v>1998</v>
      </c>
      <c r="C42" s="463" t="s">
        <v>1574</v>
      </c>
      <c r="D42" s="471" t="s">
        <v>1978</v>
      </c>
      <c r="F42" s="466"/>
      <c r="G42" s="466"/>
    </row>
    <row r="43" spans="1:7" ht="11.25">
      <c r="A43" s="463" t="str">
        <f t="shared" si="0"/>
        <v>Données bancaires</v>
      </c>
      <c r="B43" s="463" t="s">
        <v>1999</v>
      </c>
      <c r="C43" s="463" t="s">
        <v>1575</v>
      </c>
      <c r="D43" s="471" t="s">
        <v>1979</v>
      </c>
      <c r="F43" s="466"/>
      <c r="G43" s="466"/>
    </row>
    <row r="44" spans="1:7" ht="22.5">
      <c r="A44" s="463" t="str">
        <f t="shared" si="0"/>
        <v>Voir le 'signalétique financier' (relevé bancaire) à la fin de la Partie I</v>
      </c>
      <c r="B44" s="463" t="s">
        <v>935</v>
      </c>
      <c r="C44" s="463" t="s">
        <v>710</v>
      </c>
      <c r="D44" s="471" t="s">
        <v>709</v>
      </c>
      <c r="F44" s="466"/>
      <c r="G44" s="466"/>
    </row>
    <row r="45" spans="1:7" ht="11.25">
      <c r="A45" s="463" t="str">
        <f t="shared" si="0"/>
        <v>Langue de correspondance</v>
      </c>
      <c r="B45" s="463" t="s">
        <v>2000</v>
      </c>
      <c r="C45" s="463" t="s">
        <v>522</v>
      </c>
      <c r="D45" s="471" t="s">
        <v>1980</v>
      </c>
      <c r="F45" s="466"/>
      <c r="G45" s="466"/>
    </row>
    <row r="46" spans="1:7" ht="11.25">
      <c r="A46" s="463" t="str">
        <f t="shared" si="0"/>
        <v>Allemand</v>
      </c>
      <c r="B46" s="463" t="s">
        <v>1187</v>
      </c>
      <c r="C46" s="463" t="s">
        <v>1576</v>
      </c>
      <c r="D46" s="471" t="s">
        <v>688</v>
      </c>
      <c r="F46" s="466"/>
      <c r="G46" s="466"/>
    </row>
    <row r="47" spans="1:7" ht="11.25">
      <c r="A47" s="463" t="str">
        <f t="shared" si="0"/>
        <v>Anglais</v>
      </c>
      <c r="B47" s="463" t="s">
        <v>2117</v>
      </c>
      <c r="C47" s="463" t="s">
        <v>1188</v>
      </c>
      <c r="D47" s="471" t="s">
        <v>689</v>
      </c>
      <c r="F47" s="466"/>
      <c r="G47" s="466"/>
    </row>
    <row r="48" spans="1:7" ht="11.25">
      <c r="A48" s="463" t="str">
        <f t="shared" si="0"/>
        <v>Français</v>
      </c>
      <c r="B48" s="463" t="s">
        <v>1376</v>
      </c>
      <c r="C48" s="463" t="s">
        <v>1577</v>
      </c>
      <c r="D48" s="471" t="s">
        <v>1189</v>
      </c>
      <c r="F48" s="466"/>
      <c r="G48" s="466"/>
    </row>
    <row r="49" spans="1:7" ht="11.25">
      <c r="A49" s="463" t="str">
        <f t="shared" si="0"/>
        <v>Caractéristiques de l'activité proposée</v>
      </c>
      <c r="B49" s="472" t="s">
        <v>1584</v>
      </c>
      <c r="C49" s="472" t="s">
        <v>823</v>
      </c>
      <c r="D49" s="473" t="s">
        <v>1585</v>
      </c>
      <c r="F49" s="466"/>
      <c r="G49" s="466"/>
    </row>
    <row r="50" spans="1:7" ht="11.25">
      <c r="A50" s="463" t="str">
        <f t="shared" si="0"/>
        <v>Partenaires impliqués dans les activités</v>
      </c>
      <c r="B50" s="463" t="s">
        <v>1039</v>
      </c>
      <c r="C50" s="463" t="s">
        <v>1038</v>
      </c>
      <c r="D50" s="471" t="s">
        <v>1037</v>
      </c>
      <c r="F50" s="466"/>
      <c r="G50" s="466"/>
    </row>
    <row r="51" spans="1:7" ht="22.5">
      <c r="A51" s="463" t="str">
        <f t="shared" si="0"/>
        <v>Une lettre d'engagement de la part des partenaires est à joindre IMPERATIVEMENT</v>
      </c>
      <c r="B51" s="463" t="s">
        <v>936</v>
      </c>
      <c r="C51" s="463" t="s">
        <v>1578</v>
      </c>
      <c r="D51" s="471" t="s">
        <v>690</v>
      </c>
      <c r="F51" s="466"/>
      <c r="G51" s="466"/>
    </row>
    <row r="52" spans="1:7" ht="11.25">
      <c r="A52" s="463" t="str">
        <f t="shared" si="0"/>
        <v>Nom Organisme</v>
      </c>
      <c r="B52" s="463" t="s">
        <v>1586</v>
      </c>
      <c r="C52" s="463" t="s">
        <v>1579</v>
      </c>
      <c r="D52" s="471" t="s">
        <v>691</v>
      </c>
      <c r="F52" s="466"/>
      <c r="G52" s="466"/>
    </row>
    <row r="53" spans="1:7" ht="11.25">
      <c r="A53" s="463" t="str">
        <f t="shared" si="0"/>
        <v>Responsable</v>
      </c>
      <c r="B53" s="463" t="s">
        <v>1587</v>
      </c>
      <c r="C53" s="463" t="s">
        <v>1580</v>
      </c>
      <c r="D53" s="471" t="s">
        <v>692</v>
      </c>
      <c r="F53" s="466"/>
      <c r="G53" s="466"/>
    </row>
    <row r="54" spans="1:7" ht="11.25">
      <c r="A54" s="463" t="str">
        <f aca="true" t="shared" si="1" ref="A54:A78">IF($A$1=$B$1,B54,IF($A$1=$C$1,C54,IF($A$1=$D$1,D54,"N/A")))</f>
        <v>Lieu (Pays)</v>
      </c>
      <c r="B54" s="463" t="s">
        <v>1588</v>
      </c>
      <c r="C54" s="463" t="s">
        <v>1581</v>
      </c>
      <c r="D54" s="471" t="s">
        <v>693</v>
      </c>
      <c r="F54" s="466"/>
      <c r="G54" s="466"/>
    </row>
    <row r="55" spans="1:7" ht="11.25">
      <c r="A55" s="463" t="str">
        <f t="shared" si="1"/>
        <v>Titre du projet</v>
      </c>
      <c r="B55" s="463" t="s">
        <v>1589</v>
      </c>
      <c r="C55" s="463" t="s">
        <v>1582</v>
      </c>
      <c r="D55" s="471" t="s">
        <v>694</v>
      </c>
      <c r="F55" s="466"/>
      <c r="G55" s="466"/>
    </row>
    <row r="56" spans="1:7" ht="22.5">
      <c r="A56" s="463" t="str">
        <f t="shared" si="1"/>
        <v>Une description détaillée doit nécessairement être annexée: voir notice explicative</v>
      </c>
      <c r="B56" s="463" t="s">
        <v>937</v>
      </c>
      <c r="C56" s="463" t="s">
        <v>1606</v>
      </c>
      <c r="D56" s="471" t="s">
        <v>695</v>
      </c>
      <c r="F56" s="466"/>
      <c r="G56" s="466"/>
    </row>
    <row r="57" spans="1:7" ht="11.25">
      <c r="A57" s="463" t="str">
        <f t="shared" si="1"/>
        <v>Type d'activités</v>
      </c>
      <c r="B57" s="463" t="s">
        <v>1040</v>
      </c>
      <c r="C57" s="463" t="s">
        <v>1041</v>
      </c>
      <c r="D57" s="471" t="s">
        <v>1042</v>
      </c>
      <c r="F57" s="466"/>
      <c r="G57" s="466"/>
    </row>
    <row r="58" spans="1:7" ht="11.25">
      <c r="A58" s="463" t="str">
        <f t="shared" si="1"/>
        <v>Date(s), lieu(x) et forme(s) des évènements</v>
      </c>
      <c r="B58" s="463" t="s">
        <v>1350</v>
      </c>
      <c r="C58" s="463" t="s">
        <v>1607</v>
      </c>
      <c r="D58" s="471" t="s">
        <v>696</v>
      </c>
      <c r="F58" s="466"/>
      <c r="G58" s="466"/>
    </row>
    <row r="59" spans="1:7" ht="11.25">
      <c r="A59" s="463" t="str">
        <f t="shared" si="1"/>
        <v>Durée des activités</v>
      </c>
      <c r="B59" s="463" t="s">
        <v>1045</v>
      </c>
      <c r="C59" s="463" t="s">
        <v>1044</v>
      </c>
      <c r="D59" s="471" t="s">
        <v>1043</v>
      </c>
      <c r="F59" s="466"/>
      <c r="G59" s="466"/>
    </row>
    <row r="60" spans="1:7" ht="11.25">
      <c r="A60" s="463" t="str">
        <f t="shared" si="1"/>
        <v>du</v>
      </c>
      <c r="B60" s="463" t="s">
        <v>1349</v>
      </c>
      <c r="C60" s="463" t="s">
        <v>1608</v>
      </c>
      <c r="D60" s="471" t="s">
        <v>697</v>
      </c>
      <c r="F60" s="466"/>
      <c r="G60" s="466"/>
    </row>
    <row r="61" spans="1:7" ht="11.25">
      <c r="A61" s="463" t="str">
        <f t="shared" si="1"/>
        <v>au</v>
      </c>
      <c r="B61" s="463" t="s">
        <v>938</v>
      </c>
      <c r="C61" s="463" t="s">
        <v>1609</v>
      </c>
      <c r="D61" s="471" t="s">
        <v>698</v>
      </c>
      <c r="F61" s="466"/>
      <c r="G61" s="466"/>
    </row>
    <row r="62" spans="1:7" ht="11.25">
      <c r="A62" s="463" t="str">
        <f t="shared" si="1"/>
        <v>Signalétique financier</v>
      </c>
      <c r="B62" s="463" t="s">
        <v>1532</v>
      </c>
      <c r="C62" s="463" t="s">
        <v>1392</v>
      </c>
      <c r="D62" s="471" t="s">
        <v>381</v>
      </c>
      <c r="F62" s="466"/>
      <c r="G62" s="466"/>
    </row>
    <row r="63" spans="1:7" ht="11.25">
      <c r="A63" s="463" t="str">
        <f t="shared" si="1"/>
        <v>Titulaire du compte bancaire</v>
      </c>
      <c r="B63" s="463" t="s">
        <v>1533</v>
      </c>
      <c r="C63" s="463" t="s">
        <v>1393</v>
      </c>
      <c r="D63" s="471" t="s">
        <v>382</v>
      </c>
      <c r="F63" s="466"/>
      <c r="G63" s="466"/>
    </row>
    <row r="64" spans="1:7" ht="22.5">
      <c r="A64" s="463" t="str">
        <f t="shared" si="1"/>
        <v>BENEFICIAIRE
(uniquement si différent du titulaire du compte)</v>
      </c>
      <c r="B64" s="463" t="s">
        <v>2072</v>
      </c>
      <c r="C64" s="463" t="s">
        <v>1046</v>
      </c>
      <c r="D64" s="471" t="s">
        <v>2112</v>
      </c>
      <c r="F64" s="466"/>
      <c r="G64" s="466"/>
    </row>
    <row r="65" spans="1:7" ht="11.25">
      <c r="A65" s="463" t="str">
        <f t="shared" si="1"/>
        <v>Commune/Ville</v>
      </c>
      <c r="B65" s="463" t="s">
        <v>1351</v>
      </c>
      <c r="C65" s="463" t="s">
        <v>1394</v>
      </c>
      <c r="D65" s="471" t="s">
        <v>383</v>
      </c>
      <c r="F65" s="466"/>
      <c r="G65" s="466"/>
    </row>
    <row r="66" spans="1:7" ht="11.25">
      <c r="A66" s="463" t="str">
        <f t="shared" si="1"/>
        <v>Contact (Titre, Nom, Prénom)</v>
      </c>
      <c r="B66" s="463" t="s">
        <v>811</v>
      </c>
      <c r="C66" s="463" t="s">
        <v>1315</v>
      </c>
      <c r="D66" s="471" t="s">
        <v>1314</v>
      </c>
      <c r="F66" s="466"/>
      <c r="G66" s="466"/>
    </row>
    <row r="67" spans="1:7" ht="11.25">
      <c r="A67" s="463" t="str">
        <f t="shared" si="1"/>
        <v>Genre</v>
      </c>
      <c r="B67" s="463" t="s">
        <v>2113</v>
      </c>
      <c r="C67" s="463" t="s">
        <v>762</v>
      </c>
      <c r="D67" s="471" t="s">
        <v>776</v>
      </c>
      <c r="F67" s="466"/>
      <c r="G67" s="466"/>
    </row>
    <row r="68" spans="1:7" ht="11.25">
      <c r="A68" s="463" t="str">
        <f t="shared" si="1"/>
        <v>Langue</v>
      </c>
      <c r="B68" s="463" t="s">
        <v>2116</v>
      </c>
      <c r="C68" s="463" t="s">
        <v>2114</v>
      </c>
      <c r="D68" s="471" t="s">
        <v>2115</v>
      </c>
      <c r="F68" s="466"/>
      <c r="G68" s="466"/>
    </row>
    <row r="69" spans="1:7" ht="11.25">
      <c r="A69" s="463" t="str">
        <f t="shared" si="1"/>
        <v>Banque</v>
      </c>
      <c r="B69" s="463" t="s">
        <v>1999</v>
      </c>
      <c r="C69" s="463" t="s">
        <v>1395</v>
      </c>
      <c r="D69" s="471" t="s">
        <v>384</v>
      </c>
      <c r="F69" s="466"/>
      <c r="G69" s="466"/>
    </row>
    <row r="70" spans="1:7" ht="11.25">
      <c r="A70" s="463" t="str">
        <f t="shared" si="1"/>
        <v>Compte bancaire</v>
      </c>
      <c r="B70" s="463" t="s">
        <v>1534</v>
      </c>
      <c r="C70" s="463" t="s">
        <v>1396</v>
      </c>
      <c r="D70" s="471" t="s">
        <v>385</v>
      </c>
      <c r="F70" s="466"/>
      <c r="G70" s="466"/>
    </row>
    <row r="71" spans="1:7" ht="11.25">
      <c r="A71" s="463" t="str">
        <f t="shared" si="1"/>
        <v>Devise du compte</v>
      </c>
      <c r="B71" s="463" t="s">
        <v>1535</v>
      </c>
      <c r="C71" s="463" t="s">
        <v>1397</v>
      </c>
      <c r="D71" s="471" t="s">
        <v>1531</v>
      </c>
      <c r="F71" s="466"/>
      <c r="G71" s="466"/>
    </row>
    <row r="72" spans="1:7" ht="11.25">
      <c r="A72" s="463" t="str">
        <f t="shared" si="1"/>
        <v>Code postal</v>
      </c>
      <c r="B72" s="463" t="s">
        <v>1537</v>
      </c>
      <c r="C72" s="463" t="s">
        <v>1091</v>
      </c>
      <c r="D72" s="471" t="s">
        <v>1536</v>
      </c>
      <c r="F72" s="466"/>
      <c r="G72" s="466"/>
    </row>
    <row r="73" spans="1:7" ht="11.25">
      <c r="A73" s="463" t="str">
        <f t="shared" si="1"/>
        <v>Nom</v>
      </c>
      <c r="B73" s="463" t="s">
        <v>1090</v>
      </c>
      <c r="C73" s="463" t="s">
        <v>1090</v>
      </c>
      <c r="D73" s="471" t="s">
        <v>1538</v>
      </c>
      <c r="F73" s="466"/>
      <c r="G73" s="466"/>
    </row>
    <row r="74" spans="1:7" ht="11.25">
      <c r="A74" s="463" t="str">
        <f t="shared" si="1"/>
        <v>Données nationales servant à identifier la banque</v>
      </c>
      <c r="B74" s="463" t="s">
        <v>1539</v>
      </c>
      <c r="C74" s="463" t="s">
        <v>1540</v>
      </c>
      <c r="D74" s="471" t="s">
        <v>1541</v>
      </c>
      <c r="F74" s="466"/>
      <c r="G74" s="466"/>
    </row>
    <row r="75" spans="1:7" ht="79.5" customHeight="1">
      <c r="A75" s="463"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3" t="s">
        <v>1467</v>
      </c>
      <c r="C75" s="463" t="s">
        <v>1468</v>
      </c>
      <c r="D75" s="471" t="s">
        <v>1939</v>
      </c>
      <c r="F75" s="466"/>
      <c r="G75" s="466"/>
    </row>
    <row r="76" spans="1:7" ht="11.25">
      <c r="A76" s="463" t="str">
        <f t="shared" si="1"/>
        <v>Pas d'identifiant spécifique</v>
      </c>
      <c r="B76" s="463" t="s">
        <v>1542</v>
      </c>
      <c r="C76" s="463" t="s">
        <v>1543</v>
      </c>
      <c r="D76" s="471" t="s">
        <v>1544</v>
      </c>
      <c r="F76" s="466"/>
      <c r="G76" s="466"/>
    </row>
    <row r="77" spans="1:7" ht="11.25">
      <c r="A77" s="463" t="str">
        <f t="shared" si="1"/>
        <v>Remarques</v>
      </c>
      <c r="B77" s="463" t="s">
        <v>1545</v>
      </c>
      <c r="C77" s="463" t="s">
        <v>1549</v>
      </c>
      <c r="D77" s="471" t="s">
        <v>1548</v>
      </c>
      <c r="F77" s="466"/>
      <c r="G77" s="466"/>
    </row>
    <row r="78" spans="1:7" ht="11.25">
      <c r="A78" s="463" t="str">
        <f t="shared" si="1"/>
        <v>Signature du bénéficiaire (Sur version papier)</v>
      </c>
      <c r="B78" s="463" t="s">
        <v>1799</v>
      </c>
      <c r="C78" s="463" t="s">
        <v>1797</v>
      </c>
      <c r="D78" s="471" t="s">
        <v>1798</v>
      </c>
      <c r="F78" s="466"/>
      <c r="G78" s="466"/>
    </row>
    <row r="79" spans="1:7" ht="11.25">
      <c r="A79" s="463" t="str">
        <f>IF($A$1=$B$1,B79,IF($A$1=$C$1,C79,IF($A$1=$D$1,D79,"N/A")))</f>
        <v>Date</v>
      </c>
      <c r="B79" s="463" t="s">
        <v>1546</v>
      </c>
      <c r="C79" s="463" t="s">
        <v>1547</v>
      </c>
      <c r="D79" s="471" t="s">
        <v>1547</v>
      </c>
      <c r="F79" s="466"/>
      <c r="G79" s="466"/>
    </row>
    <row r="80" spans="1:7" ht="11.25">
      <c r="A80" s="463" t="str">
        <f>IF($A$1=$B$1,B80,IF($A$1=$C$1,C80,IF($A$1=$D$1,D80,"N/A")))</f>
        <v>  Pays de l'UE</v>
      </c>
      <c r="B80" s="463" t="s">
        <v>417</v>
      </c>
      <c r="C80" s="463" t="s">
        <v>1191</v>
      </c>
      <c r="D80" s="471" t="s">
        <v>2111</v>
      </c>
      <c r="F80" s="466"/>
      <c r="G80" s="466"/>
    </row>
    <row r="81" spans="1:4" ht="12.75">
      <c r="A81" s="463" t="str">
        <f aca="true" t="shared" si="2" ref="A81:A91">IF($A$1=$B$1,B81,IF($A$1=$C$1,C81,IF($A$1=$D$1,D81,"N/A")))</f>
        <v>INSTRUCTIONS POUR LA PARTIE I :</v>
      </c>
      <c r="B81" s="475" t="s">
        <v>414</v>
      </c>
      <c r="C81" s="476" t="s">
        <v>413</v>
      </c>
      <c r="D81" s="477" t="s">
        <v>412</v>
      </c>
    </row>
    <row r="82" spans="1:4" ht="68.25">
      <c r="A82" s="463"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3" t="s">
        <v>655</v>
      </c>
      <c r="C82" s="463" t="s">
        <v>517</v>
      </c>
      <c r="D82" s="471" t="s">
        <v>1050</v>
      </c>
    </row>
    <row r="83" spans="1:4" ht="68.25">
      <c r="A83" s="463" t="str">
        <f t="shared" si="2"/>
        <v>Après avoir sélectionné la langue souhaitée (le français est la langue par défaut ) et lu les instructions ci-après, vous pouvez passer au formulaire "Part I". L'accès est possible par les tabulations/onglets en bas à gauche de cet écran.</v>
      </c>
      <c r="B83" s="463" t="s">
        <v>869</v>
      </c>
      <c r="C83" s="463" t="s">
        <v>866</v>
      </c>
      <c r="D83" s="471" t="s">
        <v>867</v>
      </c>
    </row>
    <row r="84" spans="1:4" ht="33.75">
      <c r="A84" s="463" t="str">
        <f t="shared" si="2"/>
        <v>Après avoir rempli le formulaire "Part I" (qui contient aussi le formulaire bancaire), vous devez passer au tableau BUDGET ESTIMATION</v>
      </c>
      <c r="B84" s="463" t="s">
        <v>939</v>
      </c>
      <c r="C84" s="463" t="s">
        <v>1057</v>
      </c>
      <c r="D84" s="471" t="s">
        <v>624</v>
      </c>
    </row>
    <row r="85" spans="1:4" ht="11.25">
      <c r="A85" s="463" t="str">
        <f t="shared" si="2"/>
        <v>Type d'organisation</v>
      </c>
      <c r="B85" s="463" t="s">
        <v>321</v>
      </c>
      <c r="C85" s="463" t="s">
        <v>322</v>
      </c>
      <c r="D85" s="471" t="s">
        <v>323</v>
      </c>
    </row>
    <row r="86" spans="1:4" ht="11.25">
      <c r="A86" s="463" t="str">
        <f t="shared" si="2"/>
        <v>oui</v>
      </c>
      <c r="B86" s="463" t="s">
        <v>324</v>
      </c>
      <c r="C86" s="463" t="s">
        <v>325</v>
      </c>
      <c r="D86" s="471" t="s">
        <v>326</v>
      </c>
    </row>
    <row r="87" spans="1:4" ht="11.25">
      <c r="A87" s="463" t="str">
        <f t="shared" si="2"/>
        <v>non</v>
      </c>
      <c r="B87" s="463" t="s">
        <v>327</v>
      </c>
      <c r="C87" s="463" t="s">
        <v>328</v>
      </c>
      <c r="D87" s="471" t="s">
        <v>329</v>
      </c>
    </row>
    <row r="88" spans="1:4" ht="22.5">
      <c r="A88" s="463" t="str">
        <f t="shared" si="2"/>
        <v>Si oui: montant estimé de la sous-traitance dépassant 25.000 €?</v>
      </c>
      <c r="B88" s="463" t="s">
        <v>331</v>
      </c>
      <c r="C88" s="463" t="s">
        <v>330</v>
      </c>
      <c r="D88" s="471" t="s">
        <v>332</v>
      </c>
    </row>
    <row r="89" spans="1:4" ht="12.75">
      <c r="A89" s="463" t="str">
        <f t="shared" si="2"/>
        <v>N° du contrat</v>
      </c>
      <c r="B89" s="478" t="s">
        <v>519</v>
      </c>
      <c r="C89" s="479" t="s">
        <v>520</v>
      </c>
      <c r="D89" s="478" t="s">
        <v>521</v>
      </c>
    </row>
    <row r="90" spans="1:4" ht="11.25">
      <c r="A90" s="463" t="str">
        <f t="shared" si="2"/>
        <v>Année</v>
      </c>
      <c r="B90" s="463" t="s">
        <v>333</v>
      </c>
      <c r="C90" s="463" t="s">
        <v>334</v>
      </c>
      <c r="D90" s="471" t="s">
        <v>335</v>
      </c>
    </row>
    <row r="91" spans="1:4" ht="11.25">
      <c r="A91" s="463" t="str">
        <f t="shared" si="2"/>
        <v>Titre</v>
      </c>
      <c r="B91" s="463" t="s">
        <v>336</v>
      </c>
      <c r="C91" s="463" t="s">
        <v>337</v>
      </c>
      <c r="D91" s="471" t="s">
        <v>338</v>
      </c>
    </row>
    <row r="92" spans="1:4" ht="45" customHeight="1">
      <c r="A92" s="463" t="str">
        <f aca="true" t="shared" si="3" ref="A92:A108">IF($A$1=$B$1,B92,IF($A$1=$C$1,C92,IF($A$1=$D$1,D92,"N/A")))</f>
        <v>Brève description de la problématique abordée, des objectifs et des résultats concrets de votre proposition (max. 10 lignes)</v>
      </c>
      <c r="B92" s="463" t="s">
        <v>2086</v>
      </c>
      <c r="C92" s="463" t="s">
        <v>714</v>
      </c>
      <c r="D92" s="471" t="s">
        <v>705</v>
      </c>
    </row>
    <row r="93" spans="1:4" ht="11.25">
      <c r="A93" s="463" t="str">
        <f t="shared" si="3"/>
        <v>Compte bancaire no.</v>
      </c>
      <c r="B93" s="463" t="s">
        <v>916</v>
      </c>
      <c r="C93" s="463" t="s">
        <v>917</v>
      </c>
      <c r="D93" s="471" t="s">
        <v>918</v>
      </c>
    </row>
    <row r="94" spans="1:4" ht="11.25">
      <c r="A94" s="463" t="str">
        <f t="shared" si="3"/>
        <v>Devise du compte</v>
      </c>
      <c r="B94" s="463" t="s">
        <v>1535</v>
      </c>
      <c r="C94" s="463" t="s">
        <v>1397</v>
      </c>
      <c r="D94" s="471" t="s">
        <v>1531</v>
      </c>
    </row>
    <row r="95" spans="1:4" ht="11.25">
      <c r="A95" s="463" t="str">
        <f t="shared" si="3"/>
        <v>TITRE DU PROJET:</v>
      </c>
      <c r="B95" s="463" t="s">
        <v>921</v>
      </c>
      <c r="C95" s="463" t="s">
        <v>922</v>
      </c>
      <c r="D95" s="471" t="s">
        <v>923</v>
      </c>
    </row>
    <row r="96" spans="1:4" ht="11.25">
      <c r="A96" s="463" t="str">
        <f t="shared" si="3"/>
        <v>No:</v>
      </c>
      <c r="B96" s="463" t="s">
        <v>919</v>
      </c>
      <c r="C96" s="463" t="s">
        <v>930</v>
      </c>
      <c r="D96" s="471" t="s">
        <v>920</v>
      </c>
    </row>
    <row r="97" spans="1:4" ht="11.25">
      <c r="A97" s="463" t="str">
        <f t="shared" si="3"/>
        <v>Pourcentage de la subvention </v>
      </c>
      <c r="B97" s="463" t="s">
        <v>925</v>
      </c>
      <c r="C97" s="463" t="s">
        <v>926</v>
      </c>
      <c r="D97" s="471" t="s">
        <v>2087</v>
      </c>
    </row>
    <row r="98" spans="1:4" ht="11.25">
      <c r="A98" s="463" t="str">
        <f t="shared" si="3"/>
        <v>Site internet</v>
      </c>
      <c r="B98" s="463" t="s">
        <v>2123</v>
      </c>
      <c r="C98" s="463" t="s">
        <v>2124</v>
      </c>
      <c r="D98" s="471" t="s">
        <v>2125</v>
      </c>
    </row>
    <row r="99" spans="1:4" ht="60" customHeight="1">
      <c r="A99" s="463" t="str">
        <f t="shared" si="3"/>
        <v>Soutiens financiers antérieurs obtenus directement ou indirectement au cours des trois années précédentes auprès d'une institution européenne ou organisme communautaire (s’il y a lieu)</v>
      </c>
      <c r="B99" s="463" t="s">
        <v>524</v>
      </c>
      <c r="C99" s="463" t="s">
        <v>706</v>
      </c>
      <c r="D99" s="471" t="s">
        <v>903</v>
      </c>
    </row>
    <row r="100" spans="1:4" ht="72.75" customHeight="1">
      <c r="A100" s="463"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3" t="s">
        <v>1938</v>
      </c>
      <c r="C100" s="463" t="s">
        <v>1937</v>
      </c>
      <c r="D100" s="471" t="s">
        <v>824</v>
      </c>
    </row>
    <row r="101" spans="1:4" ht="171">
      <c r="A101" s="463"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3" t="s">
        <v>940</v>
      </c>
      <c r="C101" s="463" t="s">
        <v>2070</v>
      </c>
      <c r="D101" s="471" t="s">
        <v>2069</v>
      </c>
    </row>
    <row r="102" spans="1:4" ht="11.25">
      <c r="A102" s="463" t="str">
        <f t="shared" si="3"/>
        <v>Date et lieu</v>
      </c>
      <c r="B102" s="463" t="s">
        <v>415</v>
      </c>
      <c r="C102" s="463" t="s">
        <v>1793</v>
      </c>
      <c r="D102" s="471" t="s">
        <v>110</v>
      </c>
    </row>
    <row r="103" spans="1:4" ht="11.25">
      <c r="A103" s="463" t="str">
        <f t="shared" si="3"/>
        <v>Subvention demandée</v>
      </c>
      <c r="B103" s="463" t="s">
        <v>633</v>
      </c>
      <c r="C103" s="463" t="s">
        <v>632</v>
      </c>
      <c r="D103" s="471" t="s">
        <v>631</v>
      </c>
    </row>
    <row r="104" spans="1:4" ht="11.25">
      <c r="A104" s="463" t="str">
        <f t="shared" si="3"/>
        <v>Apport propre</v>
      </c>
      <c r="B104" s="463" t="s">
        <v>1960</v>
      </c>
      <c r="C104" s="463" t="s">
        <v>634</v>
      </c>
      <c r="D104" s="471" t="s">
        <v>107</v>
      </c>
    </row>
    <row r="105" spans="1:4" ht="11.25">
      <c r="A105" s="463" t="str">
        <f t="shared" si="3"/>
        <v>Ressources externes</v>
      </c>
      <c r="B105" s="463" t="s">
        <v>635</v>
      </c>
      <c r="C105" s="463" t="s">
        <v>812</v>
      </c>
      <c r="D105" s="471" t="s">
        <v>108</v>
      </c>
    </row>
    <row r="106" spans="1:4" ht="11.25">
      <c r="A106" s="463" t="str">
        <f t="shared" si="3"/>
        <v>Ressources générées par le projet</v>
      </c>
      <c r="B106" s="463" t="s">
        <v>1790</v>
      </c>
      <c r="C106" s="463" t="s">
        <v>1789</v>
      </c>
      <c r="D106" s="471" t="s">
        <v>1791</v>
      </c>
    </row>
    <row r="107" spans="1:4" ht="11.25">
      <c r="A107" s="463" t="str">
        <f t="shared" si="3"/>
        <v>Budget prévisionnel (EURO)</v>
      </c>
      <c r="B107" s="463" t="s">
        <v>1134</v>
      </c>
      <c r="C107" s="463" t="s">
        <v>628</v>
      </c>
      <c r="D107" s="471" t="s">
        <v>1133</v>
      </c>
    </row>
    <row r="108" spans="1:4" ht="11.25">
      <c r="A108" s="463" t="str">
        <f t="shared" si="3"/>
        <v>Déclaration de l'organisation candidate</v>
      </c>
      <c r="B108" s="463" t="s">
        <v>2019</v>
      </c>
      <c r="C108" s="463" t="s">
        <v>1792</v>
      </c>
      <c r="D108" s="471" t="s">
        <v>109</v>
      </c>
    </row>
    <row r="109" spans="1:4" ht="11.25">
      <c r="A109" s="463" t="str">
        <f aca="true" t="shared" si="4" ref="A109:A121">IF($A$1=$B$1,B109,IF($A$1=$C$1,C109,IF($A$1=$D$1,D109,"N/A")))</f>
        <v>Structure, activités et ressources de l'organisation</v>
      </c>
      <c r="B109" s="463" t="s">
        <v>402</v>
      </c>
      <c r="C109" s="463" t="s">
        <v>403</v>
      </c>
      <c r="D109" s="471" t="s">
        <v>106</v>
      </c>
    </row>
    <row r="110" spans="1:4" ht="11.25">
      <c r="A110" s="463" t="str">
        <f t="shared" si="4"/>
        <v>Direction générale responsable de la ligne budgétaire</v>
      </c>
      <c r="B110" s="463" t="s">
        <v>2020</v>
      </c>
      <c r="C110" s="463" t="s">
        <v>1036</v>
      </c>
      <c r="D110" s="471" t="s">
        <v>1035</v>
      </c>
    </row>
    <row r="111" spans="1:4" ht="11.25">
      <c r="A111" s="463" t="str">
        <f t="shared" si="4"/>
        <v>Titre et numéro de référence du projet</v>
      </c>
      <c r="B111" s="463" t="s">
        <v>928</v>
      </c>
      <c r="C111" s="463" t="s">
        <v>927</v>
      </c>
      <c r="D111" s="471" t="s">
        <v>929</v>
      </c>
    </row>
    <row r="112" spans="1:4" ht="22.5">
      <c r="A112" s="463" t="str">
        <f t="shared" si="4"/>
        <v>Obtenue ?</v>
      </c>
      <c r="B112" s="463" t="s">
        <v>1405</v>
      </c>
      <c r="C112" s="463" t="s">
        <v>1893</v>
      </c>
      <c r="D112" s="471" t="s">
        <v>1892</v>
      </c>
    </row>
    <row r="113" spans="1:4" ht="64.5" customHeight="1">
      <c r="A113" s="463" t="str">
        <f t="shared" si="4"/>
        <v>Vous pouvez vous déplacer d'une case à l'autre en utilisant la touche "tab".  Lorsque sur une cellule, vous voyez un petit bouton juxtaposé avec une flèche, vous devez utiliser une valeur de la liste déroulante, en cliquant sur ce bouton.</v>
      </c>
      <c r="B113" s="463" t="s">
        <v>2021</v>
      </c>
      <c r="C113" s="463" t="s">
        <v>518</v>
      </c>
      <c r="D113" s="471" t="s">
        <v>1942</v>
      </c>
    </row>
    <row r="114" spans="1:4" ht="11.25">
      <c r="A114" s="463" t="str">
        <f t="shared" si="4"/>
        <v>Montant (€)</v>
      </c>
      <c r="B114" s="463" t="s">
        <v>2090</v>
      </c>
      <c r="C114" s="463" t="s">
        <v>2091</v>
      </c>
      <c r="D114" s="471" t="s">
        <v>2092</v>
      </c>
    </row>
    <row r="115" spans="1:4" ht="11.25">
      <c r="A115" s="463" t="str">
        <f t="shared" si="4"/>
        <v>Retour formulaire principal 'FORM'</v>
      </c>
      <c r="B115" s="463" t="s">
        <v>1469</v>
      </c>
      <c r="C115" s="463" t="s">
        <v>1470</v>
      </c>
      <c r="D115" s="471" t="s">
        <v>1058</v>
      </c>
    </row>
    <row r="116" spans="1:4" ht="11.25">
      <c r="A116" s="463" t="str">
        <f t="shared" si="4"/>
        <v>Cout total du projet</v>
      </c>
      <c r="B116" s="463" t="s">
        <v>630</v>
      </c>
      <c r="C116" s="463" t="s">
        <v>629</v>
      </c>
      <c r="D116" s="471" t="s">
        <v>1132</v>
      </c>
    </row>
    <row r="117" spans="1:4" ht="11.25">
      <c r="A117" s="463" t="str">
        <f t="shared" si="4"/>
        <v>Fonction (Si elle diffère de celle ci-dessus)</v>
      </c>
      <c r="B117" s="463" t="s">
        <v>2022</v>
      </c>
      <c r="C117" s="463" t="s">
        <v>2024</v>
      </c>
      <c r="D117" s="471" t="s">
        <v>2023</v>
      </c>
    </row>
    <row r="118" spans="1:4" ht="11.25">
      <c r="A118" s="463" t="str">
        <f t="shared" si="4"/>
        <v>Fin du document</v>
      </c>
      <c r="B118" s="463" t="s">
        <v>1471</v>
      </c>
      <c r="C118" s="463" t="s">
        <v>1472</v>
      </c>
      <c r="D118" s="471" t="s">
        <v>1473</v>
      </c>
    </row>
    <row r="119" spans="1:4" ht="22.5">
      <c r="A119" s="463" t="str">
        <f t="shared" si="4"/>
        <v>Accéder directement à la fiche signalétique bancaire à imprimer</v>
      </c>
      <c r="B119" s="463" t="s">
        <v>401</v>
      </c>
      <c r="C119" s="463" t="s">
        <v>1940</v>
      </c>
      <c r="D119" s="471" t="s">
        <v>1941</v>
      </c>
    </row>
    <row r="120" spans="1:4" ht="11.25">
      <c r="A120" s="463" t="str">
        <f t="shared" si="4"/>
        <v>Signature (sur version papier)</v>
      </c>
      <c r="B120" s="463" t="s">
        <v>2071</v>
      </c>
      <c r="C120" s="463" t="s">
        <v>1796</v>
      </c>
      <c r="D120" s="471" t="s">
        <v>1795</v>
      </c>
    </row>
    <row r="121" spans="1:4" ht="11.25">
      <c r="A121" s="463" t="str">
        <f t="shared" si="4"/>
        <v>Titre (Mr, Mme,…)</v>
      </c>
      <c r="B121" s="463" t="s">
        <v>2025</v>
      </c>
      <c r="C121" s="463" t="s">
        <v>2026</v>
      </c>
      <c r="D121" s="471" t="s">
        <v>10</v>
      </c>
    </row>
    <row r="122" spans="1:4" ht="11.25">
      <c r="A122" s="463" t="str">
        <f aca="true" t="shared" si="5" ref="A122:A130">IF($A$1=$B$1,B122,IF($A$1=$C$1,C122,IF($A$1=$D$1,D122,"N/A")))</f>
        <v>Volet d'action</v>
      </c>
      <c r="B122" s="463" t="s">
        <v>1682</v>
      </c>
      <c r="C122" s="463" t="s">
        <v>1683</v>
      </c>
      <c r="D122" s="471" t="s">
        <v>1681</v>
      </c>
    </row>
    <row r="123" spans="1:4" ht="11.25">
      <c r="A123" s="463" t="str">
        <f t="shared" si="5"/>
        <v>IBAN (Optionnel)</v>
      </c>
      <c r="B123" s="463" t="s">
        <v>1957</v>
      </c>
      <c r="C123" s="463" t="s">
        <v>726</v>
      </c>
      <c r="D123" s="471" t="s">
        <v>716</v>
      </c>
    </row>
    <row r="124" spans="1:4" ht="11.25">
      <c r="A124" s="463" t="str">
        <f t="shared" si="5"/>
        <v>JJ/MM/AAAA</v>
      </c>
      <c r="B124" s="463" t="s">
        <v>1128</v>
      </c>
      <c r="C124" s="463" t="s">
        <v>1129</v>
      </c>
      <c r="D124" s="471" t="s">
        <v>1130</v>
      </c>
    </row>
    <row r="125" spans="1:4" ht="11.25">
      <c r="A125" s="463" t="str">
        <f t="shared" si="5"/>
        <v>BANQUE</v>
      </c>
      <c r="B125" s="463" t="s">
        <v>725</v>
      </c>
      <c r="C125" s="463" t="s">
        <v>725</v>
      </c>
      <c r="D125" s="471" t="s">
        <v>715</v>
      </c>
    </row>
    <row r="126" spans="1:4" ht="33.75">
      <c r="A126" s="463" t="str">
        <f t="shared" si="5"/>
        <v>http://europa.eu.int/euro/html/rubrique-cadre6.html?pag=rubrique-defaut6.html&amp;lang=6&amp;rubrique=196&amp;chap=13</v>
      </c>
      <c r="B126" s="463" t="s">
        <v>1116</v>
      </c>
      <c r="C126" s="463" t="s">
        <v>1117</v>
      </c>
      <c r="D126" s="471" t="s">
        <v>1115</v>
      </c>
    </row>
    <row r="127" spans="1:4" ht="22.5">
      <c r="A127" s="463" t="str">
        <f t="shared" si="5"/>
        <v>COMMENT REMPLIR LE FORMULAIRE :</v>
      </c>
      <c r="B127" s="463" t="s">
        <v>409</v>
      </c>
      <c r="C127" s="463" t="s">
        <v>410</v>
      </c>
      <c r="D127" s="471" t="s">
        <v>411</v>
      </c>
    </row>
    <row r="128" spans="1:4" ht="26.25">
      <c r="A128" s="463" t="str">
        <f t="shared" si="5"/>
        <v>PARTIE I.  PRÉSENTATION DE L'ORGANISATION CHEF DE FILE</v>
      </c>
      <c r="B128" s="475" t="s">
        <v>1786</v>
      </c>
      <c r="C128" s="480" t="s">
        <v>1787</v>
      </c>
      <c r="D128" s="477" t="s">
        <v>1788</v>
      </c>
    </row>
    <row r="129" spans="1:4" ht="26.25">
      <c r="A129" s="463" t="str">
        <f t="shared" si="5"/>
        <v>Choisissez votre langue / Please select the language of your choice / Wählen Sie Ihre Sprache </v>
      </c>
      <c r="B129" s="475" t="s">
        <v>868</v>
      </c>
      <c r="C129" s="476" t="s">
        <v>868</v>
      </c>
      <c r="D129" s="477" t="s">
        <v>868</v>
      </c>
    </row>
    <row r="130" spans="1:4" ht="78" customHeight="1">
      <c r="A130" s="463"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3" t="s">
        <v>1948</v>
      </c>
      <c r="C130" s="463" t="s">
        <v>944</v>
      </c>
      <c r="D130" s="471" t="s">
        <v>1949</v>
      </c>
    </row>
    <row r="131" spans="1:4" ht="22.5">
      <c r="A131" s="463" t="str">
        <f aca="true" t="shared" si="6" ref="A131:A170">IF($A$1=$B$1,B131,IF($A$1=$C$1,C131,IF($A$1=$D$1,D131,"N/A")))</f>
        <v>Archives (J-37 0/26) - Appel à propositions VP/2002/010</v>
      </c>
      <c r="B131" s="463" t="s">
        <v>739</v>
      </c>
      <c r="C131" s="463" t="s">
        <v>738</v>
      </c>
      <c r="D131" s="471" t="s">
        <v>737</v>
      </c>
    </row>
    <row r="132" spans="1:4" ht="11.25">
      <c r="A132" s="463" t="str">
        <f t="shared" si="6"/>
        <v>Commission européenne</v>
      </c>
      <c r="B132" s="463" t="s">
        <v>6</v>
      </c>
      <c r="C132" s="463" t="s">
        <v>1</v>
      </c>
      <c r="D132" s="471" t="s">
        <v>483</v>
      </c>
    </row>
    <row r="133" spans="1:4" ht="11.25">
      <c r="A133" s="463" t="str">
        <f t="shared" si="6"/>
        <v>DG Emploi et affaires sociales</v>
      </c>
      <c r="B133" s="463" t="s">
        <v>7</v>
      </c>
      <c r="C133" s="463" t="s">
        <v>2</v>
      </c>
      <c r="D133" s="471" t="s">
        <v>484</v>
      </c>
    </row>
    <row r="134" spans="1:4" ht="11.25">
      <c r="A134" s="463" t="str">
        <f t="shared" si="6"/>
        <v>Rue de la Loi 200/Wetstraat 200</v>
      </c>
      <c r="B134" s="463" t="s">
        <v>1125</v>
      </c>
      <c r="C134" s="463" t="s">
        <v>1125</v>
      </c>
      <c r="D134" s="471" t="s">
        <v>1125</v>
      </c>
    </row>
    <row r="135" spans="1:4" ht="11.25">
      <c r="A135" s="463" t="str">
        <f t="shared" si="6"/>
        <v>B-1049 Bruxelles</v>
      </c>
      <c r="B135" s="463" t="s">
        <v>8</v>
      </c>
      <c r="C135" s="463" t="s">
        <v>3</v>
      </c>
      <c r="D135" s="471" t="s">
        <v>1126</v>
      </c>
    </row>
    <row r="136" spans="1:4" ht="11.25">
      <c r="A136" s="463" t="str">
        <f t="shared" si="6"/>
        <v>Belgique</v>
      </c>
      <c r="B136" s="463" t="s">
        <v>886</v>
      </c>
      <c r="C136" s="463" t="s">
        <v>1670</v>
      </c>
      <c r="D136" s="471" t="s">
        <v>2093</v>
      </c>
    </row>
    <row r="137" spans="1:4" ht="57">
      <c r="A137" s="463"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1" t="s">
        <v>2081</v>
      </c>
      <c r="C137" s="481" t="s">
        <v>740</v>
      </c>
      <c r="D137" s="481" t="s">
        <v>741</v>
      </c>
    </row>
    <row r="138" spans="1:4" ht="57">
      <c r="A138" s="463"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2" t="s">
        <v>1954</v>
      </c>
      <c r="C138" s="483" t="s">
        <v>1955</v>
      </c>
      <c r="D138" s="482" t="s">
        <v>1956</v>
      </c>
    </row>
    <row r="139" spans="1:4" ht="33.75">
      <c r="A139" s="463" t="str">
        <f t="shared" si="7"/>
        <v>3. La principale organisation candidate devra remplir, signer et dater la partie I "Présentation de l'organisation chef de file". </v>
      </c>
      <c r="B139" s="481" t="s">
        <v>567</v>
      </c>
      <c r="C139" s="481" t="s">
        <v>2089</v>
      </c>
      <c r="D139" s="481" t="s">
        <v>1426</v>
      </c>
    </row>
    <row r="140" spans="1:4" ht="33.75">
      <c r="A140" s="463" t="str">
        <f t="shared" si="7"/>
        <v>4. Chaque organisation partenaire devra remplir, signer et dater la partie II "Informations concernant les organisations co-candidates/partenaires".</v>
      </c>
      <c r="B140" s="481" t="s">
        <v>568</v>
      </c>
      <c r="C140" s="481" t="s">
        <v>622</v>
      </c>
      <c r="D140" s="481" t="s">
        <v>1427</v>
      </c>
    </row>
    <row r="141" spans="1:4" ht="45">
      <c r="A141" s="463" t="str">
        <f t="shared" si="7"/>
        <v>5. La principale organisation candidate, en consultation avec les organisations partenaires, devra remplir la partie III "Description et justification de la proposition" et la partie IV "Budget de la proposition". </v>
      </c>
      <c r="B141" s="481" t="s">
        <v>566</v>
      </c>
      <c r="C141" s="481" t="s">
        <v>623</v>
      </c>
      <c r="D141" s="481" t="s">
        <v>565</v>
      </c>
    </row>
    <row r="142" spans="1:4" ht="45">
      <c r="A142" s="463" t="str">
        <f t="shared" si="7"/>
        <v>6. Veuillez joindre les documents suivants dans votre envoi par courrier (voir aussi la check-list dans les 'Instructions pour le candidat" pour l'appel VP/2002/010):</v>
      </c>
      <c r="B142" s="481" t="s">
        <v>2082</v>
      </c>
      <c r="C142" s="481" t="s">
        <v>711</v>
      </c>
      <c r="D142" s="481" t="s">
        <v>753</v>
      </c>
    </row>
    <row r="143" spans="1:4" ht="22.5">
      <c r="A143" s="463" t="str">
        <f t="shared" si="7"/>
        <v>. une lettre d'accompagnement présentant votre demande de financement,</v>
      </c>
      <c r="B143" s="481" t="s">
        <v>2088</v>
      </c>
      <c r="C143" s="481" t="s">
        <v>4</v>
      </c>
      <c r="D143" s="481" t="s">
        <v>1056</v>
      </c>
    </row>
    <row r="144" spans="1:4" ht="33.75">
      <c r="A144" s="463" t="str">
        <f t="shared" si="7"/>
        <v>. l'original et une copie de votre formulaire de demande (parties I, II, III et IV), y compris de tout feuillet supplémentaire,</v>
      </c>
      <c r="B144" s="481" t="s">
        <v>749</v>
      </c>
      <c r="C144" s="481" t="s">
        <v>748</v>
      </c>
      <c r="D144" s="481" t="s">
        <v>747</v>
      </c>
    </row>
    <row r="145" spans="1:4" ht="90.75">
      <c r="A145" s="463"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1" t="s">
        <v>654</v>
      </c>
      <c r="C145" s="481" t="s">
        <v>1127</v>
      </c>
      <c r="D145" s="481" t="s">
        <v>1051</v>
      </c>
    </row>
    <row r="146" spans="1:4" ht="22.5">
      <c r="A146" s="463" t="str">
        <f t="shared" si="7"/>
        <v>. le curriculum vitae détaillé/la description des tâches du responsable de projet,</v>
      </c>
      <c r="B146" s="481" t="s">
        <v>2085</v>
      </c>
      <c r="C146" s="481" t="s">
        <v>742</v>
      </c>
      <c r="D146" s="481" t="s">
        <v>743</v>
      </c>
    </row>
    <row r="147" spans="1:4" ht="22.5">
      <c r="A147" s="463" t="str">
        <f t="shared" si="7"/>
        <v>. deux exemplaires de votre rapport d'activité ou de votre rapport annuel le plus récent,</v>
      </c>
      <c r="B147" s="481" t="s">
        <v>1055</v>
      </c>
      <c r="C147" s="481" t="s">
        <v>1054</v>
      </c>
      <c r="D147" s="481" t="s">
        <v>1052</v>
      </c>
    </row>
    <row r="148" spans="1:4" ht="33.75">
      <c r="A148" s="463" t="str">
        <f t="shared" si="7"/>
        <v>. deux exemplaires de vos comptes de 2001 ou d'informations financières équivalentes, de préférence accompagnés d'un certificat d'audit,</v>
      </c>
      <c r="B148" s="481" t="s">
        <v>1943</v>
      </c>
      <c r="C148" s="481" t="s">
        <v>744</v>
      </c>
      <c r="D148" s="481" t="s">
        <v>745</v>
      </c>
    </row>
    <row r="149" spans="1:4" ht="33.75">
      <c r="A149" s="463" t="str">
        <f t="shared" si="7"/>
        <v>. deux exemplaires des statuts ou d'un document équivalent de la principale organisation candidate, </v>
      </c>
      <c r="B149" s="481" t="s">
        <v>2083</v>
      </c>
      <c r="C149" s="481" t="s">
        <v>746</v>
      </c>
      <c r="D149" s="481" t="s">
        <v>1053</v>
      </c>
    </row>
    <row r="150" spans="1:4" ht="33.75">
      <c r="A150" s="463" t="str">
        <f t="shared" si="7"/>
        <v>. et le relevé bancaire (signalétique financier annexé à la partie I ) signé concernant le compte sur lequel les versements pour la proposition devront être effectués.</v>
      </c>
      <c r="B150" s="481" t="s">
        <v>2084</v>
      </c>
      <c r="C150" s="481" t="s">
        <v>870</v>
      </c>
      <c r="D150" s="481" t="s">
        <v>707</v>
      </c>
    </row>
    <row r="151" spans="1:4" ht="57">
      <c r="A151" s="463"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1" t="s">
        <v>5</v>
      </c>
      <c r="C151" s="481" t="s">
        <v>0</v>
      </c>
      <c r="D151" s="481" t="s">
        <v>482</v>
      </c>
    </row>
    <row r="152" spans="1:4" ht="57">
      <c r="A152" s="463" t="str">
        <f t="shared" si="7"/>
        <v>7. Envoyez votre candidature signée et datée par courrier (ou par courrier express en veillant à ce que la date d'enlèvement soit bien lisible sur le bordereau d'envoi) au plus tard le 05/07/2002 à l'adresse suivante:</v>
      </c>
      <c r="B152" s="481" t="s">
        <v>1953</v>
      </c>
      <c r="C152" s="481" t="s">
        <v>2068</v>
      </c>
      <c r="D152" s="481" t="s">
        <v>1952</v>
      </c>
    </row>
    <row r="153" spans="1:4" ht="45">
      <c r="A153" s="463" t="str">
        <f t="shared" si="7"/>
        <v>8. Envoyez les quatre parties remplies du formulaire de candidature par courrier électronique au plus tard le 05/07/2002 à l'adresse suivante: empl-e2@cec.eu.int  avec la mention "VP/2002/010 - candidature"</v>
      </c>
      <c r="B153" s="481" t="s">
        <v>1950</v>
      </c>
      <c r="C153" s="481" t="s">
        <v>2065</v>
      </c>
      <c r="D153" s="481" t="s">
        <v>1951</v>
      </c>
    </row>
    <row r="154" spans="1:4" ht="33.75">
      <c r="A154" s="463" t="str">
        <f t="shared" si="7"/>
        <v>9. Pour toute question concernant votre demande, contactez nous en citant la référence "VP/2002/010 - info" auprès des points de contact mentionnés dans les lignes directrices.  </v>
      </c>
      <c r="B154" s="481" t="s">
        <v>751</v>
      </c>
      <c r="C154" s="481" t="s">
        <v>750</v>
      </c>
      <c r="D154" s="481" t="s">
        <v>752</v>
      </c>
    </row>
    <row r="155" spans="1:4" ht="22.5">
      <c r="A155" s="463" t="str">
        <f t="shared" si="6"/>
        <v>Programme d'action communautaire de lutte contre l'exclusion sociale 2002-2006</v>
      </c>
      <c r="B155" s="463" t="s">
        <v>731</v>
      </c>
      <c r="C155" s="463" t="s">
        <v>730</v>
      </c>
      <c r="D155" s="471" t="s">
        <v>1785</v>
      </c>
    </row>
    <row r="156" spans="1:4" ht="82.5" customHeight="1">
      <c r="A156" s="463"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3" t="s">
        <v>1944</v>
      </c>
      <c r="C156" s="463" t="s">
        <v>945</v>
      </c>
      <c r="D156" s="471" t="s">
        <v>941</v>
      </c>
    </row>
    <row r="157" spans="1:4" ht="77.25" customHeight="1">
      <c r="A157" s="463"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3" t="s">
        <v>1945</v>
      </c>
      <c r="C157" s="463" t="s">
        <v>946</v>
      </c>
      <c r="D157" s="471" t="s">
        <v>942</v>
      </c>
    </row>
    <row r="158" spans="1:4" ht="165" customHeight="1">
      <c r="A158" s="463"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3" t="s">
        <v>1946</v>
      </c>
      <c r="C158" s="463" t="s">
        <v>2067</v>
      </c>
      <c r="D158" s="471" t="s">
        <v>2066</v>
      </c>
    </row>
    <row r="159" spans="1:4" ht="34.5" customHeight="1">
      <c r="A159" s="463" t="str">
        <f t="shared" si="6"/>
        <v>Veuillez éviter les mentions 'Néant' et laisser vierges les cellules où vous n'avez pas d'informations à y insérer</v>
      </c>
      <c r="B159" s="463" t="s">
        <v>1947</v>
      </c>
      <c r="C159" s="463" t="s">
        <v>947</v>
      </c>
      <c r="D159" s="471" t="s">
        <v>943</v>
      </c>
    </row>
    <row r="160" spans="1:4" ht="11.25">
      <c r="A160" s="463" t="str">
        <f t="shared" si="6"/>
        <v>PROGRAMME D'ÉCHANGE TRANSNATIONAL - PHASE I</v>
      </c>
      <c r="B160" s="463" t="s">
        <v>933</v>
      </c>
      <c r="C160" s="463" t="s">
        <v>735</v>
      </c>
      <c r="D160" s="471" t="s">
        <v>736</v>
      </c>
    </row>
    <row r="161" ht="11.25">
      <c r="A161" s="463">
        <f t="shared" si="6"/>
        <v>0</v>
      </c>
    </row>
    <row r="162" ht="11.25">
      <c r="A162" s="463">
        <f t="shared" si="6"/>
        <v>0</v>
      </c>
    </row>
    <row r="163" ht="11.25">
      <c r="A163" s="463">
        <f t="shared" si="6"/>
        <v>0</v>
      </c>
    </row>
    <row r="164" ht="11.25">
      <c r="A164" s="463">
        <f t="shared" si="6"/>
        <v>0</v>
      </c>
    </row>
    <row r="165" ht="11.25">
      <c r="A165" s="463">
        <f t="shared" si="6"/>
        <v>0</v>
      </c>
    </row>
    <row r="166" ht="11.25">
      <c r="A166" s="463">
        <f t="shared" si="6"/>
        <v>0</v>
      </c>
    </row>
    <row r="167" ht="11.25">
      <c r="A167" s="463">
        <f t="shared" si="6"/>
        <v>0</v>
      </c>
    </row>
    <row r="168" ht="11.25">
      <c r="A168" s="463">
        <f t="shared" si="6"/>
        <v>0</v>
      </c>
    </row>
    <row r="169" ht="11.25">
      <c r="A169" s="463">
        <f t="shared" si="6"/>
        <v>0</v>
      </c>
    </row>
    <row r="170" ht="11.25">
      <c r="A170" s="463">
        <f t="shared" si="6"/>
        <v>0</v>
      </c>
    </row>
    <row r="171" ht="11.25">
      <c r="A171" s="463">
        <f aca="true" t="shared" si="8" ref="A171:A234">IF($A$1=$B$1,B171,IF($A$1=$C$1,C171,IF($A$1=$D$1,D171,"N/A")))</f>
        <v>0</v>
      </c>
    </row>
    <row r="172" ht="11.25">
      <c r="A172" s="463">
        <f t="shared" si="8"/>
        <v>0</v>
      </c>
    </row>
    <row r="173" ht="11.25">
      <c r="A173" s="463">
        <f t="shared" si="8"/>
        <v>0</v>
      </c>
    </row>
    <row r="174" ht="11.25">
      <c r="A174" s="463">
        <f t="shared" si="8"/>
        <v>0</v>
      </c>
    </row>
    <row r="175" ht="11.25">
      <c r="A175" s="463">
        <f t="shared" si="8"/>
        <v>0</v>
      </c>
    </row>
    <row r="176" ht="11.25">
      <c r="A176" s="463">
        <f t="shared" si="8"/>
        <v>0</v>
      </c>
    </row>
    <row r="177" ht="11.25">
      <c r="A177" s="463">
        <f t="shared" si="8"/>
        <v>0</v>
      </c>
    </row>
    <row r="178" ht="11.25">
      <c r="A178" s="463">
        <f t="shared" si="8"/>
        <v>0</v>
      </c>
    </row>
    <row r="179" ht="11.25">
      <c r="A179" s="463">
        <f t="shared" si="8"/>
        <v>0</v>
      </c>
    </row>
    <row r="180" ht="11.25">
      <c r="A180" s="463">
        <f t="shared" si="8"/>
        <v>0</v>
      </c>
    </row>
    <row r="181" ht="11.25">
      <c r="A181" s="463">
        <f t="shared" si="8"/>
        <v>0</v>
      </c>
    </row>
    <row r="182" ht="11.25">
      <c r="A182" s="463">
        <f t="shared" si="8"/>
        <v>0</v>
      </c>
    </row>
    <row r="183" ht="11.25">
      <c r="A183" s="463">
        <f t="shared" si="8"/>
        <v>0</v>
      </c>
    </row>
    <row r="184" ht="11.25">
      <c r="A184" s="463">
        <f t="shared" si="8"/>
        <v>0</v>
      </c>
    </row>
    <row r="185" ht="11.25">
      <c r="A185" s="463">
        <f t="shared" si="8"/>
        <v>0</v>
      </c>
    </row>
    <row r="186" ht="11.25">
      <c r="A186" s="463">
        <f t="shared" si="8"/>
        <v>0</v>
      </c>
    </row>
    <row r="187" ht="11.25">
      <c r="A187" s="463">
        <f t="shared" si="8"/>
        <v>0</v>
      </c>
    </row>
    <row r="188" ht="11.25">
      <c r="A188" s="463">
        <f t="shared" si="8"/>
        <v>0</v>
      </c>
    </row>
    <row r="189" ht="11.25">
      <c r="A189" s="463">
        <f t="shared" si="8"/>
        <v>0</v>
      </c>
    </row>
    <row r="190" ht="11.25">
      <c r="A190" s="463">
        <f t="shared" si="8"/>
        <v>0</v>
      </c>
    </row>
    <row r="191" ht="11.25">
      <c r="A191" s="463">
        <f t="shared" si="8"/>
        <v>0</v>
      </c>
    </row>
    <row r="192" ht="11.25">
      <c r="A192" s="463">
        <f t="shared" si="8"/>
        <v>0</v>
      </c>
    </row>
    <row r="193" ht="11.25">
      <c r="A193" s="463">
        <f t="shared" si="8"/>
        <v>0</v>
      </c>
    </row>
    <row r="194" ht="11.25">
      <c r="A194" s="463">
        <f t="shared" si="8"/>
        <v>0</v>
      </c>
    </row>
    <row r="195" ht="11.25">
      <c r="A195" s="463">
        <f t="shared" si="8"/>
        <v>0</v>
      </c>
    </row>
    <row r="196" ht="11.25">
      <c r="A196" s="463">
        <f t="shared" si="8"/>
        <v>0</v>
      </c>
    </row>
    <row r="197" ht="11.25">
      <c r="A197" s="463">
        <f t="shared" si="8"/>
        <v>0</v>
      </c>
    </row>
    <row r="198" ht="11.25">
      <c r="A198" s="463">
        <f t="shared" si="8"/>
        <v>0</v>
      </c>
    </row>
    <row r="199" ht="11.25">
      <c r="A199" s="463">
        <f t="shared" si="8"/>
        <v>0</v>
      </c>
    </row>
    <row r="200" ht="11.25">
      <c r="A200" s="463">
        <f t="shared" si="8"/>
        <v>0</v>
      </c>
    </row>
    <row r="201" ht="11.25">
      <c r="A201" s="463">
        <f t="shared" si="8"/>
        <v>0</v>
      </c>
    </row>
    <row r="202" ht="11.25">
      <c r="A202" s="463">
        <f t="shared" si="8"/>
        <v>0</v>
      </c>
    </row>
    <row r="203" ht="11.25">
      <c r="A203" s="463">
        <f t="shared" si="8"/>
        <v>0</v>
      </c>
    </row>
    <row r="204" ht="11.25">
      <c r="A204" s="463">
        <f t="shared" si="8"/>
        <v>0</v>
      </c>
    </row>
    <row r="205" ht="11.25">
      <c r="A205" s="463">
        <f t="shared" si="8"/>
        <v>0</v>
      </c>
    </row>
    <row r="206" ht="11.25">
      <c r="A206" s="463">
        <f t="shared" si="8"/>
        <v>0</v>
      </c>
    </row>
    <row r="207" ht="11.25">
      <c r="A207" s="463">
        <f t="shared" si="8"/>
        <v>0</v>
      </c>
    </row>
    <row r="208" ht="11.25">
      <c r="A208" s="463">
        <f t="shared" si="8"/>
        <v>0</v>
      </c>
    </row>
    <row r="209" ht="11.25">
      <c r="A209" s="463">
        <f t="shared" si="8"/>
        <v>0</v>
      </c>
    </row>
    <row r="210" ht="11.25">
      <c r="A210" s="463">
        <f t="shared" si="8"/>
        <v>0</v>
      </c>
    </row>
    <row r="211" ht="11.25">
      <c r="A211" s="463">
        <f t="shared" si="8"/>
        <v>0</v>
      </c>
    </row>
    <row r="212" ht="11.25">
      <c r="A212" s="463">
        <f t="shared" si="8"/>
        <v>0</v>
      </c>
    </row>
    <row r="213" ht="11.25">
      <c r="A213" s="463">
        <f t="shared" si="8"/>
        <v>0</v>
      </c>
    </row>
    <row r="214" ht="11.25">
      <c r="A214" s="463">
        <f t="shared" si="8"/>
        <v>0</v>
      </c>
    </row>
    <row r="215" ht="11.25">
      <c r="A215" s="463">
        <f t="shared" si="8"/>
        <v>0</v>
      </c>
    </row>
    <row r="216" ht="11.25">
      <c r="A216" s="463">
        <f t="shared" si="8"/>
        <v>0</v>
      </c>
    </row>
    <row r="217" ht="11.25">
      <c r="A217" s="463">
        <f t="shared" si="8"/>
        <v>0</v>
      </c>
    </row>
    <row r="218" ht="11.25">
      <c r="A218" s="463">
        <f t="shared" si="8"/>
        <v>0</v>
      </c>
    </row>
    <row r="219" ht="11.25">
      <c r="A219" s="463">
        <f t="shared" si="8"/>
        <v>0</v>
      </c>
    </row>
    <row r="220" ht="11.25">
      <c r="A220" s="463">
        <f t="shared" si="8"/>
        <v>0</v>
      </c>
    </row>
    <row r="221" ht="11.25">
      <c r="A221" s="463">
        <f t="shared" si="8"/>
        <v>0</v>
      </c>
    </row>
    <row r="222" ht="11.25">
      <c r="A222" s="463">
        <f t="shared" si="8"/>
        <v>0</v>
      </c>
    </row>
    <row r="223" ht="11.25">
      <c r="A223" s="463">
        <f t="shared" si="8"/>
        <v>0</v>
      </c>
    </row>
    <row r="224" ht="11.25">
      <c r="A224" s="463">
        <f t="shared" si="8"/>
        <v>0</v>
      </c>
    </row>
    <row r="225" ht="11.25">
      <c r="A225" s="463">
        <f t="shared" si="8"/>
        <v>0</v>
      </c>
    </row>
    <row r="226" ht="11.25">
      <c r="A226" s="463">
        <f t="shared" si="8"/>
        <v>0</v>
      </c>
    </row>
    <row r="227" ht="11.25">
      <c r="A227" s="463">
        <f t="shared" si="8"/>
        <v>0</v>
      </c>
    </row>
    <row r="228" ht="11.25">
      <c r="A228" s="463">
        <f t="shared" si="8"/>
        <v>0</v>
      </c>
    </row>
    <row r="229" ht="11.25">
      <c r="A229" s="463">
        <f t="shared" si="8"/>
        <v>0</v>
      </c>
    </row>
    <row r="230" ht="11.25">
      <c r="A230" s="463">
        <f t="shared" si="8"/>
        <v>0</v>
      </c>
    </row>
    <row r="231" ht="11.25">
      <c r="A231" s="463">
        <f t="shared" si="8"/>
        <v>0</v>
      </c>
    </row>
    <row r="232" ht="11.25">
      <c r="A232" s="463">
        <f t="shared" si="8"/>
        <v>0</v>
      </c>
    </row>
    <row r="233" ht="11.25">
      <c r="A233" s="463">
        <f t="shared" si="8"/>
        <v>0</v>
      </c>
    </row>
    <row r="234" ht="11.25">
      <c r="A234" s="463">
        <f t="shared" si="8"/>
        <v>0</v>
      </c>
    </row>
    <row r="235" ht="11.25">
      <c r="A235" s="463">
        <f aca="true" t="shared" si="9" ref="A235:A298">IF($A$1=$B$1,B235,IF($A$1=$C$1,C235,IF($A$1=$D$1,D235,"N/A")))</f>
        <v>0</v>
      </c>
    </row>
    <row r="236" ht="11.25">
      <c r="A236" s="463">
        <f t="shared" si="9"/>
        <v>0</v>
      </c>
    </row>
    <row r="237" ht="11.25">
      <c r="A237" s="463">
        <f t="shared" si="9"/>
        <v>0</v>
      </c>
    </row>
    <row r="238" ht="11.25">
      <c r="A238" s="463">
        <f t="shared" si="9"/>
        <v>0</v>
      </c>
    </row>
    <row r="239" ht="11.25">
      <c r="A239" s="463">
        <f t="shared" si="9"/>
        <v>0</v>
      </c>
    </row>
    <row r="240" ht="11.25">
      <c r="A240" s="463">
        <f t="shared" si="9"/>
        <v>0</v>
      </c>
    </row>
    <row r="241" ht="11.25">
      <c r="A241" s="463">
        <f t="shared" si="9"/>
        <v>0</v>
      </c>
    </row>
    <row r="242" ht="11.25">
      <c r="A242" s="463">
        <f t="shared" si="9"/>
        <v>0</v>
      </c>
    </row>
    <row r="243" ht="11.25">
      <c r="A243" s="463">
        <f t="shared" si="9"/>
        <v>0</v>
      </c>
    </row>
    <row r="244" ht="11.25">
      <c r="A244" s="463">
        <f t="shared" si="9"/>
        <v>0</v>
      </c>
    </row>
    <row r="245" ht="11.25">
      <c r="A245" s="463">
        <f t="shared" si="9"/>
        <v>0</v>
      </c>
    </row>
    <row r="246" ht="11.25">
      <c r="A246" s="463">
        <f t="shared" si="9"/>
        <v>0</v>
      </c>
    </row>
    <row r="247" ht="11.25">
      <c r="A247" s="463">
        <f t="shared" si="9"/>
        <v>0</v>
      </c>
    </row>
    <row r="248" ht="11.25">
      <c r="A248" s="463">
        <f t="shared" si="9"/>
        <v>0</v>
      </c>
    </row>
    <row r="249" ht="11.25">
      <c r="A249" s="463">
        <f t="shared" si="9"/>
        <v>0</v>
      </c>
    </row>
    <row r="250" ht="11.25">
      <c r="A250" s="463">
        <f t="shared" si="9"/>
        <v>0</v>
      </c>
    </row>
    <row r="251" ht="11.25">
      <c r="A251" s="463">
        <f t="shared" si="9"/>
        <v>0</v>
      </c>
    </row>
    <row r="252" ht="11.25">
      <c r="A252" s="463">
        <f t="shared" si="9"/>
        <v>0</v>
      </c>
    </row>
    <row r="253" ht="11.25">
      <c r="A253" s="463">
        <f t="shared" si="9"/>
        <v>0</v>
      </c>
    </row>
    <row r="254" ht="11.25">
      <c r="A254" s="463">
        <f t="shared" si="9"/>
        <v>0</v>
      </c>
    </row>
    <row r="255" ht="11.25">
      <c r="A255" s="463">
        <f t="shared" si="9"/>
        <v>0</v>
      </c>
    </row>
    <row r="256" ht="11.25">
      <c r="A256" s="463">
        <f t="shared" si="9"/>
        <v>0</v>
      </c>
    </row>
    <row r="257" ht="11.25">
      <c r="A257" s="463">
        <f t="shared" si="9"/>
        <v>0</v>
      </c>
    </row>
    <row r="258" ht="11.25">
      <c r="A258" s="463">
        <f t="shared" si="9"/>
        <v>0</v>
      </c>
    </row>
    <row r="259" ht="11.25">
      <c r="A259" s="463">
        <f t="shared" si="9"/>
        <v>0</v>
      </c>
    </row>
    <row r="260" ht="11.25">
      <c r="A260" s="463">
        <f t="shared" si="9"/>
        <v>0</v>
      </c>
    </row>
    <row r="261" ht="11.25">
      <c r="A261" s="463">
        <f t="shared" si="9"/>
        <v>0</v>
      </c>
    </row>
    <row r="262" ht="11.25">
      <c r="A262" s="463">
        <f t="shared" si="9"/>
        <v>0</v>
      </c>
    </row>
    <row r="263" ht="11.25">
      <c r="A263" s="463">
        <f t="shared" si="9"/>
        <v>0</v>
      </c>
    </row>
    <row r="264" ht="11.25">
      <c r="A264" s="463">
        <f t="shared" si="9"/>
        <v>0</v>
      </c>
    </row>
    <row r="265" ht="11.25">
      <c r="A265" s="463">
        <f t="shared" si="9"/>
        <v>0</v>
      </c>
    </row>
    <row r="266" ht="11.25">
      <c r="A266" s="463">
        <f t="shared" si="9"/>
        <v>0</v>
      </c>
    </row>
    <row r="267" ht="11.25">
      <c r="A267" s="463">
        <f t="shared" si="9"/>
        <v>0</v>
      </c>
    </row>
    <row r="268" ht="11.25">
      <c r="A268" s="463">
        <f t="shared" si="9"/>
        <v>0</v>
      </c>
    </row>
    <row r="269" ht="11.25">
      <c r="A269" s="463">
        <f t="shared" si="9"/>
        <v>0</v>
      </c>
    </row>
    <row r="270" ht="11.25">
      <c r="A270" s="463">
        <f t="shared" si="9"/>
        <v>0</v>
      </c>
    </row>
    <row r="271" ht="11.25">
      <c r="A271" s="463">
        <f t="shared" si="9"/>
        <v>0</v>
      </c>
    </row>
    <row r="272" ht="11.25">
      <c r="A272" s="463">
        <f t="shared" si="9"/>
        <v>0</v>
      </c>
    </row>
    <row r="273" ht="11.25">
      <c r="A273" s="463">
        <f t="shared" si="9"/>
        <v>0</v>
      </c>
    </row>
    <row r="274" ht="11.25">
      <c r="A274" s="463">
        <f t="shared" si="9"/>
        <v>0</v>
      </c>
    </row>
    <row r="275" ht="11.25">
      <c r="A275" s="463">
        <f t="shared" si="9"/>
        <v>0</v>
      </c>
    </row>
    <row r="276" ht="11.25">
      <c r="A276" s="463">
        <f t="shared" si="9"/>
        <v>0</v>
      </c>
    </row>
    <row r="277" ht="11.25">
      <c r="A277" s="463">
        <f t="shared" si="9"/>
        <v>0</v>
      </c>
    </row>
    <row r="278" ht="11.25">
      <c r="A278" s="463">
        <f t="shared" si="9"/>
        <v>0</v>
      </c>
    </row>
    <row r="279" ht="11.25">
      <c r="A279" s="463">
        <f t="shared" si="9"/>
        <v>0</v>
      </c>
    </row>
    <row r="280" ht="11.25">
      <c r="A280" s="463">
        <f t="shared" si="9"/>
        <v>0</v>
      </c>
    </row>
    <row r="281" ht="11.25">
      <c r="A281" s="463">
        <f t="shared" si="9"/>
        <v>0</v>
      </c>
    </row>
    <row r="282" ht="11.25">
      <c r="A282" s="463">
        <f t="shared" si="9"/>
        <v>0</v>
      </c>
    </row>
    <row r="283" ht="11.25">
      <c r="A283" s="463">
        <f t="shared" si="9"/>
        <v>0</v>
      </c>
    </row>
    <row r="284" ht="11.25">
      <c r="A284" s="463">
        <f t="shared" si="9"/>
        <v>0</v>
      </c>
    </row>
    <row r="285" ht="11.25">
      <c r="A285" s="463">
        <f t="shared" si="9"/>
        <v>0</v>
      </c>
    </row>
    <row r="286" ht="11.25">
      <c r="A286" s="463">
        <f t="shared" si="9"/>
        <v>0</v>
      </c>
    </row>
    <row r="287" ht="11.25">
      <c r="A287" s="463">
        <f t="shared" si="9"/>
        <v>0</v>
      </c>
    </row>
    <row r="288" ht="11.25">
      <c r="A288" s="463">
        <f t="shared" si="9"/>
        <v>0</v>
      </c>
    </row>
    <row r="289" ht="11.25">
      <c r="A289" s="463">
        <f t="shared" si="9"/>
        <v>0</v>
      </c>
    </row>
    <row r="290" ht="11.25">
      <c r="A290" s="463">
        <f t="shared" si="9"/>
        <v>0</v>
      </c>
    </row>
    <row r="291" ht="11.25">
      <c r="A291" s="463">
        <f t="shared" si="9"/>
        <v>0</v>
      </c>
    </row>
    <row r="292" ht="11.25">
      <c r="A292" s="463">
        <f t="shared" si="9"/>
        <v>0</v>
      </c>
    </row>
    <row r="293" ht="11.25">
      <c r="A293" s="463">
        <f t="shared" si="9"/>
        <v>0</v>
      </c>
    </row>
    <row r="294" ht="11.25">
      <c r="A294" s="463">
        <f t="shared" si="9"/>
        <v>0</v>
      </c>
    </row>
    <row r="295" ht="11.25">
      <c r="A295" s="463">
        <f t="shared" si="9"/>
        <v>0</v>
      </c>
    </row>
    <row r="296" ht="11.25">
      <c r="A296" s="463">
        <f t="shared" si="9"/>
        <v>0</v>
      </c>
    </row>
    <row r="297" ht="11.25">
      <c r="A297" s="463">
        <f t="shared" si="9"/>
        <v>0</v>
      </c>
    </row>
    <row r="298" ht="11.25">
      <c r="A298" s="463">
        <f t="shared" si="9"/>
        <v>0</v>
      </c>
    </row>
    <row r="299" ht="11.25">
      <c r="A299" s="463">
        <f aca="true" t="shared" si="10" ref="A299:A362">IF($A$1=$B$1,B299,IF($A$1=$C$1,C299,IF($A$1=$D$1,D299,"N/A")))</f>
        <v>0</v>
      </c>
    </row>
    <row r="300" ht="11.25">
      <c r="A300" s="463">
        <f t="shared" si="10"/>
        <v>0</v>
      </c>
    </row>
    <row r="301" ht="11.25">
      <c r="A301" s="463">
        <f t="shared" si="10"/>
        <v>0</v>
      </c>
    </row>
    <row r="302" ht="11.25">
      <c r="A302" s="463">
        <f t="shared" si="10"/>
        <v>0</v>
      </c>
    </row>
    <row r="303" ht="11.25">
      <c r="A303" s="463">
        <f t="shared" si="10"/>
        <v>0</v>
      </c>
    </row>
    <row r="304" ht="11.25">
      <c r="A304" s="463">
        <f t="shared" si="10"/>
        <v>0</v>
      </c>
    </row>
    <row r="305" ht="11.25">
      <c r="A305" s="463">
        <f t="shared" si="10"/>
        <v>0</v>
      </c>
    </row>
    <row r="306" ht="11.25">
      <c r="A306" s="463">
        <f t="shared" si="10"/>
        <v>0</v>
      </c>
    </row>
    <row r="307" ht="11.25">
      <c r="A307" s="463">
        <f t="shared" si="10"/>
        <v>0</v>
      </c>
    </row>
    <row r="308" ht="11.25">
      <c r="A308" s="463">
        <f t="shared" si="10"/>
        <v>0</v>
      </c>
    </row>
    <row r="309" ht="11.25">
      <c r="A309" s="463">
        <f t="shared" si="10"/>
        <v>0</v>
      </c>
    </row>
    <row r="310" ht="11.25">
      <c r="A310" s="463">
        <f t="shared" si="10"/>
        <v>0</v>
      </c>
    </row>
    <row r="311" ht="11.25">
      <c r="A311" s="463">
        <f t="shared" si="10"/>
        <v>0</v>
      </c>
    </row>
    <row r="312" ht="11.25">
      <c r="A312" s="463">
        <f t="shared" si="10"/>
        <v>0</v>
      </c>
    </row>
    <row r="313" ht="11.25">
      <c r="A313" s="463">
        <f t="shared" si="10"/>
        <v>0</v>
      </c>
    </row>
    <row r="314" ht="11.25">
      <c r="A314" s="463">
        <f t="shared" si="10"/>
        <v>0</v>
      </c>
    </row>
    <row r="315" ht="11.25">
      <c r="A315" s="463">
        <f t="shared" si="10"/>
        <v>0</v>
      </c>
    </row>
    <row r="316" ht="11.25">
      <c r="A316" s="463">
        <f t="shared" si="10"/>
        <v>0</v>
      </c>
    </row>
    <row r="317" ht="11.25">
      <c r="A317" s="463">
        <f t="shared" si="10"/>
        <v>0</v>
      </c>
    </row>
    <row r="318" ht="11.25">
      <c r="A318" s="463">
        <f t="shared" si="10"/>
        <v>0</v>
      </c>
    </row>
    <row r="319" ht="11.25">
      <c r="A319" s="463">
        <f t="shared" si="10"/>
        <v>0</v>
      </c>
    </row>
    <row r="320" ht="11.25">
      <c r="A320" s="463">
        <f t="shared" si="10"/>
        <v>0</v>
      </c>
    </row>
    <row r="321" ht="11.25">
      <c r="A321" s="463">
        <f t="shared" si="10"/>
        <v>0</v>
      </c>
    </row>
    <row r="322" ht="11.25">
      <c r="A322" s="463">
        <f t="shared" si="10"/>
        <v>0</v>
      </c>
    </row>
    <row r="323" ht="11.25">
      <c r="A323" s="463">
        <f t="shared" si="10"/>
        <v>0</v>
      </c>
    </row>
    <row r="324" ht="11.25">
      <c r="A324" s="463">
        <f t="shared" si="10"/>
        <v>0</v>
      </c>
    </row>
    <row r="325" ht="11.25">
      <c r="A325" s="463">
        <f t="shared" si="10"/>
        <v>0</v>
      </c>
    </row>
    <row r="326" ht="11.25">
      <c r="A326" s="463">
        <f t="shared" si="10"/>
        <v>0</v>
      </c>
    </row>
    <row r="327" ht="11.25">
      <c r="A327" s="463">
        <f t="shared" si="10"/>
        <v>0</v>
      </c>
    </row>
    <row r="328" ht="11.25">
      <c r="A328" s="463">
        <f t="shared" si="10"/>
        <v>0</v>
      </c>
    </row>
    <row r="329" ht="11.25">
      <c r="A329" s="463">
        <f t="shared" si="10"/>
        <v>0</v>
      </c>
    </row>
    <row r="330" ht="11.25">
      <c r="A330" s="463">
        <f t="shared" si="10"/>
        <v>0</v>
      </c>
    </row>
    <row r="331" ht="11.25">
      <c r="A331" s="463">
        <f t="shared" si="10"/>
        <v>0</v>
      </c>
    </row>
    <row r="332" ht="11.25">
      <c r="A332" s="463">
        <f t="shared" si="10"/>
        <v>0</v>
      </c>
    </row>
    <row r="333" ht="11.25">
      <c r="A333" s="463">
        <f t="shared" si="10"/>
        <v>0</v>
      </c>
    </row>
    <row r="334" ht="11.25">
      <c r="A334" s="463">
        <f t="shared" si="10"/>
        <v>0</v>
      </c>
    </row>
    <row r="335" ht="11.25">
      <c r="A335" s="463">
        <f t="shared" si="10"/>
        <v>0</v>
      </c>
    </row>
    <row r="336" ht="11.25">
      <c r="A336" s="463">
        <f t="shared" si="10"/>
        <v>0</v>
      </c>
    </row>
    <row r="337" ht="11.25">
      <c r="A337" s="463">
        <f t="shared" si="10"/>
        <v>0</v>
      </c>
    </row>
    <row r="338" ht="11.25">
      <c r="A338" s="463">
        <f t="shared" si="10"/>
        <v>0</v>
      </c>
    </row>
    <row r="339" ht="11.25">
      <c r="A339" s="463">
        <f t="shared" si="10"/>
        <v>0</v>
      </c>
    </row>
    <row r="340" ht="11.25">
      <c r="A340" s="463">
        <f t="shared" si="10"/>
        <v>0</v>
      </c>
    </row>
    <row r="341" ht="11.25">
      <c r="A341" s="463">
        <f t="shared" si="10"/>
        <v>0</v>
      </c>
    </row>
    <row r="342" ht="11.25">
      <c r="A342" s="463">
        <f t="shared" si="10"/>
        <v>0</v>
      </c>
    </row>
    <row r="343" ht="11.25">
      <c r="A343" s="463">
        <f t="shared" si="10"/>
        <v>0</v>
      </c>
    </row>
    <row r="344" ht="11.25">
      <c r="A344" s="463">
        <f t="shared" si="10"/>
        <v>0</v>
      </c>
    </row>
    <row r="345" ht="11.25">
      <c r="A345" s="463">
        <f t="shared" si="10"/>
        <v>0</v>
      </c>
    </row>
    <row r="346" ht="11.25">
      <c r="A346" s="463">
        <f t="shared" si="10"/>
        <v>0</v>
      </c>
    </row>
    <row r="347" ht="11.25">
      <c r="A347" s="463">
        <f t="shared" si="10"/>
        <v>0</v>
      </c>
    </row>
    <row r="348" ht="11.25">
      <c r="A348" s="463">
        <f t="shared" si="10"/>
        <v>0</v>
      </c>
    </row>
    <row r="349" ht="11.25">
      <c r="A349" s="463">
        <f t="shared" si="10"/>
        <v>0</v>
      </c>
    </row>
    <row r="350" ht="11.25">
      <c r="A350" s="463">
        <f t="shared" si="10"/>
        <v>0</v>
      </c>
    </row>
    <row r="351" ht="11.25">
      <c r="A351" s="463">
        <f t="shared" si="10"/>
        <v>0</v>
      </c>
    </row>
    <row r="352" ht="11.25">
      <c r="A352" s="463">
        <f t="shared" si="10"/>
        <v>0</v>
      </c>
    </row>
    <row r="353" ht="11.25">
      <c r="A353" s="463">
        <f t="shared" si="10"/>
        <v>0</v>
      </c>
    </row>
    <row r="354" ht="11.25">
      <c r="A354" s="463">
        <f t="shared" si="10"/>
        <v>0</v>
      </c>
    </row>
    <row r="355" ht="11.25">
      <c r="A355" s="463">
        <f t="shared" si="10"/>
        <v>0</v>
      </c>
    </row>
    <row r="356" ht="11.25">
      <c r="A356" s="463">
        <f t="shared" si="10"/>
        <v>0</v>
      </c>
    </row>
    <row r="357" ht="11.25">
      <c r="A357" s="463">
        <f t="shared" si="10"/>
        <v>0</v>
      </c>
    </row>
    <row r="358" ht="11.25">
      <c r="A358" s="463">
        <f t="shared" si="10"/>
        <v>0</v>
      </c>
    </row>
    <row r="359" ht="11.25">
      <c r="A359" s="463">
        <f t="shared" si="10"/>
        <v>0</v>
      </c>
    </row>
    <row r="360" ht="11.25">
      <c r="A360" s="463">
        <f t="shared" si="10"/>
        <v>0</v>
      </c>
    </row>
    <row r="361" ht="11.25">
      <c r="A361" s="463">
        <f t="shared" si="10"/>
        <v>0</v>
      </c>
    </row>
    <row r="362" ht="11.25">
      <c r="A362" s="463">
        <f t="shared" si="10"/>
        <v>0</v>
      </c>
    </row>
    <row r="363" ht="11.25">
      <c r="A363" s="463">
        <f aca="true" t="shared" si="11" ref="A363:A426">IF($A$1=$B$1,B363,IF($A$1=$C$1,C363,IF($A$1=$D$1,D363,"N/A")))</f>
        <v>0</v>
      </c>
    </row>
    <row r="364" ht="11.25">
      <c r="A364" s="463">
        <f t="shared" si="11"/>
        <v>0</v>
      </c>
    </row>
    <row r="365" ht="11.25">
      <c r="A365" s="463">
        <f t="shared" si="11"/>
        <v>0</v>
      </c>
    </row>
    <row r="366" ht="11.25">
      <c r="A366" s="463">
        <f t="shared" si="11"/>
        <v>0</v>
      </c>
    </row>
    <row r="367" ht="11.25">
      <c r="A367" s="463">
        <f t="shared" si="11"/>
        <v>0</v>
      </c>
    </row>
    <row r="368" ht="11.25">
      <c r="A368" s="463">
        <f t="shared" si="11"/>
        <v>0</v>
      </c>
    </row>
    <row r="369" ht="11.25">
      <c r="A369" s="463">
        <f t="shared" si="11"/>
        <v>0</v>
      </c>
    </row>
    <row r="370" ht="11.25">
      <c r="A370" s="463">
        <f t="shared" si="11"/>
        <v>0</v>
      </c>
    </row>
    <row r="371" ht="11.25">
      <c r="A371" s="463">
        <f t="shared" si="11"/>
        <v>0</v>
      </c>
    </row>
    <row r="372" ht="11.25">
      <c r="A372" s="463">
        <f t="shared" si="11"/>
        <v>0</v>
      </c>
    </row>
    <row r="373" ht="11.25">
      <c r="A373" s="463">
        <f t="shared" si="11"/>
        <v>0</v>
      </c>
    </row>
    <row r="374" ht="11.25">
      <c r="A374" s="463">
        <f t="shared" si="11"/>
        <v>0</v>
      </c>
    </row>
    <row r="375" ht="11.25">
      <c r="A375" s="463">
        <f t="shared" si="11"/>
        <v>0</v>
      </c>
    </row>
    <row r="376" ht="11.25">
      <c r="A376" s="463">
        <f t="shared" si="11"/>
        <v>0</v>
      </c>
    </row>
    <row r="377" ht="11.25">
      <c r="A377" s="463">
        <f t="shared" si="11"/>
        <v>0</v>
      </c>
    </row>
    <row r="378" ht="11.25">
      <c r="A378" s="463">
        <f t="shared" si="11"/>
        <v>0</v>
      </c>
    </row>
    <row r="379" ht="11.25">
      <c r="A379" s="463">
        <f t="shared" si="11"/>
        <v>0</v>
      </c>
    </row>
    <row r="380" ht="11.25">
      <c r="A380" s="463">
        <f t="shared" si="11"/>
        <v>0</v>
      </c>
    </row>
    <row r="381" ht="11.25">
      <c r="A381" s="463">
        <f t="shared" si="11"/>
        <v>0</v>
      </c>
    </row>
    <row r="382" ht="11.25">
      <c r="A382" s="463">
        <f t="shared" si="11"/>
        <v>0</v>
      </c>
    </row>
    <row r="383" ht="11.25">
      <c r="A383" s="463">
        <f t="shared" si="11"/>
        <v>0</v>
      </c>
    </row>
    <row r="384" ht="11.25">
      <c r="A384" s="463">
        <f t="shared" si="11"/>
        <v>0</v>
      </c>
    </row>
    <row r="385" ht="11.25">
      <c r="A385" s="463">
        <f t="shared" si="11"/>
        <v>0</v>
      </c>
    </row>
    <row r="386" ht="11.25">
      <c r="A386" s="463">
        <f t="shared" si="11"/>
        <v>0</v>
      </c>
    </row>
    <row r="387" ht="11.25">
      <c r="A387" s="463">
        <f t="shared" si="11"/>
        <v>0</v>
      </c>
    </row>
    <row r="388" ht="11.25">
      <c r="A388" s="463">
        <f t="shared" si="11"/>
        <v>0</v>
      </c>
    </row>
    <row r="389" ht="11.25">
      <c r="A389" s="463">
        <f t="shared" si="11"/>
        <v>0</v>
      </c>
    </row>
    <row r="390" ht="11.25">
      <c r="A390" s="463">
        <f t="shared" si="11"/>
        <v>0</v>
      </c>
    </row>
    <row r="391" ht="11.25">
      <c r="A391" s="463">
        <f t="shared" si="11"/>
        <v>0</v>
      </c>
    </row>
    <row r="392" ht="11.25">
      <c r="A392" s="463">
        <f t="shared" si="11"/>
        <v>0</v>
      </c>
    </row>
    <row r="393" ht="11.25">
      <c r="A393" s="463">
        <f t="shared" si="11"/>
        <v>0</v>
      </c>
    </row>
    <row r="394" ht="11.25">
      <c r="A394" s="463">
        <f t="shared" si="11"/>
        <v>0</v>
      </c>
    </row>
    <row r="395" ht="11.25">
      <c r="A395" s="463">
        <f t="shared" si="11"/>
        <v>0</v>
      </c>
    </row>
    <row r="396" ht="11.25">
      <c r="A396" s="463">
        <f t="shared" si="11"/>
        <v>0</v>
      </c>
    </row>
    <row r="397" ht="11.25">
      <c r="A397" s="463">
        <f t="shared" si="11"/>
        <v>0</v>
      </c>
    </row>
    <row r="398" ht="11.25">
      <c r="A398" s="463">
        <f t="shared" si="11"/>
        <v>0</v>
      </c>
    </row>
    <row r="399" ht="11.25">
      <c r="A399" s="463">
        <f t="shared" si="11"/>
        <v>0</v>
      </c>
    </row>
    <row r="400" ht="11.25">
      <c r="A400" s="463">
        <f t="shared" si="11"/>
        <v>0</v>
      </c>
    </row>
    <row r="401" ht="11.25">
      <c r="A401" s="463">
        <f t="shared" si="11"/>
        <v>0</v>
      </c>
    </row>
    <row r="402" ht="11.25">
      <c r="A402" s="463">
        <f t="shared" si="11"/>
        <v>0</v>
      </c>
    </row>
    <row r="403" ht="11.25">
      <c r="A403" s="463">
        <f t="shared" si="11"/>
        <v>0</v>
      </c>
    </row>
    <row r="404" ht="11.25">
      <c r="A404" s="463">
        <f t="shared" si="11"/>
        <v>0</v>
      </c>
    </row>
    <row r="405" ht="11.25">
      <c r="A405" s="463">
        <f t="shared" si="11"/>
        <v>0</v>
      </c>
    </row>
    <row r="406" ht="11.25">
      <c r="A406" s="463">
        <f t="shared" si="11"/>
        <v>0</v>
      </c>
    </row>
    <row r="407" ht="11.25">
      <c r="A407" s="463">
        <f t="shared" si="11"/>
        <v>0</v>
      </c>
    </row>
    <row r="408" ht="11.25">
      <c r="A408" s="463">
        <f t="shared" si="11"/>
        <v>0</v>
      </c>
    </row>
    <row r="409" ht="11.25">
      <c r="A409" s="463">
        <f t="shared" si="11"/>
        <v>0</v>
      </c>
    </row>
    <row r="410" ht="11.25">
      <c r="A410" s="463">
        <f t="shared" si="11"/>
        <v>0</v>
      </c>
    </row>
    <row r="411" ht="11.25">
      <c r="A411" s="463">
        <f t="shared" si="11"/>
        <v>0</v>
      </c>
    </row>
    <row r="412" ht="11.25">
      <c r="A412" s="463">
        <f t="shared" si="11"/>
        <v>0</v>
      </c>
    </row>
    <row r="413" ht="11.25">
      <c r="A413" s="463">
        <f t="shared" si="11"/>
        <v>0</v>
      </c>
    </row>
    <row r="414" ht="11.25">
      <c r="A414" s="463">
        <f t="shared" si="11"/>
        <v>0</v>
      </c>
    </row>
    <row r="415" ht="11.25">
      <c r="A415" s="463">
        <f t="shared" si="11"/>
        <v>0</v>
      </c>
    </row>
    <row r="416" ht="11.25">
      <c r="A416" s="463">
        <f t="shared" si="11"/>
        <v>0</v>
      </c>
    </row>
    <row r="417" ht="11.25">
      <c r="A417" s="463">
        <f t="shared" si="11"/>
        <v>0</v>
      </c>
    </row>
    <row r="418" ht="11.25">
      <c r="A418" s="463">
        <f t="shared" si="11"/>
        <v>0</v>
      </c>
    </row>
    <row r="419" ht="11.25">
      <c r="A419" s="463">
        <f t="shared" si="11"/>
        <v>0</v>
      </c>
    </row>
    <row r="420" ht="11.25">
      <c r="A420" s="463">
        <f t="shared" si="11"/>
        <v>0</v>
      </c>
    </row>
    <row r="421" ht="11.25">
      <c r="A421" s="463">
        <f t="shared" si="11"/>
        <v>0</v>
      </c>
    </row>
    <row r="422" ht="11.25">
      <c r="A422" s="463">
        <f t="shared" si="11"/>
        <v>0</v>
      </c>
    </row>
    <row r="423" ht="11.25">
      <c r="A423" s="463">
        <f t="shared" si="11"/>
        <v>0</v>
      </c>
    </row>
    <row r="424" ht="11.25">
      <c r="A424" s="463">
        <f t="shared" si="11"/>
        <v>0</v>
      </c>
    </row>
    <row r="425" ht="11.25">
      <c r="A425" s="463">
        <f t="shared" si="11"/>
        <v>0</v>
      </c>
    </row>
    <row r="426" ht="11.25">
      <c r="A426" s="463">
        <f t="shared" si="11"/>
        <v>0</v>
      </c>
    </row>
    <row r="427" ht="11.25">
      <c r="A427" s="463">
        <f aca="true" t="shared" si="12" ref="A427:A490">IF($A$1=$B$1,B427,IF($A$1=$C$1,C427,IF($A$1=$D$1,D427,"N/A")))</f>
        <v>0</v>
      </c>
    </row>
    <row r="428" ht="11.25">
      <c r="A428" s="463">
        <f t="shared" si="12"/>
        <v>0</v>
      </c>
    </row>
    <row r="429" ht="11.25">
      <c r="A429" s="463">
        <f t="shared" si="12"/>
        <v>0</v>
      </c>
    </row>
    <row r="430" ht="11.25">
      <c r="A430" s="463">
        <f t="shared" si="12"/>
        <v>0</v>
      </c>
    </row>
    <row r="431" ht="11.25">
      <c r="A431" s="463">
        <f t="shared" si="12"/>
        <v>0</v>
      </c>
    </row>
    <row r="432" ht="11.25">
      <c r="A432" s="463">
        <f t="shared" si="12"/>
        <v>0</v>
      </c>
    </row>
    <row r="433" ht="11.25">
      <c r="A433" s="463">
        <f t="shared" si="12"/>
        <v>0</v>
      </c>
    </row>
    <row r="434" ht="11.25">
      <c r="A434" s="463">
        <f t="shared" si="12"/>
        <v>0</v>
      </c>
    </row>
    <row r="435" ht="11.25">
      <c r="A435" s="463">
        <f t="shared" si="12"/>
        <v>0</v>
      </c>
    </row>
    <row r="436" ht="11.25">
      <c r="A436" s="463">
        <f t="shared" si="12"/>
        <v>0</v>
      </c>
    </row>
    <row r="437" ht="11.25">
      <c r="A437" s="463">
        <f t="shared" si="12"/>
        <v>0</v>
      </c>
    </row>
    <row r="438" ht="11.25">
      <c r="A438" s="463">
        <f t="shared" si="12"/>
        <v>0</v>
      </c>
    </row>
    <row r="439" ht="11.25">
      <c r="A439" s="463">
        <f t="shared" si="12"/>
        <v>0</v>
      </c>
    </row>
    <row r="440" ht="11.25">
      <c r="A440" s="463">
        <f t="shared" si="12"/>
        <v>0</v>
      </c>
    </row>
    <row r="441" ht="11.25">
      <c r="A441" s="463">
        <f t="shared" si="12"/>
        <v>0</v>
      </c>
    </row>
    <row r="442" ht="11.25">
      <c r="A442" s="463">
        <f t="shared" si="12"/>
        <v>0</v>
      </c>
    </row>
    <row r="443" ht="11.25">
      <c r="A443" s="463">
        <f t="shared" si="12"/>
        <v>0</v>
      </c>
    </row>
    <row r="444" ht="11.25">
      <c r="A444" s="463">
        <f t="shared" si="12"/>
        <v>0</v>
      </c>
    </row>
    <row r="445" ht="11.25">
      <c r="A445" s="463">
        <f t="shared" si="12"/>
        <v>0</v>
      </c>
    </row>
    <row r="446" ht="11.25">
      <c r="A446" s="463">
        <f t="shared" si="12"/>
        <v>0</v>
      </c>
    </row>
    <row r="447" ht="11.25">
      <c r="A447" s="463">
        <f t="shared" si="12"/>
        <v>0</v>
      </c>
    </row>
    <row r="448" ht="11.25">
      <c r="A448" s="463">
        <f t="shared" si="12"/>
        <v>0</v>
      </c>
    </row>
    <row r="449" ht="11.25">
      <c r="A449" s="463">
        <f t="shared" si="12"/>
        <v>0</v>
      </c>
    </row>
    <row r="450" ht="11.25">
      <c r="A450" s="463">
        <f t="shared" si="12"/>
        <v>0</v>
      </c>
    </row>
    <row r="451" ht="11.25">
      <c r="A451" s="463">
        <f t="shared" si="12"/>
        <v>0</v>
      </c>
    </row>
    <row r="452" ht="11.25">
      <c r="A452" s="463">
        <f t="shared" si="12"/>
        <v>0</v>
      </c>
    </row>
    <row r="453" ht="11.25">
      <c r="A453" s="463">
        <f t="shared" si="12"/>
        <v>0</v>
      </c>
    </row>
    <row r="454" ht="11.25">
      <c r="A454" s="463">
        <f t="shared" si="12"/>
        <v>0</v>
      </c>
    </row>
    <row r="455" ht="11.25">
      <c r="A455" s="463">
        <f t="shared" si="12"/>
        <v>0</v>
      </c>
    </row>
    <row r="456" ht="11.25">
      <c r="A456" s="463">
        <f t="shared" si="12"/>
        <v>0</v>
      </c>
    </row>
    <row r="457" ht="11.25">
      <c r="A457" s="463">
        <f t="shared" si="12"/>
        <v>0</v>
      </c>
    </row>
    <row r="458" ht="11.25">
      <c r="A458" s="463">
        <f t="shared" si="12"/>
        <v>0</v>
      </c>
    </row>
    <row r="459" ht="11.25">
      <c r="A459" s="463">
        <f t="shared" si="12"/>
        <v>0</v>
      </c>
    </row>
    <row r="460" ht="11.25">
      <c r="A460" s="463">
        <f t="shared" si="12"/>
        <v>0</v>
      </c>
    </row>
    <row r="461" ht="11.25">
      <c r="A461" s="463">
        <f t="shared" si="12"/>
        <v>0</v>
      </c>
    </row>
    <row r="462" ht="11.25">
      <c r="A462" s="463">
        <f t="shared" si="12"/>
        <v>0</v>
      </c>
    </row>
    <row r="463" ht="11.25">
      <c r="A463" s="463">
        <f t="shared" si="12"/>
        <v>0</v>
      </c>
    </row>
    <row r="464" ht="11.25">
      <c r="A464" s="463">
        <f t="shared" si="12"/>
        <v>0</v>
      </c>
    </row>
    <row r="465" ht="11.25">
      <c r="A465" s="463">
        <f t="shared" si="12"/>
        <v>0</v>
      </c>
    </row>
    <row r="466" ht="11.25">
      <c r="A466" s="463">
        <f t="shared" si="12"/>
        <v>0</v>
      </c>
    </row>
    <row r="467" ht="11.25">
      <c r="A467" s="463">
        <f t="shared" si="12"/>
        <v>0</v>
      </c>
    </row>
    <row r="468" ht="11.25">
      <c r="A468" s="463">
        <f t="shared" si="12"/>
        <v>0</v>
      </c>
    </row>
    <row r="469" ht="11.25">
      <c r="A469" s="463">
        <f t="shared" si="12"/>
        <v>0</v>
      </c>
    </row>
    <row r="470" ht="11.25">
      <c r="A470" s="463">
        <f t="shared" si="12"/>
        <v>0</v>
      </c>
    </row>
    <row r="471" ht="11.25">
      <c r="A471" s="463">
        <f t="shared" si="12"/>
        <v>0</v>
      </c>
    </row>
    <row r="472" ht="11.25">
      <c r="A472" s="463">
        <f t="shared" si="12"/>
        <v>0</v>
      </c>
    </row>
    <row r="473" ht="11.25">
      <c r="A473" s="463">
        <f t="shared" si="12"/>
        <v>0</v>
      </c>
    </row>
    <row r="474" ht="11.25">
      <c r="A474" s="463">
        <f t="shared" si="12"/>
        <v>0</v>
      </c>
    </row>
    <row r="475" ht="11.25">
      <c r="A475" s="463">
        <f t="shared" si="12"/>
        <v>0</v>
      </c>
    </row>
    <row r="476" ht="11.25">
      <c r="A476" s="463">
        <f t="shared" si="12"/>
        <v>0</v>
      </c>
    </row>
    <row r="477" ht="11.25">
      <c r="A477" s="463">
        <f t="shared" si="12"/>
        <v>0</v>
      </c>
    </row>
    <row r="478" ht="11.25">
      <c r="A478" s="463">
        <f t="shared" si="12"/>
        <v>0</v>
      </c>
    </row>
    <row r="479" ht="11.25">
      <c r="A479" s="463">
        <f t="shared" si="12"/>
        <v>0</v>
      </c>
    </row>
    <row r="480" ht="11.25">
      <c r="A480" s="463">
        <f t="shared" si="12"/>
        <v>0</v>
      </c>
    </row>
    <row r="481" ht="11.25">
      <c r="A481" s="463">
        <f t="shared" si="12"/>
        <v>0</v>
      </c>
    </row>
    <row r="482" ht="11.25">
      <c r="A482" s="463">
        <f t="shared" si="12"/>
        <v>0</v>
      </c>
    </row>
    <row r="483" ht="11.25">
      <c r="A483" s="463">
        <f t="shared" si="12"/>
        <v>0</v>
      </c>
    </row>
    <row r="484" ht="11.25">
      <c r="A484" s="463">
        <f t="shared" si="12"/>
        <v>0</v>
      </c>
    </row>
    <row r="485" ht="11.25">
      <c r="A485" s="463">
        <f t="shared" si="12"/>
        <v>0</v>
      </c>
    </row>
    <row r="486" ht="11.25">
      <c r="A486" s="463">
        <f t="shared" si="12"/>
        <v>0</v>
      </c>
    </row>
    <row r="487" ht="11.25">
      <c r="A487" s="463">
        <f t="shared" si="12"/>
        <v>0</v>
      </c>
    </row>
    <row r="488" ht="11.25">
      <c r="A488" s="463">
        <f t="shared" si="12"/>
        <v>0</v>
      </c>
    </row>
    <row r="489" ht="11.25">
      <c r="A489" s="463">
        <f t="shared" si="12"/>
        <v>0</v>
      </c>
    </row>
    <row r="490" ht="11.25">
      <c r="A490" s="463">
        <f t="shared" si="12"/>
        <v>0</v>
      </c>
    </row>
    <row r="491" ht="11.25">
      <c r="A491" s="463">
        <f aca="true" t="shared" si="13" ref="A491:A554">IF($A$1=$B$1,B491,IF($A$1=$C$1,C491,IF($A$1=$D$1,D491,"N/A")))</f>
        <v>0</v>
      </c>
    </row>
    <row r="492" ht="11.25">
      <c r="A492" s="463">
        <f t="shared" si="13"/>
        <v>0</v>
      </c>
    </row>
    <row r="493" ht="11.25">
      <c r="A493" s="463">
        <f t="shared" si="13"/>
        <v>0</v>
      </c>
    </row>
    <row r="494" ht="11.25">
      <c r="A494" s="463">
        <f t="shared" si="13"/>
        <v>0</v>
      </c>
    </row>
    <row r="495" ht="11.25">
      <c r="A495" s="463">
        <f t="shared" si="13"/>
        <v>0</v>
      </c>
    </row>
    <row r="496" ht="11.25">
      <c r="A496" s="463">
        <f t="shared" si="13"/>
        <v>0</v>
      </c>
    </row>
    <row r="497" ht="11.25">
      <c r="A497" s="463">
        <f t="shared" si="13"/>
        <v>0</v>
      </c>
    </row>
    <row r="498" ht="11.25">
      <c r="A498" s="463">
        <f t="shared" si="13"/>
        <v>0</v>
      </c>
    </row>
    <row r="499" ht="11.25">
      <c r="A499" s="463">
        <f t="shared" si="13"/>
        <v>0</v>
      </c>
    </row>
    <row r="500" ht="11.25">
      <c r="A500" s="463">
        <f t="shared" si="13"/>
        <v>0</v>
      </c>
    </row>
    <row r="501" ht="11.25">
      <c r="A501" s="463">
        <f t="shared" si="13"/>
        <v>0</v>
      </c>
    </row>
    <row r="502" ht="11.25">
      <c r="A502" s="463">
        <f t="shared" si="13"/>
        <v>0</v>
      </c>
    </row>
    <row r="503" ht="11.25">
      <c r="A503" s="463">
        <f t="shared" si="13"/>
        <v>0</v>
      </c>
    </row>
    <row r="504" ht="11.25">
      <c r="A504" s="463">
        <f t="shared" si="13"/>
        <v>0</v>
      </c>
    </row>
    <row r="505" ht="11.25">
      <c r="A505" s="463">
        <f t="shared" si="13"/>
        <v>0</v>
      </c>
    </row>
    <row r="506" ht="11.25">
      <c r="A506" s="463">
        <f t="shared" si="13"/>
        <v>0</v>
      </c>
    </row>
    <row r="507" ht="11.25">
      <c r="A507" s="463">
        <f t="shared" si="13"/>
        <v>0</v>
      </c>
    </row>
    <row r="508" ht="11.25">
      <c r="A508" s="463">
        <f t="shared" si="13"/>
        <v>0</v>
      </c>
    </row>
    <row r="509" ht="11.25">
      <c r="A509" s="463">
        <f t="shared" si="13"/>
        <v>0</v>
      </c>
    </row>
    <row r="510" ht="11.25">
      <c r="A510" s="463">
        <f t="shared" si="13"/>
        <v>0</v>
      </c>
    </row>
    <row r="511" ht="11.25">
      <c r="A511" s="463">
        <f t="shared" si="13"/>
        <v>0</v>
      </c>
    </row>
    <row r="512" ht="11.25">
      <c r="A512" s="463">
        <f t="shared" si="13"/>
        <v>0</v>
      </c>
    </row>
    <row r="513" ht="11.25">
      <c r="A513" s="463">
        <f t="shared" si="13"/>
        <v>0</v>
      </c>
    </row>
    <row r="514" ht="11.25">
      <c r="A514" s="463">
        <f t="shared" si="13"/>
        <v>0</v>
      </c>
    </row>
    <row r="515" ht="11.25">
      <c r="A515" s="463">
        <f t="shared" si="13"/>
        <v>0</v>
      </c>
    </row>
    <row r="516" ht="11.25">
      <c r="A516" s="463">
        <f t="shared" si="13"/>
        <v>0</v>
      </c>
    </row>
    <row r="517" ht="11.25">
      <c r="A517" s="463">
        <f t="shared" si="13"/>
        <v>0</v>
      </c>
    </row>
    <row r="518" ht="11.25">
      <c r="A518" s="463">
        <f t="shared" si="13"/>
        <v>0</v>
      </c>
    </row>
    <row r="519" ht="11.25">
      <c r="A519" s="463">
        <f t="shared" si="13"/>
        <v>0</v>
      </c>
    </row>
    <row r="520" ht="11.25">
      <c r="A520" s="463">
        <f t="shared" si="13"/>
        <v>0</v>
      </c>
    </row>
    <row r="521" ht="11.25">
      <c r="A521" s="463">
        <f t="shared" si="13"/>
        <v>0</v>
      </c>
    </row>
    <row r="522" ht="11.25">
      <c r="A522" s="463">
        <f t="shared" si="13"/>
        <v>0</v>
      </c>
    </row>
    <row r="523" ht="11.25">
      <c r="A523" s="463">
        <f t="shared" si="13"/>
        <v>0</v>
      </c>
    </row>
    <row r="524" ht="11.25">
      <c r="A524" s="463">
        <f t="shared" si="13"/>
        <v>0</v>
      </c>
    </row>
    <row r="525" ht="11.25">
      <c r="A525" s="463">
        <f t="shared" si="13"/>
        <v>0</v>
      </c>
    </row>
    <row r="526" ht="11.25">
      <c r="A526" s="463">
        <f t="shared" si="13"/>
        <v>0</v>
      </c>
    </row>
    <row r="527" ht="11.25">
      <c r="A527" s="463">
        <f t="shared" si="13"/>
        <v>0</v>
      </c>
    </row>
    <row r="528" ht="11.25">
      <c r="A528" s="463">
        <f t="shared" si="13"/>
        <v>0</v>
      </c>
    </row>
    <row r="529" ht="11.25">
      <c r="A529" s="463">
        <f t="shared" si="13"/>
        <v>0</v>
      </c>
    </row>
    <row r="530" ht="11.25">
      <c r="A530" s="463">
        <f t="shared" si="13"/>
        <v>0</v>
      </c>
    </row>
    <row r="531" ht="11.25">
      <c r="A531" s="463">
        <f t="shared" si="13"/>
        <v>0</v>
      </c>
    </row>
    <row r="532" ht="11.25">
      <c r="A532" s="463">
        <f t="shared" si="13"/>
        <v>0</v>
      </c>
    </row>
    <row r="533" ht="11.25">
      <c r="A533" s="463">
        <f t="shared" si="13"/>
        <v>0</v>
      </c>
    </row>
    <row r="534" ht="11.25">
      <c r="A534" s="463">
        <f t="shared" si="13"/>
        <v>0</v>
      </c>
    </row>
    <row r="535" ht="11.25">
      <c r="A535" s="463">
        <f t="shared" si="13"/>
        <v>0</v>
      </c>
    </row>
    <row r="536" ht="11.25">
      <c r="A536" s="463">
        <f t="shared" si="13"/>
        <v>0</v>
      </c>
    </row>
    <row r="537" ht="11.25">
      <c r="A537" s="463">
        <f t="shared" si="13"/>
        <v>0</v>
      </c>
    </row>
    <row r="538" ht="11.25">
      <c r="A538" s="463">
        <f t="shared" si="13"/>
        <v>0</v>
      </c>
    </row>
    <row r="539" ht="11.25">
      <c r="A539" s="463">
        <f t="shared" si="13"/>
        <v>0</v>
      </c>
    </row>
    <row r="540" ht="11.25">
      <c r="A540" s="463">
        <f t="shared" si="13"/>
        <v>0</v>
      </c>
    </row>
    <row r="541" ht="11.25">
      <c r="A541" s="463">
        <f t="shared" si="13"/>
        <v>0</v>
      </c>
    </row>
    <row r="542" ht="11.25">
      <c r="A542" s="463">
        <f t="shared" si="13"/>
        <v>0</v>
      </c>
    </row>
    <row r="543" ht="11.25">
      <c r="A543" s="463">
        <f t="shared" si="13"/>
        <v>0</v>
      </c>
    </row>
    <row r="544" ht="11.25">
      <c r="A544" s="463">
        <f t="shared" si="13"/>
        <v>0</v>
      </c>
    </row>
    <row r="545" ht="11.25">
      <c r="A545" s="463">
        <f t="shared" si="13"/>
        <v>0</v>
      </c>
    </row>
    <row r="546" ht="11.25">
      <c r="A546" s="463">
        <f t="shared" si="13"/>
        <v>0</v>
      </c>
    </row>
    <row r="547" ht="11.25">
      <c r="A547" s="463">
        <f t="shared" si="13"/>
        <v>0</v>
      </c>
    </row>
    <row r="548" ht="11.25">
      <c r="A548" s="463">
        <f t="shared" si="13"/>
        <v>0</v>
      </c>
    </row>
    <row r="549" ht="11.25">
      <c r="A549" s="463">
        <f t="shared" si="13"/>
        <v>0</v>
      </c>
    </row>
    <row r="550" ht="11.25">
      <c r="A550" s="463">
        <f t="shared" si="13"/>
        <v>0</v>
      </c>
    </row>
    <row r="551" ht="11.25">
      <c r="A551" s="463">
        <f t="shared" si="13"/>
        <v>0</v>
      </c>
    </row>
    <row r="552" ht="11.25">
      <c r="A552" s="463">
        <f t="shared" si="13"/>
        <v>0</v>
      </c>
    </row>
    <row r="553" ht="11.25">
      <c r="A553" s="463">
        <f t="shared" si="13"/>
        <v>0</v>
      </c>
    </row>
    <row r="554" ht="11.25">
      <c r="A554" s="463">
        <f t="shared" si="13"/>
        <v>0</v>
      </c>
    </row>
    <row r="555" ht="11.25">
      <c r="A555" s="463">
        <f aca="true" t="shared" si="14" ref="A555:A618">IF($A$1=$B$1,B555,IF($A$1=$C$1,C555,IF($A$1=$D$1,D555,"N/A")))</f>
        <v>0</v>
      </c>
    </row>
    <row r="556" ht="11.25">
      <c r="A556" s="463">
        <f t="shared" si="14"/>
        <v>0</v>
      </c>
    </row>
    <row r="557" ht="11.25">
      <c r="A557" s="463">
        <f t="shared" si="14"/>
        <v>0</v>
      </c>
    </row>
    <row r="558" ht="11.25">
      <c r="A558" s="463">
        <f t="shared" si="14"/>
        <v>0</v>
      </c>
    </row>
    <row r="559" ht="11.25">
      <c r="A559" s="463">
        <f t="shared" si="14"/>
        <v>0</v>
      </c>
    </row>
    <row r="560" ht="11.25">
      <c r="A560" s="463">
        <f t="shared" si="14"/>
        <v>0</v>
      </c>
    </row>
    <row r="561" ht="11.25">
      <c r="A561" s="463">
        <f t="shared" si="14"/>
        <v>0</v>
      </c>
    </row>
    <row r="562" ht="11.25">
      <c r="A562" s="463">
        <f t="shared" si="14"/>
        <v>0</v>
      </c>
    </row>
    <row r="563" ht="11.25">
      <c r="A563" s="463">
        <f t="shared" si="14"/>
        <v>0</v>
      </c>
    </row>
    <row r="564" ht="11.25">
      <c r="A564" s="463">
        <f t="shared" si="14"/>
        <v>0</v>
      </c>
    </row>
    <row r="565" ht="11.25">
      <c r="A565" s="463">
        <f t="shared" si="14"/>
        <v>0</v>
      </c>
    </row>
    <row r="566" ht="11.25">
      <c r="A566" s="463">
        <f t="shared" si="14"/>
        <v>0</v>
      </c>
    </row>
    <row r="567" ht="11.25">
      <c r="A567" s="463">
        <f t="shared" si="14"/>
        <v>0</v>
      </c>
    </row>
    <row r="568" ht="11.25">
      <c r="A568" s="463">
        <f t="shared" si="14"/>
        <v>0</v>
      </c>
    </row>
    <row r="569" ht="11.25">
      <c r="A569" s="463">
        <f t="shared" si="14"/>
        <v>0</v>
      </c>
    </row>
    <row r="570" ht="11.25">
      <c r="A570" s="463">
        <f t="shared" si="14"/>
        <v>0</v>
      </c>
    </row>
    <row r="571" ht="11.25">
      <c r="A571" s="463">
        <f t="shared" si="14"/>
        <v>0</v>
      </c>
    </row>
    <row r="572" ht="11.25">
      <c r="A572" s="463">
        <f t="shared" si="14"/>
        <v>0</v>
      </c>
    </row>
    <row r="573" ht="11.25">
      <c r="A573" s="463">
        <f t="shared" si="14"/>
        <v>0</v>
      </c>
    </row>
    <row r="574" ht="11.25">
      <c r="A574" s="463">
        <f t="shared" si="14"/>
        <v>0</v>
      </c>
    </row>
    <row r="575" ht="11.25">
      <c r="A575" s="463">
        <f t="shared" si="14"/>
        <v>0</v>
      </c>
    </row>
    <row r="576" ht="11.25">
      <c r="A576" s="463">
        <f t="shared" si="14"/>
        <v>0</v>
      </c>
    </row>
    <row r="577" ht="11.25">
      <c r="A577" s="463">
        <f t="shared" si="14"/>
        <v>0</v>
      </c>
    </row>
    <row r="578" ht="11.25">
      <c r="A578" s="463">
        <f t="shared" si="14"/>
        <v>0</v>
      </c>
    </row>
    <row r="579" ht="11.25">
      <c r="A579" s="463">
        <f t="shared" si="14"/>
        <v>0</v>
      </c>
    </row>
    <row r="580" ht="11.25">
      <c r="A580" s="463">
        <f t="shared" si="14"/>
        <v>0</v>
      </c>
    </row>
    <row r="581" ht="11.25">
      <c r="A581" s="463">
        <f t="shared" si="14"/>
        <v>0</v>
      </c>
    </row>
    <row r="582" ht="11.25">
      <c r="A582" s="463">
        <f t="shared" si="14"/>
        <v>0</v>
      </c>
    </row>
    <row r="583" ht="11.25">
      <c r="A583" s="463">
        <f t="shared" si="14"/>
        <v>0</v>
      </c>
    </row>
    <row r="584" ht="11.25">
      <c r="A584" s="463">
        <f t="shared" si="14"/>
        <v>0</v>
      </c>
    </row>
    <row r="585" ht="11.25">
      <c r="A585" s="463">
        <f t="shared" si="14"/>
        <v>0</v>
      </c>
    </row>
    <row r="586" ht="11.25">
      <c r="A586" s="463">
        <f t="shared" si="14"/>
        <v>0</v>
      </c>
    </row>
    <row r="587" ht="11.25">
      <c r="A587" s="463">
        <f t="shared" si="14"/>
        <v>0</v>
      </c>
    </row>
    <row r="588" ht="11.25">
      <c r="A588" s="463">
        <f t="shared" si="14"/>
        <v>0</v>
      </c>
    </row>
    <row r="589" ht="11.25">
      <c r="A589" s="463">
        <f t="shared" si="14"/>
        <v>0</v>
      </c>
    </row>
    <row r="590" ht="11.25">
      <c r="A590" s="463">
        <f t="shared" si="14"/>
        <v>0</v>
      </c>
    </row>
    <row r="591" ht="11.25">
      <c r="A591" s="463">
        <f t="shared" si="14"/>
        <v>0</v>
      </c>
    </row>
    <row r="592" ht="11.25">
      <c r="A592" s="463">
        <f t="shared" si="14"/>
        <v>0</v>
      </c>
    </row>
    <row r="593" ht="11.25">
      <c r="A593" s="463">
        <f t="shared" si="14"/>
        <v>0</v>
      </c>
    </row>
    <row r="594" ht="11.25">
      <c r="A594" s="463">
        <f t="shared" si="14"/>
        <v>0</v>
      </c>
    </row>
    <row r="595" ht="11.25">
      <c r="A595" s="463">
        <f t="shared" si="14"/>
        <v>0</v>
      </c>
    </row>
    <row r="596" ht="11.25">
      <c r="A596" s="463">
        <f t="shared" si="14"/>
        <v>0</v>
      </c>
    </row>
    <row r="597" ht="11.25">
      <c r="A597" s="463">
        <f t="shared" si="14"/>
        <v>0</v>
      </c>
    </row>
    <row r="598" ht="11.25">
      <c r="A598" s="463">
        <f t="shared" si="14"/>
        <v>0</v>
      </c>
    </row>
    <row r="599" ht="11.25">
      <c r="A599" s="463">
        <f t="shared" si="14"/>
        <v>0</v>
      </c>
    </row>
    <row r="600" ht="11.25">
      <c r="A600" s="463">
        <f t="shared" si="14"/>
        <v>0</v>
      </c>
    </row>
    <row r="601" ht="11.25">
      <c r="A601" s="463">
        <f t="shared" si="14"/>
        <v>0</v>
      </c>
    </row>
    <row r="602" ht="11.25">
      <c r="A602" s="463">
        <f t="shared" si="14"/>
        <v>0</v>
      </c>
    </row>
    <row r="603" ht="11.25">
      <c r="A603" s="463">
        <f t="shared" si="14"/>
        <v>0</v>
      </c>
    </row>
    <row r="604" ht="11.25">
      <c r="A604" s="463">
        <f t="shared" si="14"/>
        <v>0</v>
      </c>
    </row>
    <row r="605" ht="11.25">
      <c r="A605" s="463">
        <f t="shared" si="14"/>
        <v>0</v>
      </c>
    </row>
    <row r="606" ht="11.25">
      <c r="A606" s="463">
        <f t="shared" si="14"/>
        <v>0</v>
      </c>
    </row>
    <row r="607" ht="11.25">
      <c r="A607" s="463">
        <f t="shared" si="14"/>
        <v>0</v>
      </c>
    </row>
    <row r="608" ht="11.25">
      <c r="A608" s="463">
        <f t="shared" si="14"/>
        <v>0</v>
      </c>
    </row>
    <row r="609" ht="11.25">
      <c r="A609" s="463">
        <f t="shared" si="14"/>
        <v>0</v>
      </c>
    </row>
    <row r="610" ht="11.25">
      <c r="A610" s="463">
        <f t="shared" si="14"/>
        <v>0</v>
      </c>
    </row>
    <row r="611" ht="11.25">
      <c r="A611" s="463">
        <f t="shared" si="14"/>
        <v>0</v>
      </c>
    </row>
    <row r="612" ht="11.25">
      <c r="A612" s="463">
        <f t="shared" si="14"/>
        <v>0</v>
      </c>
    </row>
    <row r="613" ht="11.25">
      <c r="A613" s="463">
        <f t="shared" si="14"/>
        <v>0</v>
      </c>
    </row>
    <row r="614" ht="11.25">
      <c r="A614" s="463">
        <f t="shared" si="14"/>
        <v>0</v>
      </c>
    </row>
    <row r="615" ht="11.25">
      <c r="A615" s="463">
        <f t="shared" si="14"/>
        <v>0</v>
      </c>
    </row>
    <row r="616" ht="11.25">
      <c r="A616" s="463">
        <f t="shared" si="14"/>
        <v>0</v>
      </c>
    </row>
    <row r="617" ht="11.25">
      <c r="A617" s="463">
        <f t="shared" si="14"/>
        <v>0</v>
      </c>
    </row>
    <row r="618" ht="11.25">
      <c r="A618" s="463">
        <f t="shared" si="14"/>
        <v>0</v>
      </c>
    </row>
    <row r="619" ht="11.25">
      <c r="A619" s="463">
        <f aca="true" t="shared" si="15" ref="A619:A682">IF($A$1=$B$1,B619,IF($A$1=$C$1,C619,IF($A$1=$D$1,D619,"N/A")))</f>
        <v>0</v>
      </c>
    </row>
    <row r="620" ht="11.25">
      <c r="A620" s="463">
        <f t="shared" si="15"/>
        <v>0</v>
      </c>
    </row>
    <row r="621" ht="11.25">
      <c r="A621" s="463">
        <f t="shared" si="15"/>
        <v>0</v>
      </c>
    </row>
    <row r="622" ht="11.25">
      <c r="A622" s="463">
        <f t="shared" si="15"/>
        <v>0</v>
      </c>
    </row>
    <row r="623" ht="11.25">
      <c r="A623" s="463">
        <f t="shared" si="15"/>
        <v>0</v>
      </c>
    </row>
    <row r="624" ht="11.25">
      <c r="A624" s="463">
        <f t="shared" si="15"/>
        <v>0</v>
      </c>
    </row>
    <row r="625" ht="11.25">
      <c r="A625" s="463">
        <f t="shared" si="15"/>
        <v>0</v>
      </c>
    </row>
    <row r="626" ht="11.25">
      <c r="A626" s="463">
        <f t="shared" si="15"/>
        <v>0</v>
      </c>
    </row>
    <row r="627" ht="11.25">
      <c r="A627" s="463">
        <f t="shared" si="15"/>
        <v>0</v>
      </c>
    </row>
    <row r="628" ht="11.25">
      <c r="A628" s="463">
        <f t="shared" si="15"/>
        <v>0</v>
      </c>
    </row>
    <row r="629" ht="11.25">
      <c r="A629" s="463">
        <f t="shared" si="15"/>
        <v>0</v>
      </c>
    </row>
    <row r="630" ht="11.25">
      <c r="A630" s="463">
        <f t="shared" si="15"/>
        <v>0</v>
      </c>
    </row>
    <row r="631" ht="11.25">
      <c r="A631" s="463">
        <f t="shared" si="15"/>
        <v>0</v>
      </c>
    </row>
    <row r="632" ht="11.25">
      <c r="A632" s="463">
        <f t="shared" si="15"/>
        <v>0</v>
      </c>
    </row>
    <row r="633" ht="11.25">
      <c r="A633" s="463">
        <f t="shared" si="15"/>
        <v>0</v>
      </c>
    </row>
    <row r="634" ht="11.25">
      <c r="A634" s="463">
        <f t="shared" si="15"/>
        <v>0</v>
      </c>
    </row>
    <row r="635" ht="11.25">
      <c r="A635" s="463">
        <f t="shared" si="15"/>
        <v>0</v>
      </c>
    </row>
    <row r="636" ht="11.25">
      <c r="A636" s="463">
        <f t="shared" si="15"/>
        <v>0</v>
      </c>
    </row>
    <row r="637" ht="11.25">
      <c r="A637" s="463">
        <f t="shared" si="15"/>
        <v>0</v>
      </c>
    </row>
    <row r="638" ht="11.25">
      <c r="A638" s="463">
        <f t="shared" si="15"/>
        <v>0</v>
      </c>
    </row>
    <row r="639" ht="11.25">
      <c r="A639" s="463">
        <f t="shared" si="15"/>
        <v>0</v>
      </c>
    </row>
    <row r="640" ht="11.25">
      <c r="A640" s="463">
        <f t="shared" si="15"/>
        <v>0</v>
      </c>
    </row>
    <row r="641" ht="11.25">
      <c r="A641" s="463">
        <f t="shared" si="15"/>
        <v>0</v>
      </c>
    </row>
    <row r="642" ht="11.25">
      <c r="A642" s="463">
        <f t="shared" si="15"/>
        <v>0</v>
      </c>
    </row>
    <row r="643" ht="11.25">
      <c r="A643" s="463">
        <f t="shared" si="15"/>
        <v>0</v>
      </c>
    </row>
    <row r="644" ht="11.25">
      <c r="A644" s="463">
        <f t="shared" si="15"/>
        <v>0</v>
      </c>
    </row>
    <row r="645" ht="11.25">
      <c r="A645" s="463">
        <f t="shared" si="15"/>
        <v>0</v>
      </c>
    </row>
    <row r="646" ht="11.25">
      <c r="A646" s="463">
        <f t="shared" si="15"/>
        <v>0</v>
      </c>
    </row>
    <row r="647" ht="11.25">
      <c r="A647" s="463">
        <f t="shared" si="15"/>
        <v>0</v>
      </c>
    </row>
    <row r="648" ht="11.25">
      <c r="A648" s="463">
        <f t="shared" si="15"/>
        <v>0</v>
      </c>
    </row>
    <row r="649" ht="11.25">
      <c r="A649" s="463">
        <f t="shared" si="15"/>
        <v>0</v>
      </c>
    </row>
    <row r="650" ht="11.25">
      <c r="A650" s="463">
        <f t="shared" si="15"/>
        <v>0</v>
      </c>
    </row>
    <row r="651" ht="11.25">
      <c r="A651" s="463">
        <f t="shared" si="15"/>
        <v>0</v>
      </c>
    </row>
    <row r="652" ht="11.25">
      <c r="A652" s="463">
        <f t="shared" si="15"/>
        <v>0</v>
      </c>
    </row>
    <row r="653" ht="11.25">
      <c r="A653" s="463">
        <f t="shared" si="15"/>
        <v>0</v>
      </c>
    </row>
    <row r="654" ht="11.25">
      <c r="A654" s="463">
        <f t="shared" si="15"/>
        <v>0</v>
      </c>
    </row>
    <row r="655" ht="11.25">
      <c r="A655" s="463">
        <f t="shared" si="15"/>
        <v>0</v>
      </c>
    </row>
    <row r="656" ht="11.25">
      <c r="A656" s="463">
        <f t="shared" si="15"/>
        <v>0</v>
      </c>
    </row>
    <row r="657" ht="11.25">
      <c r="A657" s="463">
        <f t="shared" si="15"/>
        <v>0</v>
      </c>
    </row>
    <row r="658" ht="11.25">
      <c r="A658" s="463">
        <f t="shared" si="15"/>
        <v>0</v>
      </c>
    </row>
    <row r="659" ht="11.25">
      <c r="A659" s="463">
        <f t="shared" si="15"/>
        <v>0</v>
      </c>
    </row>
    <row r="660" ht="11.25">
      <c r="A660" s="463">
        <f t="shared" si="15"/>
        <v>0</v>
      </c>
    </row>
    <row r="661" ht="11.25">
      <c r="A661" s="463">
        <f t="shared" si="15"/>
        <v>0</v>
      </c>
    </row>
    <row r="662" ht="11.25">
      <c r="A662" s="463">
        <f t="shared" si="15"/>
        <v>0</v>
      </c>
    </row>
    <row r="663" ht="11.25">
      <c r="A663" s="463">
        <f t="shared" si="15"/>
        <v>0</v>
      </c>
    </row>
    <row r="664" ht="11.25">
      <c r="A664" s="463">
        <f t="shared" si="15"/>
        <v>0</v>
      </c>
    </row>
    <row r="665" ht="11.25">
      <c r="A665" s="463">
        <f t="shared" si="15"/>
        <v>0</v>
      </c>
    </row>
    <row r="666" ht="11.25">
      <c r="A666" s="463">
        <f t="shared" si="15"/>
        <v>0</v>
      </c>
    </row>
    <row r="667" ht="11.25">
      <c r="A667" s="463">
        <f t="shared" si="15"/>
        <v>0</v>
      </c>
    </row>
    <row r="668" ht="11.25">
      <c r="A668" s="463">
        <f t="shared" si="15"/>
        <v>0</v>
      </c>
    </row>
    <row r="669" ht="11.25">
      <c r="A669" s="463">
        <f t="shared" si="15"/>
        <v>0</v>
      </c>
    </row>
    <row r="670" ht="11.25">
      <c r="A670" s="463">
        <f t="shared" si="15"/>
        <v>0</v>
      </c>
    </row>
    <row r="671" ht="11.25">
      <c r="A671" s="463">
        <f t="shared" si="15"/>
        <v>0</v>
      </c>
    </row>
    <row r="672" ht="11.25">
      <c r="A672" s="463">
        <f t="shared" si="15"/>
        <v>0</v>
      </c>
    </row>
    <row r="673" ht="11.25">
      <c r="A673" s="463">
        <f t="shared" si="15"/>
        <v>0</v>
      </c>
    </row>
    <row r="674" ht="11.25">
      <c r="A674" s="463">
        <f t="shared" si="15"/>
        <v>0</v>
      </c>
    </row>
    <row r="675" ht="11.25">
      <c r="A675" s="463">
        <f t="shared" si="15"/>
        <v>0</v>
      </c>
    </row>
    <row r="676" ht="11.25">
      <c r="A676" s="463">
        <f t="shared" si="15"/>
        <v>0</v>
      </c>
    </row>
    <row r="677" ht="11.25">
      <c r="A677" s="463">
        <f t="shared" si="15"/>
        <v>0</v>
      </c>
    </row>
    <row r="678" ht="11.25">
      <c r="A678" s="463">
        <f t="shared" si="15"/>
        <v>0</v>
      </c>
    </row>
    <row r="679" ht="11.25">
      <c r="A679" s="463">
        <f t="shared" si="15"/>
        <v>0</v>
      </c>
    </row>
    <row r="680" ht="11.25">
      <c r="A680" s="463">
        <f t="shared" si="15"/>
        <v>0</v>
      </c>
    </row>
    <row r="681" ht="11.25">
      <c r="A681" s="463">
        <f t="shared" si="15"/>
        <v>0</v>
      </c>
    </row>
    <row r="682" ht="11.25">
      <c r="A682" s="463">
        <f t="shared" si="15"/>
        <v>0</v>
      </c>
    </row>
    <row r="683" ht="11.25">
      <c r="A683" s="463">
        <f aca="true" t="shared" si="16" ref="A683:A746">IF($A$1=$B$1,B683,IF($A$1=$C$1,C683,IF($A$1=$D$1,D683,"N/A")))</f>
        <v>0</v>
      </c>
    </row>
    <row r="684" ht="11.25">
      <c r="A684" s="463">
        <f t="shared" si="16"/>
        <v>0</v>
      </c>
    </row>
    <row r="685" ht="11.25">
      <c r="A685" s="463">
        <f t="shared" si="16"/>
        <v>0</v>
      </c>
    </row>
    <row r="686" ht="11.25">
      <c r="A686" s="463">
        <f t="shared" si="16"/>
        <v>0</v>
      </c>
    </row>
    <row r="687" ht="11.25">
      <c r="A687" s="463">
        <f t="shared" si="16"/>
        <v>0</v>
      </c>
    </row>
    <row r="688" ht="11.25">
      <c r="A688" s="463">
        <f t="shared" si="16"/>
        <v>0</v>
      </c>
    </row>
    <row r="689" ht="11.25">
      <c r="A689" s="463">
        <f t="shared" si="16"/>
        <v>0</v>
      </c>
    </row>
    <row r="690" ht="11.25">
      <c r="A690" s="463">
        <f t="shared" si="16"/>
        <v>0</v>
      </c>
    </row>
    <row r="691" ht="11.25">
      <c r="A691" s="463">
        <f t="shared" si="16"/>
        <v>0</v>
      </c>
    </row>
    <row r="692" ht="11.25">
      <c r="A692" s="463">
        <f t="shared" si="16"/>
        <v>0</v>
      </c>
    </row>
    <row r="693" ht="11.25">
      <c r="A693" s="463">
        <f t="shared" si="16"/>
        <v>0</v>
      </c>
    </row>
    <row r="694" ht="11.25">
      <c r="A694" s="463">
        <f t="shared" si="16"/>
        <v>0</v>
      </c>
    </row>
    <row r="695" ht="11.25">
      <c r="A695" s="463">
        <f t="shared" si="16"/>
        <v>0</v>
      </c>
    </row>
    <row r="696" ht="11.25">
      <c r="A696" s="463">
        <f t="shared" si="16"/>
        <v>0</v>
      </c>
    </row>
    <row r="697" ht="11.25">
      <c r="A697" s="463">
        <f t="shared" si="16"/>
        <v>0</v>
      </c>
    </row>
    <row r="698" ht="11.25">
      <c r="A698" s="463">
        <f t="shared" si="16"/>
        <v>0</v>
      </c>
    </row>
    <row r="699" ht="11.25">
      <c r="A699" s="463">
        <f t="shared" si="16"/>
        <v>0</v>
      </c>
    </row>
    <row r="700" ht="11.25">
      <c r="A700" s="463">
        <f t="shared" si="16"/>
        <v>0</v>
      </c>
    </row>
    <row r="701" ht="11.25">
      <c r="A701" s="463">
        <f t="shared" si="16"/>
        <v>0</v>
      </c>
    </row>
    <row r="702" ht="11.25">
      <c r="A702" s="463">
        <f t="shared" si="16"/>
        <v>0</v>
      </c>
    </row>
    <row r="703" ht="11.25">
      <c r="A703" s="463">
        <f t="shared" si="16"/>
        <v>0</v>
      </c>
    </row>
    <row r="704" ht="11.25">
      <c r="A704" s="463">
        <f t="shared" si="16"/>
        <v>0</v>
      </c>
    </row>
    <row r="705" ht="11.25">
      <c r="A705" s="463">
        <f t="shared" si="16"/>
        <v>0</v>
      </c>
    </row>
    <row r="706" ht="11.25">
      <c r="A706" s="463">
        <f t="shared" si="16"/>
        <v>0</v>
      </c>
    </row>
    <row r="707" ht="11.25">
      <c r="A707" s="463">
        <f t="shared" si="16"/>
        <v>0</v>
      </c>
    </row>
    <row r="708" ht="11.25">
      <c r="A708" s="463">
        <f t="shared" si="16"/>
        <v>0</v>
      </c>
    </row>
    <row r="709" ht="11.25">
      <c r="A709" s="463">
        <f t="shared" si="16"/>
        <v>0</v>
      </c>
    </row>
    <row r="710" ht="11.25">
      <c r="A710" s="463">
        <f t="shared" si="16"/>
        <v>0</v>
      </c>
    </row>
    <row r="711" ht="11.25">
      <c r="A711" s="463">
        <f t="shared" si="16"/>
        <v>0</v>
      </c>
    </row>
    <row r="712" ht="11.25">
      <c r="A712" s="463">
        <f t="shared" si="16"/>
        <v>0</v>
      </c>
    </row>
    <row r="713" ht="11.25">
      <c r="A713" s="463">
        <f t="shared" si="16"/>
        <v>0</v>
      </c>
    </row>
    <row r="714" ht="11.25">
      <c r="A714" s="463">
        <f t="shared" si="16"/>
        <v>0</v>
      </c>
    </row>
    <row r="715" ht="11.25">
      <c r="A715" s="463">
        <f t="shared" si="16"/>
        <v>0</v>
      </c>
    </row>
    <row r="716" ht="11.25">
      <c r="A716" s="463">
        <f t="shared" si="16"/>
        <v>0</v>
      </c>
    </row>
    <row r="717" ht="11.25">
      <c r="A717" s="463">
        <f t="shared" si="16"/>
        <v>0</v>
      </c>
    </row>
    <row r="718" ht="11.25">
      <c r="A718" s="463">
        <f t="shared" si="16"/>
        <v>0</v>
      </c>
    </row>
    <row r="719" ht="11.25">
      <c r="A719" s="463">
        <f t="shared" si="16"/>
        <v>0</v>
      </c>
    </row>
    <row r="720" ht="11.25">
      <c r="A720" s="463">
        <f t="shared" si="16"/>
        <v>0</v>
      </c>
    </row>
    <row r="721" ht="11.25">
      <c r="A721" s="463">
        <f t="shared" si="16"/>
        <v>0</v>
      </c>
    </row>
    <row r="722" ht="11.25">
      <c r="A722" s="463">
        <f t="shared" si="16"/>
        <v>0</v>
      </c>
    </row>
    <row r="723" ht="11.25">
      <c r="A723" s="463">
        <f t="shared" si="16"/>
        <v>0</v>
      </c>
    </row>
    <row r="724" ht="11.25">
      <c r="A724" s="463">
        <f t="shared" si="16"/>
        <v>0</v>
      </c>
    </row>
    <row r="725" ht="11.25">
      <c r="A725" s="463">
        <f t="shared" si="16"/>
        <v>0</v>
      </c>
    </row>
    <row r="726" ht="11.25">
      <c r="A726" s="463">
        <f t="shared" si="16"/>
        <v>0</v>
      </c>
    </row>
    <row r="727" ht="11.25">
      <c r="A727" s="463">
        <f t="shared" si="16"/>
        <v>0</v>
      </c>
    </row>
    <row r="728" ht="11.25">
      <c r="A728" s="463">
        <f t="shared" si="16"/>
        <v>0</v>
      </c>
    </row>
    <row r="729" ht="11.25">
      <c r="A729" s="463">
        <f t="shared" si="16"/>
        <v>0</v>
      </c>
    </row>
    <row r="730" ht="11.25">
      <c r="A730" s="463">
        <f t="shared" si="16"/>
        <v>0</v>
      </c>
    </row>
    <row r="731" ht="11.25">
      <c r="A731" s="463">
        <f t="shared" si="16"/>
        <v>0</v>
      </c>
    </row>
    <row r="732" ht="11.25">
      <c r="A732" s="463">
        <f t="shared" si="16"/>
        <v>0</v>
      </c>
    </row>
    <row r="733" ht="11.25">
      <c r="A733" s="463">
        <f t="shared" si="16"/>
        <v>0</v>
      </c>
    </row>
    <row r="734" ht="11.25">
      <c r="A734" s="463">
        <f t="shared" si="16"/>
        <v>0</v>
      </c>
    </row>
    <row r="735" ht="11.25">
      <c r="A735" s="463">
        <f t="shared" si="16"/>
        <v>0</v>
      </c>
    </row>
    <row r="736" ht="11.25">
      <c r="A736" s="463">
        <f t="shared" si="16"/>
        <v>0</v>
      </c>
    </row>
    <row r="737" ht="11.25">
      <c r="A737" s="463">
        <f t="shared" si="16"/>
        <v>0</v>
      </c>
    </row>
    <row r="738" ht="11.25">
      <c r="A738" s="463">
        <f t="shared" si="16"/>
        <v>0</v>
      </c>
    </row>
    <row r="739" ht="11.25">
      <c r="A739" s="463">
        <f t="shared" si="16"/>
        <v>0</v>
      </c>
    </row>
    <row r="740" ht="11.25">
      <c r="A740" s="463">
        <f t="shared" si="16"/>
        <v>0</v>
      </c>
    </row>
    <row r="741" ht="11.25">
      <c r="A741" s="463">
        <f t="shared" si="16"/>
        <v>0</v>
      </c>
    </row>
    <row r="742" ht="11.25">
      <c r="A742" s="463">
        <f t="shared" si="16"/>
        <v>0</v>
      </c>
    </row>
    <row r="743" ht="11.25">
      <c r="A743" s="463">
        <f t="shared" si="16"/>
        <v>0</v>
      </c>
    </row>
    <row r="744" ht="11.25">
      <c r="A744" s="463">
        <f t="shared" si="16"/>
        <v>0</v>
      </c>
    </row>
    <row r="745" ht="11.25">
      <c r="A745" s="463">
        <f t="shared" si="16"/>
        <v>0</v>
      </c>
    </row>
    <row r="746" ht="11.25">
      <c r="A746" s="463">
        <f t="shared" si="16"/>
        <v>0</v>
      </c>
    </row>
    <row r="747" ht="11.25">
      <c r="A747" s="463">
        <f aca="true" t="shared" si="17" ref="A747:A810">IF($A$1=$B$1,B747,IF($A$1=$C$1,C747,IF($A$1=$D$1,D747,"N/A")))</f>
        <v>0</v>
      </c>
    </row>
    <row r="748" ht="11.25">
      <c r="A748" s="463">
        <f t="shared" si="17"/>
        <v>0</v>
      </c>
    </row>
    <row r="749" ht="11.25">
      <c r="A749" s="463">
        <f t="shared" si="17"/>
        <v>0</v>
      </c>
    </row>
    <row r="750" ht="11.25">
      <c r="A750" s="463">
        <f t="shared" si="17"/>
        <v>0</v>
      </c>
    </row>
    <row r="751" ht="11.25">
      <c r="A751" s="463">
        <f t="shared" si="17"/>
        <v>0</v>
      </c>
    </row>
    <row r="752" ht="11.25">
      <c r="A752" s="463">
        <f t="shared" si="17"/>
        <v>0</v>
      </c>
    </row>
    <row r="753" ht="11.25">
      <c r="A753" s="463">
        <f t="shared" si="17"/>
        <v>0</v>
      </c>
    </row>
    <row r="754" ht="11.25">
      <c r="A754" s="463">
        <f t="shared" si="17"/>
        <v>0</v>
      </c>
    </row>
    <row r="755" ht="11.25">
      <c r="A755" s="463">
        <f t="shared" si="17"/>
        <v>0</v>
      </c>
    </row>
    <row r="756" ht="11.25">
      <c r="A756" s="463">
        <f t="shared" si="17"/>
        <v>0</v>
      </c>
    </row>
    <row r="757" ht="11.25">
      <c r="A757" s="463">
        <f t="shared" si="17"/>
        <v>0</v>
      </c>
    </row>
    <row r="758" ht="11.25">
      <c r="A758" s="463">
        <f t="shared" si="17"/>
        <v>0</v>
      </c>
    </row>
    <row r="759" ht="11.25">
      <c r="A759" s="463">
        <f t="shared" si="17"/>
        <v>0</v>
      </c>
    </row>
    <row r="760" ht="11.25">
      <c r="A760" s="463">
        <f t="shared" si="17"/>
        <v>0</v>
      </c>
    </row>
    <row r="761" ht="11.25">
      <c r="A761" s="463">
        <f t="shared" si="17"/>
        <v>0</v>
      </c>
    </row>
    <row r="762" ht="11.25">
      <c r="A762" s="463">
        <f t="shared" si="17"/>
        <v>0</v>
      </c>
    </row>
    <row r="763" ht="11.25">
      <c r="A763" s="463">
        <f t="shared" si="17"/>
        <v>0</v>
      </c>
    </row>
    <row r="764" ht="11.25">
      <c r="A764" s="463">
        <f t="shared" si="17"/>
        <v>0</v>
      </c>
    </row>
    <row r="765" ht="11.25">
      <c r="A765" s="463">
        <f t="shared" si="17"/>
        <v>0</v>
      </c>
    </row>
    <row r="766" ht="11.25">
      <c r="A766" s="463">
        <f t="shared" si="17"/>
        <v>0</v>
      </c>
    </row>
    <row r="767" ht="11.25">
      <c r="A767" s="463">
        <f t="shared" si="17"/>
        <v>0</v>
      </c>
    </row>
    <row r="768" ht="11.25">
      <c r="A768" s="463">
        <f t="shared" si="17"/>
        <v>0</v>
      </c>
    </row>
    <row r="769" ht="11.25">
      <c r="A769" s="463">
        <f t="shared" si="17"/>
        <v>0</v>
      </c>
    </row>
    <row r="770" ht="11.25">
      <c r="A770" s="463">
        <f t="shared" si="17"/>
        <v>0</v>
      </c>
    </row>
    <row r="771" ht="11.25">
      <c r="A771" s="463">
        <f t="shared" si="17"/>
        <v>0</v>
      </c>
    </row>
    <row r="772" ht="11.25">
      <c r="A772" s="463">
        <f t="shared" si="17"/>
        <v>0</v>
      </c>
    </row>
    <row r="773" ht="11.25">
      <c r="A773" s="463">
        <f t="shared" si="17"/>
        <v>0</v>
      </c>
    </row>
    <row r="774" ht="11.25">
      <c r="A774" s="463">
        <f t="shared" si="17"/>
        <v>0</v>
      </c>
    </row>
    <row r="775" ht="11.25">
      <c r="A775" s="463">
        <f t="shared" si="17"/>
        <v>0</v>
      </c>
    </row>
    <row r="776" ht="11.25">
      <c r="A776" s="463">
        <f t="shared" si="17"/>
        <v>0</v>
      </c>
    </row>
    <row r="777" ht="11.25">
      <c r="A777" s="463">
        <f t="shared" si="17"/>
        <v>0</v>
      </c>
    </row>
    <row r="778" ht="11.25">
      <c r="A778" s="463">
        <f t="shared" si="17"/>
        <v>0</v>
      </c>
    </row>
    <row r="779" ht="11.25">
      <c r="A779" s="463">
        <f t="shared" si="17"/>
        <v>0</v>
      </c>
    </row>
    <row r="780" ht="11.25">
      <c r="A780" s="463">
        <f t="shared" si="17"/>
        <v>0</v>
      </c>
    </row>
    <row r="781" ht="11.25">
      <c r="A781" s="463">
        <f t="shared" si="17"/>
        <v>0</v>
      </c>
    </row>
    <row r="782" ht="11.25">
      <c r="A782" s="463">
        <f t="shared" si="17"/>
        <v>0</v>
      </c>
    </row>
    <row r="783" ht="11.25">
      <c r="A783" s="463">
        <f t="shared" si="17"/>
        <v>0</v>
      </c>
    </row>
    <row r="784" ht="11.25">
      <c r="A784" s="463">
        <f t="shared" si="17"/>
        <v>0</v>
      </c>
    </row>
    <row r="785" ht="11.25">
      <c r="A785" s="463">
        <f t="shared" si="17"/>
        <v>0</v>
      </c>
    </row>
    <row r="786" ht="11.25">
      <c r="A786" s="463">
        <f t="shared" si="17"/>
        <v>0</v>
      </c>
    </row>
    <row r="787" ht="11.25">
      <c r="A787" s="463">
        <f t="shared" si="17"/>
        <v>0</v>
      </c>
    </row>
    <row r="788" ht="11.25">
      <c r="A788" s="463">
        <f t="shared" si="17"/>
        <v>0</v>
      </c>
    </row>
    <row r="789" ht="11.25">
      <c r="A789" s="463">
        <f t="shared" si="17"/>
        <v>0</v>
      </c>
    </row>
    <row r="790" ht="11.25">
      <c r="A790" s="463">
        <f t="shared" si="17"/>
        <v>0</v>
      </c>
    </row>
    <row r="791" ht="11.25">
      <c r="A791" s="463">
        <f t="shared" si="17"/>
        <v>0</v>
      </c>
    </row>
    <row r="792" ht="11.25">
      <c r="A792" s="463">
        <f t="shared" si="17"/>
        <v>0</v>
      </c>
    </row>
    <row r="793" ht="11.25">
      <c r="A793" s="463">
        <f t="shared" si="17"/>
        <v>0</v>
      </c>
    </row>
    <row r="794" ht="11.25">
      <c r="A794" s="463">
        <f t="shared" si="17"/>
        <v>0</v>
      </c>
    </row>
    <row r="795" ht="11.25">
      <c r="A795" s="463">
        <f t="shared" si="17"/>
        <v>0</v>
      </c>
    </row>
    <row r="796" ht="11.25">
      <c r="A796" s="463">
        <f t="shared" si="17"/>
        <v>0</v>
      </c>
    </row>
    <row r="797" ht="11.25">
      <c r="A797" s="463">
        <f t="shared" si="17"/>
        <v>0</v>
      </c>
    </row>
    <row r="798" ht="11.25">
      <c r="A798" s="463">
        <f t="shared" si="17"/>
        <v>0</v>
      </c>
    </row>
    <row r="799" ht="11.25">
      <c r="A799" s="463">
        <f t="shared" si="17"/>
        <v>0</v>
      </c>
    </row>
    <row r="800" ht="11.25">
      <c r="A800" s="463">
        <f t="shared" si="17"/>
        <v>0</v>
      </c>
    </row>
    <row r="801" ht="11.25">
      <c r="A801" s="463">
        <f t="shared" si="17"/>
        <v>0</v>
      </c>
    </row>
    <row r="802" ht="11.25">
      <c r="A802" s="463">
        <f t="shared" si="17"/>
        <v>0</v>
      </c>
    </row>
    <row r="803" ht="11.25">
      <c r="A803" s="463">
        <f t="shared" si="17"/>
        <v>0</v>
      </c>
    </row>
    <row r="804" ht="11.25">
      <c r="A804" s="463">
        <f t="shared" si="17"/>
        <v>0</v>
      </c>
    </row>
    <row r="805" ht="11.25">
      <c r="A805" s="463">
        <f t="shared" si="17"/>
        <v>0</v>
      </c>
    </row>
    <row r="806" ht="11.25">
      <c r="A806" s="463">
        <f t="shared" si="17"/>
        <v>0</v>
      </c>
    </row>
    <row r="807" ht="11.25">
      <c r="A807" s="463">
        <f t="shared" si="17"/>
        <v>0</v>
      </c>
    </row>
    <row r="808" ht="11.25">
      <c r="A808" s="463">
        <f t="shared" si="17"/>
        <v>0</v>
      </c>
    </row>
    <row r="809" ht="11.25">
      <c r="A809" s="463">
        <f t="shared" si="17"/>
        <v>0</v>
      </c>
    </row>
    <row r="810" ht="11.25">
      <c r="A810" s="463">
        <f t="shared" si="17"/>
        <v>0</v>
      </c>
    </row>
    <row r="811" ht="11.25">
      <c r="A811" s="463">
        <f aca="true" t="shared" si="18" ref="A811:A874">IF($A$1=$B$1,B811,IF($A$1=$C$1,C811,IF($A$1=$D$1,D811,"N/A")))</f>
        <v>0</v>
      </c>
    </row>
    <row r="812" ht="11.25">
      <c r="A812" s="463">
        <f t="shared" si="18"/>
        <v>0</v>
      </c>
    </row>
    <row r="813" ht="11.25">
      <c r="A813" s="463">
        <f t="shared" si="18"/>
        <v>0</v>
      </c>
    </row>
    <row r="814" ht="11.25">
      <c r="A814" s="463">
        <f t="shared" si="18"/>
        <v>0</v>
      </c>
    </row>
    <row r="815" ht="11.25">
      <c r="A815" s="463">
        <f t="shared" si="18"/>
        <v>0</v>
      </c>
    </row>
    <row r="816" ht="11.25">
      <c r="A816" s="463">
        <f t="shared" si="18"/>
        <v>0</v>
      </c>
    </row>
    <row r="817" ht="11.25">
      <c r="A817" s="463">
        <f t="shared" si="18"/>
        <v>0</v>
      </c>
    </row>
    <row r="818" ht="11.25">
      <c r="A818" s="463">
        <f t="shared" si="18"/>
        <v>0</v>
      </c>
    </row>
    <row r="819" ht="11.25">
      <c r="A819" s="463">
        <f t="shared" si="18"/>
        <v>0</v>
      </c>
    </row>
    <row r="820" ht="11.25">
      <c r="A820" s="463">
        <f t="shared" si="18"/>
        <v>0</v>
      </c>
    </row>
    <row r="821" ht="11.25">
      <c r="A821" s="463">
        <f t="shared" si="18"/>
        <v>0</v>
      </c>
    </row>
    <row r="822" ht="11.25">
      <c r="A822" s="463">
        <f t="shared" si="18"/>
        <v>0</v>
      </c>
    </row>
    <row r="823" ht="11.25">
      <c r="A823" s="463">
        <f t="shared" si="18"/>
        <v>0</v>
      </c>
    </row>
    <row r="824" ht="11.25">
      <c r="A824" s="463">
        <f t="shared" si="18"/>
        <v>0</v>
      </c>
    </row>
    <row r="825" ht="11.25">
      <c r="A825" s="463">
        <f t="shared" si="18"/>
        <v>0</v>
      </c>
    </row>
    <row r="826" ht="11.25">
      <c r="A826" s="463">
        <f t="shared" si="18"/>
        <v>0</v>
      </c>
    </row>
    <row r="827" ht="11.25">
      <c r="A827" s="463">
        <f t="shared" si="18"/>
        <v>0</v>
      </c>
    </row>
    <row r="828" ht="11.25">
      <c r="A828" s="463">
        <f t="shared" si="18"/>
        <v>0</v>
      </c>
    </row>
    <row r="829" ht="11.25">
      <c r="A829" s="463">
        <f t="shared" si="18"/>
        <v>0</v>
      </c>
    </row>
    <row r="830" ht="11.25">
      <c r="A830" s="463">
        <f t="shared" si="18"/>
        <v>0</v>
      </c>
    </row>
    <row r="831" ht="11.25">
      <c r="A831" s="463">
        <f t="shared" si="18"/>
        <v>0</v>
      </c>
    </row>
    <row r="832" ht="11.25">
      <c r="A832" s="463">
        <f t="shared" si="18"/>
        <v>0</v>
      </c>
    </row>
    <row r="833" ht="11.25">
      <c r="A833" s="463">
        <f t="shared" si="18"/>
        <v>0</v>
      </c>
    </row>
    <row r="834" ht="11.25">
      <c r="A834" s="463">
        <f t="shared" si="18"/>
        <v>0</v>
      </c>
    </row>
    <row r="835" ht="11.25">
      <c r="A835" s="463">
        <f t="shared" si="18"/>
        <v>0</v>
      </c>
    </row>
    <row r="836" ht="11.25">
      <c r="A836" s="463">
        <f t="shared" si="18"/>
        <v>0</v>
      </c>
    </row>
    <row r="837" ht="11.25">
      <c r="A837" s="463">
        <f t="shared" si="18"/>
        <v>0</v>
      </c>
    </row>
    <row r="838" ht="11.25">
      <c r="A838" s="463">
        <f t="shared" si="18"/>
        <v>0</v>
      </c>
    </row>
    <row r="839" ht="11.25">
      <c r="A839" s="463">
        <f t="shared" si="18"/>
        <v>0</v>
      </c>
    </row>
    <row r="840" ht="11.25">
      <c r="A840" s="463">
        <f t="shared" si="18"/>
        <v>0</v>
      </c>
    </row>
    <row r="841" ht="11.25">
      <c r="A841" s="463">
        <f t="shared" si="18"/>
        <v>0</v>
      </c>
    </row>
    <row r="842" ht="11.25">
      <c r="A842" s="463">
        <f t="shared" si="18"/>
        <v>0</v>
      </c>
    </row>
    <row r="843" ht="11.25">
      <c r="A843" s="463">
        <f t="shared" si="18"/>
        <v>0</v>
      </c>
    </row>
    <row r="844" ht="11.25">
      <c r="A844" s="463">
        <f t="shared" si="18"/>
        <v>0</v>
      </c>
    </row>
    <row r="845" ht="11.25">
      <c r="A845" s="463">
        <f t="shared" si="18"/>
        <v>0</v>
      </c>
    </row>
    <row r="846" ht="11.25">
      <c r="A846" s="463">
        <f t="shared" si="18"/>
        <v>0</v>
      </c>
    </row>
    <row r="847" ht="11.25">
      <c r="A847" s="463">
        <f t="shared" si="18"/>
        <v>0</v>
      </c>
    </row>
    <row r="848" ht="11.25">
      <c r="A848" s="463">
        <f t="shared" si="18"/>
        <v>0</v>
      </c>
    </row>
    <row r="849" ht="11.25">
      <c r="A849" s="463">
        <f t="shared" si="18"/>
        <v>0</v>
      </c>
    </row>
    <row r="850" ht="11.25">
      <c r="A850" s="463">
        <f t="shared" si="18"/>
        <v>0</v>
      </c>
    </row>
    <row r="851" ht="11.25">
      <c r="A851" s="463">
        <f t="shared" si="18"/>
        <v>0</v>
      </c>
    </row>
    <row r="852" ht="11.25">
      <c r="A852" s="463">
        <f t="shared" si="18"/>
        <v>0</v>
      </c>
    </row>
    <row r="853" ht="11.25">
      <c r="A853" s="463">
        <f t="shared" si="18"/>
        <v>0</v>
      </c>
    </row>
    <row r="854" ht="11.25">
      <c r="A854" s="463">
        <f t="shared" si="18"/>
        <v>0</v>
      </c>
    </row>
    <row r="855" ht="11.25">
      <c r="A855" s="463">
        <f t="shared" si="18"/>
        <v>0</v>
      </c>
    </row>
    <row r="856" ht="11.25">
      <c r="A856" s="463">
        <f t="shared" si="18"/>
        <v>0</v>
      </c>
    </row>
    <row r="857" ht="11.25">
      <c r="A857" s="463">
        <f t="shared" si="18"/>
        <v>0</v>
      </c>
    </row>
    <row r="858" ht="11.25">
      <c r="A858" s="463">
        <f t="shared" si="18"/>
        <v>0</v>
      </c>
    </row>
    <row r="859" ht="11.25">
      <c r="A859" s="463">
        <f t="shared" si="18"/>
        <v>0</v>
      </c>
    </row>
    <row r="860" ht="11.25">
      <c r="A860" s="463">
        <f t="shared" si="18"/>
        <v>0</v>
      </c>
    </row>
    <row r="861" ht="11.25">
      <c r="A861" s="463">
        <f t="shared" si="18"/>
        <v>0</v>
      </c>
    </row>
    <row r="862" ht="11.25">
      <c r="A862" s="463">
        <f t="shared" si="18"/>
        <v>0</v>
      </c>
    </row>
    <row r="863" ht="11.25">
      <c r="A863" s="463">
        <f t="shared" si="18"/>
        <v>0</v>
      </c>
    </row>
    <row r="864" ht="11.25">
      <c r="A864" s="463">
        <f t="shared" si="18"/>
        <v>0</v>
      </c>
    </row>
    <row r="865" ht="11.25">
      <c r="A865" s="463">
        <f t="shared" si="18"/>
        <v>0</v>
      </c>
    </row>
    <row r="866" ht="11.25">
      <c r="A866" s="463">
        <f t="shared" si="18"/>
        <v>0</v>
      </c>
    </row>
    <row r="867" ht="11.25">
      <c r="A867" s="463">
        <f t="shared" si="18"/>
        <v>0</v>
      </c>
    </row>
    <row r="868" ht="11.25">
      <c r="A868" s="463">
        <f t="shared" si="18"/>
        <v>0</v>
      </c>
    </row>
    <row r="869" ht="11.25">
      <c r="A869" s="463">
        <f t="shared" si="18"/>
        <v>0</v>
      </c>
    </row>
    <row r="870" ht="11.25">
      <c r="A870" s="463">
        <f t="shared" si="18"/>
        <v>0</v>
      </c>
    </row>
    <row r="871" ht="11.25">
      <c r="A871" s="463">
        <f t="shared" si="18"/>
        <v>0</v>
      </c>
    </row>
    <row r="872" ht="11.25">
      <c r="A872" s="463">
        <f t="shared" si="18"/>
        <v>0</v>
      </c>
    </row>
    <row r="873" ht="11.25">
      <c r="A873" s="463">
        <f t="shared" si="18"/>
        <v>0</v>
      </c>
    </row>
    <row r="874" ht="11.25">
      <c r="A874" s="463">
        <f t="shared" si="18"/>
        <v>0</v>
      </c>
    </row>
    <row r="875" ht="11.25">
      <c r="A875" s="463">
        <f aca="true" t="shared" si="19" ref="A875:A938">IF($A$1=$B$1,B875,IF($A$1=$C$1,C875,IF($A$1=$D$1,D875,"N/A")))</f>
        <v>0</v>
      </c>
    </row>
    <row r="876" ht="11.25">
      <c r="A876" s="463">
        <f t="shared" si="19"/>
        <v>0</v>
      </c>
    </row>
    <row r="877" ht="11.25">
      <c r="A877" s="463">
        <f t="shared" si="19"/>
        <v>0</v>
      </c>
    </row>
    <row r="878" ht="11.25">
      <c r="A878" s="463">
        <f t="shared" si="19"/>
        <v>0</v>
      </c>
    </row>
    <row r="879" ht="11.25">
      <c r="A879" s="463">
        <f t="shared" si="19"/>
        <v>0</v>
      </c>
    </row>
    <row r="880" ht="11.25">
      <c r="A880" s="463">
        <f t="shared" si="19"/>
        <v>0</v>
      </c>
    </row>
    <row r="881" ht="11.25">
      <c r="A881" s="463">
        <f t="shared" si="19"/>
        <v>0</v>
      </c>
    </row>
    <row r="882" ht="11.25">
      <c r="A882" s="463">
        <f t="shared" si="19"/>
        <v>0</v>
      </c>
    </row>
    <row r="883" ht="11.25">
      <c r="A883" s="463">
        <f t="shared" si="19"/>
        <v>0</v>
      </c>
    </row>
    <row r="884" ht="11.25">
      <c r="A884" s="463">
        <f t="shared" si="19"/>
        <v>0</v>
      </c>
    </row>
    <row r="885" ht="11.25">
      <c r="A885" s="463">
        <f t="shared" si="19"/>
        <v>0</v>
      </c>
    </row>
    <row r="886" ht="11.25">
      <c r="A886" s="463">
        <f t="shared" si="19"/>
        <v>0</v>
      </c>
    </row>
    <row r="887" ht="11.25">
      <c r="A887" s="463">
        <f t="shared" si="19"/>
        <v>0</v>
      </c>
    </row>
    <row r="888" ht="11.25">
      <c r="A888" s="463">
        <f t="shared" si="19"/>
        <v>0</v>
      </c>
    </row>
    <row r="889" ht="11.25">
      <c r="A889" s="463">
        <f t="shared" si="19"/>
        <v>0</v>
      </c>
    </row>
    <row r="890" ht="11.25">
      <c r="A890" s="463">
        <f t="shared" si="19"/>
        <v>0</v>
      </c>
    </row>
    <row r="891" ht="11.25">
      <c r="A891" s="463">
        <f t="shared" si="19"/>
        <v>0</v>
      </c>
    </row>
    <row r="892" ht="11.25">
      <c r="A892" s="463">
        <f t="shared" si="19"/>
        <v>0</v>
      </c>
    </row>
    <row r="893" ht="11.25">
      <c r="A893" s="463">
        <f t="shared" si="19"/>
        <v>0</v>
      </c>
    </row>
    <row r="894" ht="11.25">
      <c r="A894" s="463">
        <f t="shared" si="19"/>
        <v>0</v>
      </c>
    </row>
    <row r="895" ht="11.25">
      <c r="A895" s="463">
        <f t="shared" si="19"/>
        <v>0</v>
      </c>
    </row>
    <row r="896" ht="11.25">
      <c r="A896" s="463">
        <f t="shared" si="19"/>
        <v>0</v>
      </c>
    </row>
    <row r="897" ht="11.25">
      <c r="A897" s="463">
        <f t="shared" si="19"/>
        <v>0</v>
      </c>
    </row>
    <row r="898" ht="11.25">
      <c r="A898" s="463">
        <f t="shared" si="19"/>
        <v>0</v>
      </c>
    </row>
    <row r="899" ht="11.25">
      <c r="A899" s="463">
        <f t="shared" si="19"/>
        <v>0</v>
      </c>
    </row>
    <row r="900" ht="11.25">
      <c r="A900" s="463">
        <f t="shared" si="19"/>
        <v>0</v>
      </c>
    </row>
    <row r="901" ht="11.25">
      <c r="A901" s="463">
        <f t="shared" si="19"/>
        <v>0</v>
      </c>
    </row>
    <row r="902" ht="11.25">
      <c r="A902" s="463">
        <f t="shared" si="19"/>
        <v>0</v>
      </c>
    </row>
    <row r="903" ht="11.25">
      <c r="A903" s="463">
        <f t="shared" si="19"/>
        <v>0</v>
      </c>
    </row>
    <row r="904" ht="11.25">
      <c r="A904" s="463">
        <f t="shared" si="19"/>
        <v>0</v>
      </c>
    </row>
    <row r="905" ht="11.25">
      <c r="A905" s="463">
        <f t="shared" si="19"/>
        <v>0</v>
      </c>
    </row>
    <row r="906" ht="11.25">
      <c r="A906" s="463">
        <f t="shared" si="19"/>
        <v>0</v>
      </c>
    </row>
    <row r="907" ht="11.25">
      <c r="A907" s="463">
        <f t="shared" si="19"/>
        <v>0</v>
      </c>
    </row>
    <row r="908" ht="11.25">
      <c r="A908" s="463">
        <f t="shared" si="19"/>
        <v>0</v>
      </c>
    </row>
    <row r="909" ht="11.25">
      <c r="A909" s="463">
        <f t="shared" si="19"/>
        <v>0</v>
      </c>
    </row>
    <row r="910" ht="11.25">
      <c r="A910" s="463">
        <f t="shared" si="19"/>
        <v>0</v>
      </c>
    </row>
    <row r="911" ht="11.25">
      <c r="A911" s="463">
        <f t="shared" si="19"/>
        <v>0</v>
      </c>
    </row>
    <row r="912" ht="11.25">
      <c r="A912" s="463">
        <f t="shared" si="19"/>
        <v>0</v>
      </c>
    </row>
    <row r="913" ht="11.25">
      <c r="A913" s="463">
        <f t="shared" si="19"/>
        <v>0</v>
      </c>
    </row>
    <row r="914" ht="11.25">
      <c r="A914" s="463">
        <f t="shared" si="19"/>
        <v>0</v>
      </c>
    </row>
    <row r="915" ht="11.25">
      <c r="A915" s="463">
        <f t="shared" si="19"/>
        <v>0</v>
      </c>
    </row>
    <row r="916" ht="11.25">
      <c r="A916" s="463">
        <f t="shared" si="19"/>
        <v>0</v>
      </c>
    </row>
    <row r="917" ht="11.25">
      <c r="A917" s="463">
        <f t="shared" si="19"/>
        <v>0</v>
      </c>
    </row>
    <row r="918" ht="11.25">
      <c r="A918" s="463">
        <f t="shared" si="19"/>
        <v>0</v>
      </c>
    </row>
    <row r="919" ht="11.25">
      <c r="A919" s="463">
        <f t="shared" si="19"/>
        <v>0</v>
      </c>
    </row>
    <row r="920" ht="11.25">
      <c r="A920" s="463">
        <f t="shared" si="19"/>
        <v>0</v>
      </c>
    </row>
    <row r="921" ht="11.25">
      <c r="A921" s="463">
        <f t="shared" si="19"/>
        <v>0</v>
      </c>
    </row>
    <row r="922" ht="11.25">
      <c r="A922" s="463">
        <f t="shared" si="19"/>
        <v>0</v>
      </c>
    </row>
    <row r="923" ht="11.25">
      <c r="A923" s="463">
        <f t="shared" si="19"/>
        <v>0</v>
      </c>
    </row>
    <row r="924" ht="11.25">
      <c r="A924" s="463">
        <f t="shared" si="19"/>
        <v>0</v>
      </c>
    </row>
    <row r="925" ht="11.25">
      <c r="A925" s="463">
        <f t="shared" si="19"/>
        <v>0</v>
      </c>
    </row>
    <row r="926" ht="11.25">
      <c r="A926" s="463">
        <f t="shared" si="19"/>
        <v>0</v>
      </c>
    </row>
    <row r="927" ht="11.25">
      <c r="A927" s="463">
        <f t="shared" si="19"/>
        <v>0</v>
      </c>
    </row>
    <row r="928" ht="11.25">
      <c r="A928" s="463">
        <f t="shared" si="19"/>
        <v>0</v>
      </c>
    </row>
    <row r="929" ht="11.25">
      <c r="A929" s="463">
        <f t="shared" si="19"/>
        <v>0</v>
      </c>
    </row>
    <row r="930" ht="11.25">
      <c r="A930" s="463">
        <f t="shared" si="19"/>
        <v>0</v>
      </c>
    </row>
    <row r="931" ht="11.25">
      <c r="A931" s="463">
        <f t="shared" si="19"/>
        <v>0</v>
      </c>
    </row>
    <row r="932" ht="11.25">
      <c r="A932" s="463">
        <f t="shared" si="19"/>
        <v>0</v>
      </c>
    </row>
    <row r="933" ht="11.25">
      <c r="A933" s="463">
        <f t="shared" si="19"/>
        <v>0</v>
      </c>
    </row>
    <row r="934" ht="11.25">
      <c r="A934" s="463">
        <f t="shared" si="19"/>
        <v>0</v>
      </c>
    </row>
    <row r="935" ht="11.25">
      <c r="A935" s="463">
        <f t="shared" si="19"/>
        <v>0</v>
      </c>
    </row>
    <row r="936" ht="11.25">
      <c r="A936" s="463">
        <f t="shared" si="19"/>
        <v>0</v>
      </c>
    </row>
    <row r="937" ht="11.25">
      <c r="A937" s="463">
        <f t="shared" si="19"/>
        <v>0</v>
      </c>
    </row>
    <row r="938" ht="11.25">
      <c r="A938" s="463">
        <f t="shared" si="19"/>
        <v>0</v>
      </c>
    </row>
    <row r="939" ht="11.25">
      <c r="A939" s="463">
        <f aca="true" t="shared" si="20" ref="A939:A957">IF($A$1=$B$1,B939,IF($A$1=$C$1,C939,IF($A$1=$D$1,D939,"N/A")))</f>
        <v>0</v>
      </c>
    </row>
    <row r="940" ht="11.25">
      <c r="A940" s="463">
        <f t="shared" si="20"/>
        <v>0</v>
      </c>
    </row>
    <row r="941" ht="11.25">
      <c r="A941" s="463">
        <f t="shared" si="20"/>
        <v>0</v>
      </c>
    </row>
    <row r="942" ht="11.25">
      <c r="A942" s="463">
        <f t="shared" si="20"/>
        <v>0</v>
      </c>
    </row>
    <row r="943" ht="11.25">
      <c r="A943" s="463">
        <f t="shared" si="20"/>
        <v>0</v>
      </c>
    </row>
    <row r="944" ht="11.25">
      <c r="A944" s="463">
        <f t="shared" si="20"/>
        <v>0</v>
      </c>
    </row>
    <row r="945" ht="11.25">
      <c r="A945" s="463">
        <f t="shared" si="20"/>
        <v>0</v>
      </c>
    </row>
    <row r="946" ht="11.25">
      <c r="A946" s="463">
        <f t="shared" si="20"/>
        <v>0</v>
      </c>
    </row>
    <row r="947" ht="11.25">
      <c r="A947" s="463">
        <f t="shared" si="20"/>
        <v>0</v>
      </c>
    </row>
    <row r="948" ht="11.25">
      <c r="A948" s="463">
        <f t="shared" si="20"/>
        <v>0</v>
      </c>
    </row>
    <row r="949" ht="11.25">
      <c r="A949" s="463">
        <f t="shared" si="20"/>
        <v>0</v>
      </c>
    </row>
    <row r="950" ht="11.25">
      <c r="A950" s="463">
        <f t="shared" si="20"/>
        <v>0</v>
      </c>
    </row>
    <row r="951" ht="11.25">
      <c r="A951" s="463">
        <f t="shared" si="20"/>
        <v>0</v>
      </c>
    </row>
    <row r="952" ht="11.25">
      <c r="A952" s="463">
        <f t="shared" si="20"/>
        <v>0</v>
      </c>
    </row>
    <row r="953" ht="11.25">
      <c r="A953" s="463">
        <f t="shared" si="20"/>
        <v>0</v>
      </c>
    </row>
    <row r="954" ht="11.25">
      <c r="A954" s="463">
        <f t="shared" si="20"/>
        <v>0</v>
      </c>
    </row>
    <row r="955" ht="11.25">
      <c r="A955" s="463">
        <f t="shared" si="20"/>
        <v>0</v>
      </c>
    </row>
    <row r="956" ht="11.25">
      <c r="A956" s="463">
        <f t="shared" si="20"/>
        <v>0</v>
      </c>
    </row>
    <row r="957" ht="11.25">
      <c r="A957" s="463">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6" customWidth="1"/>
    <col min="2" max="2" width="21.28125" style="495" customWidth="1"/>
    <col min="3" max="3" width="37.00390625" style="486" customWidth="1"/>
    <col min="4" max="4" width="35.7109375" style="486" customWidth="1"/>
    <col min="5" max="5" width="32.7109375" style="486" customWidth="1"/>
    <col min="6" max="6" width="10.00390625" style="486" customWidth="1"/>
    <col min="7" max="16384" width="9.140625" style="486" customWidth="1"/>
  </cols>
  <sheetData>
    <row r="1" spans="1:5" ht="12.75" customHeight="1">
      <c r="A1" s="484"/>
      <c r="B1" s="485" t="s">
        <v>602</v>
      </c>
      <c r="C1" s="485" t="s">
        <v>882</v>
      </c>
      <c r="D1" s="485" t="s">
        <v>883</v>
      </c>
      <c r="E1" s="485" t="s">
        <v>884</v>
      </c>
    </row>
    <row r="2" spans="1:6" ht="12.75" customHeight="1">
      <c r="A2" s="486" t="str">
        <f>IF(Fld_Menu_FR="x",Codes!$D2,IF(Fld_Menu_EN="x",Codes!$C2,IF(Fld_Menu_DE="x",Codes!$E2,"N/A")))</f>
        <v>Autres pays</v>
      </c>
      <c r="B2" s="487"/>
      <c r="C2" s="488" t="s">
        <v>1806</v>
      </c>
      <c r="D2" s="488" t="s">
        <v>1804</v>
      </c>
      <c r="E2" s="488" t="s">
        <v>1805</v>
      </c>
      <c r="F2" s="486">
        <v>0</v>
      </c>
    </row>
    <row r="3" spans="1:6" ht="12.75" customHeight="1">
      <c r="A3" s="486" t="str">
        <f>IF(Fld_Menu_FR="x",Codes!$D3,IF(Fld_Menu_EN="x",Codes!$C3,IF(Fld_Menu_DE="x",Codes!$E3,"N/A")))</f>
        <v>Belgique</v>
      </c>
      <c r="B3" s="489" t="s">
        <v>885</v>
      </c>
      <c r="C3" s="490" t="s">
        <v>1670</v>
      </c>
      <c r="D3" s="490" t="s">
        <v>2093</v>
      </c>
      <c r="E3" s="490" t="s">
        <v>886</v>
      </c>
      <c r="F3" s="486">
        <v>1</v>
      </c>
    </row>
    <row r="4" spans="1:6" ht="12.75" customHeight="1">
      <c r="A4" s="486" t="str">
        <f>IF(Fld_Menu_FR="x",Codes!$D4,IF(Fld_Menu_EN="x",Codes!$C4,IF(Fld_Menu_DE="x",Codes!$E4,"N/A")))</f>
        <v>Danemark</v>
      </c>
      <c r="B4" s="489" t="s">
        <v>887</v>
      </c>
      <c r="C4" s="490" t="s">
        <v>888</v>
      </c>
      <c r="D4" s="490" t="s">
        <v>1293</v>
      </c>
      <c r="E4" s="490" t="s">
        <v>1802</v>
      </c>
      <c r="F4" s="486">
        <v>2</v>
      </c>
    </row>
    <row r="5" spans="1:6" ht="12.75" customHeight="1">
      <c r="A5" s="491" t="str">
        <f>IF(Fld_Menu_FR="x",Codes!$D5,IF(Fld_Menu_EN="x",Codes!$C5,IF(Fld_Menu_DE="x",Codes!$E5,"N/A")))</f>
        <v>Allemagne</v>
      </c>
      <c r="B5" s="489" t="s">
        <v>889</v>
      </c>
      <c r="C5" s="490" t="s">
        <v>890</v>
      </c>
      <c r="D5" s="490" t="s">
        <v>891</v>
      </c>
      <c r="E5" s="490" t="s">
        <v>1801</v>
      </c>
      <c r="F5" s="486">
        <v>3</v>
      </c>
    </row>
    <row r="6" spans="1:6" ht="12.75" customHeight="1">
      <c r="A6" s="486" t="str">
        <f>IF(Fld_Menu_FR="x",Codes!$D6,IF(Fld_Menu_EN="x",Codes!$C6,IF(Fld_Menu_DE="x",Codes!$E6,"N/A")))</f>
        <v>Grèce</v>
      </c>
      <c r="B6" s="489" t="s">
        <v>892</v>
      </c>
      <c r="C6" s="490" t="s">
        <v>893</v>
      </c>
      <c r="D6" s="490" t="s">
        <v>574</v>
      </c>
      <c r="E6" s="490" t="s">
        <v>894</v>
      </c>
      <c r="F6" s="486">
        <v>4</v>
      </c>
    </row>
    <row r="7" spans="1:6" ht="12.75" customHeight="1">
      <c r="A7" s="486" t="str">
        <f>IF(Fld_Menu_FR="x",Codes!$D7,IF(Fld_Menu_EN="x",Codes!$C7,IF(Fld_Menu_DE="x",Codes!$E7,"N/A")))</f>
        <v>Espagne</v>
      </c>
      <c r="B7" s="489" t="s">
        <v>895</v>
      </c>
      <c r="C7" s="490" t="s">
        <v>896</v>
      </c>
      <c r="D7" s="490" t="s">
        <v>897</v>
      </c>
      <c r="E7" s="490" t="s">
        <v>905</v>
      </c>
      <c r="F7" s="486">
        <v>5</v>
      </c>
    </row>
    <row r="8" spans="1:6" ht="12.75" customHeight="1">
      <c r="A8" s="486" t="str">
        <f>IF(Fld_Menu_FR="x",Codes!$D8,IF(Fld_Menu_EN="x",Codes!$C8,IF(Fld_Menu_DE="x",Codes!$E8,"N/A")))</f>
        <v>France</v>
      </c>
      <c r="B8" s="489" t="s">
        <v>687</v>
      </c>
      <c r="C8" s="490" t="s">
        <v>906</v>
      </c>
      <c r="D8" s="490" t="s">
        <v>906</v>
      </c>
      <c r="E8" s="490" t="s">
        <v>907</v>
      </c>
      <c r="F8" s="486">
        <v>6</v>
      </c>
    </row>
    <row r="9" spans="1:6" ht="12.75" customHeight="1">
      <c r="A9" s="486" t="str">
        <f>IF(Fld_Menu_FR="x",Codes!$D9,IF(Fld_Menu_EN="x",Codes!$C9,IF(Fld_Menu_DE="x",Codes!$E9,"N/A")))</f>
        <v>Irlande</v>
      </c>
      <c r="B9" s="489" t="s">
        <v>908</v>
      </c>
      <c r="C9" s="490" t="s">
        <v>909</v>
      </c>
      <c r="D9" s="490" t="s">
        <v>910</v>
      </c>
      <c r="E9" s="490" t="s">
        <v>911</v>
      </c>
      <c r="F9" s="486">
        <v>7</v>
      </c>
    </row>
    <row r="10" spans="1:6" ht="12.75" customHeight="1">
      <c r="A10" s="486" t="str">
        <f>IF(Fld_Menu_FR="x",Codes!$D10,IF(Fld_Menu_EN="x",Codes!$C10,IF(Fld_Menu_DE="x",Codes!$E10,"N/A")))</f>
        <v>Italie</v>
      </c>
      <c r="B10" s="489" t="s">
        <v>912</v>
      </c>
      <c r="C10" s="490" t="s">
        <v>913</v>
      </c>
      <c r="D10" s="490" t="s">
        <v>914</v>
      </c>
      <c r="E10" s="490" t="s">
        <v>429</v>
      </c>
      <c r="F10" s="486">
        <v>8</v>
      </c>
    </row>
    <row r="11" spans="1:6" ht="12.75" customHeight="1">
      <c r="A11" s="486" t="str">
        <f>IF(Fld_Menu_FR="x",Codes!$D11,IF(Fld_Menu_EN="x",Codes!$C11,IF(Fld_Menu_DE="x",Codes!$E11,"N/A")))</f>
        <v>Luxembourg</v>
      </c>
      <c r="B11" s="489" t="s">
        <v>430</v>
      </c>
      <c r="C11" s="490" t="s">
        <v>431</v>
      </c>
      <c r="D11" s="490" t="s">
        <v>431</v>
      </c>
      <c r="E11" s="490" t="s">
        <v>432</v>
      </c>
      <c r="F11" s="486">
        <v>9</v>
      </c>
    </row>
    <row r="12" spans="1:6" ht="12.75" customHeight="1">
      <c r="A12" s="486" t="str">
        <f>IF(Fld_Menu_FR="x",Codes!$D12,IF(Fld_Menu_EN="x",Codes!$C12,IF(Fld_Menu_DE="x",Codes!$E12,"N/A")))</f>
        <v>Pays-Bas</v>
      </c>
      <c r="B12" s="489" t="s">
        <v>433</v>
      </c>
      <c r="C12" s="490" t="s">
        <v>434</v>
      </c>
      <c r="D12" s="490" t="s">
        <v>435</v>
      </c>
      <c r="E12" s="490" t="s">
        <v>436</v>
      </c>
      <c r="F12" s="486">
        <v>10</v>
      </c>
    </row>
    <row r="13" spans="1:6" ht="12.75" customHeight="1">
      <c r="A13" s="486" t="str">
        <f>IF(Fld_Menu_FR="x",Codes!$D13,IF(Fld_Menu_EN="x",Codes!$C13,IF(Fld_Menu_DE="x",Codes!$E13,"N/A")))</f>
        <v>Autriche</v>
      </c>
      <c r="B13" s="489" t="s">
        <v>437</v>
      </c>
      <c r="C13" s="490" t="s">
        <v>438</v>
      </c>
      <c r="D13" s="490" t="s">
        <v>439</v>
      </c>
      <c r="E13" s="490" t="s">
        <v>1800</v>
      </c>
      <c r="F13" s="486">
        <v>11</v>
      </c>
    </row>
    <row r="14" spans="1:6" ht="12.75" customHeight="1">
      <c r="A14" s="486" t="str">
        <f>IF(Fld_Menu_FR="x",Codes!$D14,IF(Fld_Menu_EN="x",Codes!$C14,IF(Fld_Menu_DE="x",Codes!$E14,"N/A")))</f>
        <v>Portugal</v>
      </c>
      <c r="B14" s="489" t="s">
        <v>440</v>
      </c>
      <c r="C14" s="490" t="s">
        <v>441</v>
      </c>
      <c r="D14" s="490" t="s">
        <v>441</v>
      </c>
      <c r="E14" s="490" t="s">
        <v>441</v>
      </c>
      <c r="F14" s="486">
        <v>12</v>
      </c>
    </row>
    <row r="15" spans="1:6" ht="12.75" customHeight="1">
      <c r="A15" s="486" t="str">
        <f>IF(Fld_Menu_FR="x",Codes!$D15,IF(Fld_Menu_EN="x",Codes!$C15,IF(Fld_Menu_DE="x",Codes!$E15,"N/A")))</f>
        <v>Finlande</v>
      </c>
      <c r="B15" s="489" t="s">
        <v>442</v>
      </c>
      <c r="C15" s="490" t="s">
        <v>443</v>
      </c>
      <c r="D15" s="490" t="s">
        <v>444</v>
      </c>
      <c r="E15" s="490" t="s">
        <v>445</v>
      </c>
      <c r="F15" s="486">
        <v>13</v>
      </c>
    </row>
    <row r="16" spans="1:6" ht="12.75" customHeight="1">
      <c r="A16" s="486" t="str">
        <f>IF(Fld_Menu_FR="x",Codes!$D16,IF(Fld_Menu_EN="x",Codes!$C16,IF(Fld_Menu_DE="x",Codes!$E16,"N/A")))</f>
        <v>Suède</v>
      </c>
      <c r="B16" s="489" t="s">
        <v>446</v>
      </c>
      <c r="C16" s="490" t="s">
        <v>447</v>
      </c>
      <c r="D16" s="490" t="s">
        <v>448</v>
      </c>
      <c r="E16" s="490" t="s">
        <v>449</v>
      </c>
      <c r="F16" s="486">
        <v>14</v>
      </c>
    </row>
    <row r="17" spans="1:6" ht="12.75" customHeight="1">
      <c r="A17" s="486" t="str">
        <f>IF(Fld_Menu_FR="x",Codes!$D17,IF(Fld_Menu_EN="x",Codes!$C17,IF(Fld_Menu_DE="x",Codes!$E17,"N/A")))</f>
        <v>Royaume Uni</v>
      </c>
      <c r="B17" s="489" t="s">
        <v>450</v>
      </c>
      <c r="C17" s="490" t="s">
        <v>451</v>
      </c>
      <c r="D17" s="490" t="s">
        <v>452</v>
      </c>
      <c r="E17" s="490" t="s">
        <v>1803</v>
      </c>
      <c r="F17" s="486">
        <v>15</v>
      </c>
    </row>
    <row r="18" spans="1:6" ht="12.75" customHeight="1">
      <c r="A18" s="486" t="str">
        <f>IF(Fld_Menu_FR="x",Codes!$D18,IF(Fld_Menu_EN="x",Codes!$C18,IF(Fld_Menu_DE="x",Codes!$E18,"N/A")))</f>
        <v>Suisse</v>
      </c>
      <c r="B18" s="489" t="s">
        <v>1214</v>
      </c>
      <c r="C18" s="490" t="s">
        <v>1215</v>
      </c>
      <c r="D18" s="490" t="s">
        <v>1216</v>
      </c>
      <c r="E18" s="490" t="s">
        <v>1217</v>
      </c>
      <c r="F18" s="486">
        <v>20</v>
      </c>
    </row>
    <row r="19" spans="1:6" ht="12.75" customHeight="1">
      <c r="A19" s="486" t="str">
        <f>IF(Fld_Menu_FR="x",Codes!$D19,IF(Fld_Menu_EN="x",Codes!$C19,IF(Fld_Menu_DE="x",Codes!$E19,"N/A")))</f>
        <v>Norvège</v>
      </c>
      <c r="B19" s="489" t="s">
        <v>1867</v>
      </c>
      <c r="C19" s="490" t="s">
        <v>1868</v>
      </c>
      <c r="D19" s="490" t="s">
        <v>1869</v>
      </c>
      <c r="E19" s="490" t="s">
        <v>1870</v>
      </c>
      <c r="F19" s="486">
        <v>21</v>
      </c>
    </row>
    <row r="20" spans="1:6" ht="12.75" customHeight="1">
      <c r="A20" s="486" t="str">
        <f>IF(Fld_Menu_FR="x",Codes!$D20,IF(Fld_Menu_EN="x",Codes!$C20,IF(Fld_Menu_DE="x",Codes!$E20,"N/A")))</f>
        <v>Islande</v>
      </c>
      <c r="B20" s="489" t="s">
        <v>163</v>
      </c>
      <c r="C20" s="490" t="s">
        <v>164</v>
      </c>
      <c r="D20" s="490" t="s">
        <v>165</v>
      </c>
      <c r="E20" s="490" t="s">
        <v>166</v>
      </c>
      <c r="F20" s="486">
        <v>22</v>
      </c>
    </row>
    <row r="21" spans="1:6" ht="12.75" customHeight="1">
      <c r="A21" s="486" t="str">
        <f>IF(Fld_Menu_FR="x",Codes!$D21,IF(Fld_Menu_EN="x",Codes!$C21,IF(Fld_Menu_DE="x",Codes!$E21,"N/A")))</f>
        <v>Chypre</v>
      </c>
      <c r="B21" s="489" t="s">
        <v>1247</v>
      </c>
      <c r="C21" s="490" t="s">
        <v>1248</v>
      </c>
      <c r="D21" s="490" t="s">
        <v>1249</v>
      </c>
      <c r="E21" s="490" t="s">
        <v>1250</v>
      </c>
      <c r="F21" s="486">
        <v>23</v>
      </c>
    </row>
    <row r="22" spans="1:6" ht="12.75" customHeight="1">
      <c r="A22" s="486" t="str">
        <f>IF(Fld_Menu_FR="x",Codes!$D22,IF(Fld_Menu_EN="x",Codes!$C22,IF(Fld_Menu_DE="x",Codes!$E22,"N/A")))</f>
        <v>Hongrie</v>
      </c>
      <c r="B22" s="489" t="s">
        <v>144</v>
      </c>
      <c r="C22" s="490" t="s">
        <v>145</v>
      </c>
      <c r="D22" s="490" t="s">
        <v>146</v>
      </c>
      <c r="E22" s="490" t="s">
        <v>147</v>
      </c>
      <c r="F22" s="486">
        <v>24</v>
      </c>
    </row>
    <row r="23" spans="1:6" ht="12.75" customHeight="1">
      <c r="A23" s="486" t="str">
        <f>IF(Fld_Menu_FR="x",Codes!$D23,IF(Fld_Menu_EN="x",Codes!$C23,IF(Fld_Menu_DE="x",Codes!$E23,"N/A")))</f>
        <v>Slovénie</v>
      </c>
      <c r="B23" s="489" t="s">
        <v>272</v>
      </c>
      <c r="C23" s="490" t="s">
        <v>273</v>
      </c>
      <c r="D23" s="490" t="s">
        <v>274</v>
      </c>
      <c r="E23" s="490" t="s">
        <v>275</v>
      </c>
      <c r="F23" s="486">
        <v>25</v>
      </c>
    </row>
    <row r="24" spans="1:6" ht="12.75" customHeight="1">
      <c r="A24" s="486" t="str">
        <f>IF(Fld_Menu_FR="x",Codes!$D24,IF(Fld_Menu_EN="x",Codes!$C24,IF(Fld_Menu_DE="x",Codes!$E24,"N/A")))</f>
        <v>Tchécoslovaquie</v>
      </c>
      <c r="B24" s="489" t="s">
        <v>1251</v>
      </c>
      <c r="C24" s="490" t="s">
        <v>1078</v>
      </c>
      <c r="D24" s="490" t="s">
        <v>1252</v>
      </c>
      <c r="E24" s="490" t="s">
        <v>1178</v>
      </c>
      <c r="F24" s="486">
        <v>26</v>
      </c>
    </row>
    <row r="25" spans="1:6" ht="12.75" customHeight="1">
      <c r="A25" s="486" t="str">
        <f>IF(Fld_Menu_FR="x",Codes!$D25,IF(Fld_Menu_EN="x",Codes!$C25,IF(Fld_Menu_DE="x",Codes!$E25,"N/A")))</f>
        <v>Estonie</v>
      </c>
      <c r="B25" s="489" t="s">
        <v>1266</v>
      </c>
      <c r="C25" s="490" t="s">
        <v>1267</v>
      </c>
      <c r="D25" s="490" t="s">
        <v>1268</v>
      </c>
      <c r="E25" s="490" t="s">
        <v>1269</v>
      </c>
      <c r="F25" s="486">
        <v>27</v>
      </c>
    </row>
    <row r="26" spans="1:6" ht="12.75" customHeight="1">
      <c r="A26" s="486" t="str">
        <f>IF(Fld_Menu_FR="x",Codes!$D26,IF(Fld_Menu_EN="x",Codes!$C26,IF(Fld_Menu_DE="x",Codes!$E26,"N/A")))</f>
        <v>Lettonie</v>
      </c>
      <c r="B26" s="489" t="s">
        <v>865</v>
      </c>
      <c r="C26" s="490" t="s">
        <v>596</v>
      </c>
      <c r="D26" s="490" t="s">
        <v>597</v>
      </c>
      <c r="E26" s="490" t="s">
        <v>598</v>
      </c>
      <c r="F26" s="486">
        <v>28</v>
      </c>
    </row>
    <row r="27" spans="1:6" ht="12.75" customHeight="1">
      <c r="A27" s="486" t="str">
        <f>IF(Fld_Menu_FR="x",Codes!$D27,IF(Fld_Menu_EN="x",Codes!$C27,IF(Fld_Menu_DE="x",Codes!$E27,"N/A")))</f>
        <v>Lithuanie</v>
      </c>
      <c r="B27" s="489" t="s">
        <v>861</v>
      </c>
      <c r="C27" s="490" t="s">
        <v>862</v>
      </c>
      <c r="D27" s="490" t="s">
        <v>863</v>
      </c>
      <c r="E27" s="490" t="s">
        <v>864</v>
      </c>
      <c r="F27" s="486">
        <v>29</v>
      </c>
    </row>
    <row r="28" spans="1:6" ht="12.75" customHeight="1">
      <c r="A28" s="486" t="str">
        <f>IF(Fld_Menu_FR="x",Codes!$D28,IF(Fld_Menu_EN="x",Codes!$C28,IF(Fld_Menu_DE="x",Codes!$E28,"N/A")))</f>
        <v>Malte</v>
      </c>
      <c r="B28" s="489" t="s">
        <v>1830</v>
      </c>
      <c r="C28" s="490" t="s">
        <v>1831</v>
      </c>
      <c r="D28" s="490" t="s">
        <v>1832</v>
      </c>
      <c r="E28" s="490" t="s">
        <v>1831</v>
      </c>
      <c r="F28" s="486">
        <v>30</v>
      </c>
    </row>
    <row r="29" spans="1:6" ht="12.75" customHeight="1">
      <c r="A29" s="486" t="str">
        <f>IF(Fld_Menu_FR="x",Codes!$D29,IF(Fld_Menu_EN="x",Codes!$C29,IF(Fld_Menu_DE="x",Codes!$E29,"N/A")))</f>
        <v>Roumanie</v>
      </c>
      <c r="B29" s="489" t="s">
        <v>242</v>
      </c>
      <c r="C29" s="490" t="s">
        <v>243</v>
      </c>
      <c r="D29" s="490" t="s">
        <v>244</v>
      </c>
      <c r="E29" s="490" t="s">
        <v>245</v>
      </c>
      <c r="F29" s="486">
        <v>31</v>
      </c>
    </row>
    <row r="30" spans="1:6" ht="12.75" customHeight="1">
      <c r="A30" s="486" t="str">
        <f>IF(Fld_Menu_FR="x",Codes!$D30,IF(Fld_Menu_EN="x",Codes!$C30,IF(Fld_Menu_DE="x",Codes!$E30,"N/A")))</f>
        <v>Slovakie</v>
      </c>
      <c r="B30" s="489" t="s">
        <v>278</v>
      </c>
      <c r="C30" s="490" t="s">
        <v>1163</v>
      </c>
      <c r="D30" s="490" t="s">
        <v>279</v>
      </c>
      <c r="E30" s="490" t="s">
        <v>280</v>
      </c>
      <c r="F30" s="486">
        <v>32</v>
      </c>
    </row>
    <row r="31" spans="1:6" ht="12.75" customHeight="1">
      <c r="A31" s="486" t="str">
        <f>IF(Fld_Menu_FR="x",Codes!$D31,IF(Fld_Menu_EN="x",Codes!$C31,IF(Fld_Menu_DE="x",Codes!$E31,"N/A")))</f>
        <v>Turquie</v>
      </c>
      <c r="B31" s="489" t="s">
        <v>2107</v>
      </c>
      <c r="C31" s="490" t="s">
        <v>2108</v>
      </c>
      <c r="D31" s="490" t="s">
        <v>2109</v>
      </c>
      <c r="E31" s="490" t="s">
        <v>400</v>
      </c>
      <c r="F31" s="486">
        <v>33</v>
      </c>
    </row>
    <row r="32" spans="1:6" ht="12.75" customHeight="1">
      <c r="A32" s="486" t="str">
        <f>IF(Fld_Menu_FR="x",Codes!$D32,IF(Fld_Menu_EN="x",Codes!$C32,IF(Fld_Menu_DE="x",Codes!$E32,"N/A")))</f>
        <v>Bulgarie</v>
      </c>
      <c r="B32" s="489" t="s">
        <v>87</v>
      </c>
      <c r="C32" s="490" t="s">
        <v>88</v>
      </c>
      <c r="D32" s="490" t="s">
        <v>89</v>
      </c>
      <c r="E32" s="490" t="s">
        <v>90</v>
      </c>
      <c r="F32" s="486">
        <v>34</v>
      </c>
    </row>
    <row r="33" spans="1:6" ht="12.75" customHeight="1">
      <c r="A33" s="486" t="str">
        <f>IF(Fld_Menu_FR="x",Codes!$D33,IF(Fld_Menu_EN="x",Codes!$C33,IF(Fld_Menu_DE="x",Codes!$E33,"N/A")))</f>
        <v>Pologne</v>
      </c>
      <c r="B33" s="489" t="s">
        <v>1456</v>
      </c>
      <c r="C33" s="490" t="s">
        <v>1457</v>
      </c>
      <c r="D33" s="490" t="s">
        <v>1458</v>
      </c>
      <c r="E33" s="490" t="s">
        <v>1459</v>
      </c>
      <c r="F33" s="486">
        <v>35</v>
      </c>
    </row>
    <row r="34" spans="1:6" ht="12.75" customHeight="1">
      <c r="A34" s="486" t="str">
        <f>IF(Fld_Menu_FR="x",Codes!$D34,IF(Fld_Menu_EN="x",Codes!$C34,IF(Fld_Menu_DE="x",Codes!$E34,"N/A")))</f>
        <v>Andorre</v>
      </c>
      <c r="B34" s="489" t="s">
        <v>453</v>
      </c>
      <c r="C34" s="490" t="s">
        <v>454</v>
      </c>
      <c r="D34" s="490" t="s">
        <v>455</v>
      </c>
      <c r="E34" s="490" t="s">
        <v>454</v>
      </c>
      <c r="F34" s="486">
        <v>50</v>
      </c>
    </row>
    <row r="35" spans="1:6" ht="12.75" customHeight="1">
      <c r="A35" s="486" t="str">
        <f>IF(Fld_Menu_FR="x",Codes!$D35,IF(Fld_Menu_EN="x",Codes!$C35,IF(Fld_Menu_DE="x",Codes!$E35,"N/A")))</f>
        <v>Emirats Arabes Unis</v>
      </c>
      <c r="B35" s="489" t="s">
        <v>456</v>
      </c>
      <c r="C35" s="490" t="s">
        <v>1073</v>
      </c>
      <c r="D35" s="490" t="s">
        <v>1708</v>
      </c>
      <c r="E35" s="490" t="s">
        <v>1174</v>
      </c>
      <c r="F35" s="486">
        <v>51</v>
      </c>
    </row>
    <row r="36" spans="1:6" ht="12.75" customHeight="1">
      <c r="A36" s="486" t="str">
        <f>IF(Fld_Menu_FR="x",Codes!$D36,IF(Fld_Menu_EN="x",Codes!$C36,IF(Fld_Menu_DE="x",Codes!$E36,"N/A")))</f>
        <v>Afghanistan</v>
      </c>
      <c r="B36" s="489" t="s">
        <v>457</v>
      </c>
      <c r="C36" s="490" t="s">
        <v>458</v>
      </c>
      <c r="D36" s="490" t="s">
        <v>458</v>
      </c>
      <c r="E36" s="490" t="s">
        <v>458</v>
      </c>
      <c r="F36" s="486">
        <v>52</v>
      </c>
    </row>
    <row r="37" spans="1:6" ht="12.75" customHeight="1">
      <c r="A37" s="486" t="str">
        <f>IF(Fld_Menu_FR="x",Codes!$D37,IF(Fld_Menu_EN="x",Codes!$C37,IF(Fld_Menu_DE="x",Codes!$E37,"N/A")))</f>
        <v>Antigua et Barbuda (Antilles)</v>
      </c>
      <c r="B37" s="489" t="s">
        <v>459</v>
      </c>
      <c r="C37" s="490" t="s">
        <v>1276</v>
      </c>
      <c r="D37" s="490" t="s">
        <v>460</v>
      </c>
      <c r="E37" s="490" t="s">
        <v>461</v>
      </c>
      <c r="F37" s="486">
        <v>53</v>
      </c>
    </row>
    <row r="38" spans="1:6" ht="12.75" customHeight="1">
      <c r="A38" s="486" t="str">
        <f>IF(Fld_Menu_FR="x",Codes!$D38,IF(Fld_Menu_EN="x",Codes!$C38,IF(Fld_Menu_DE="x",Codes!$E38,"N/A")))</f>
        <v>Anguilla</v>
      </c>
      <c r="B38" s="489" t="s">
        <v>462</v>
      </c>
      <c r="C38" s="490" t="s">
        <v>463</v>
      </c>
      <c r="D38" s="490" t="s">
        <v>463</v>
      </c>
      <c r="E38" s="490" t="s">
        <v>463</v>
      </c>
      <c r="F38" s="486">
        <v>54</v>
      </c>
    </row>
    <row r="39" spans="1:6" ht="12.75" customHeight="1">
      <c r="A39" s="486" t="str">
        <f>IF(Fld_Menu_FR="x",Codes!$D39,IF(Fld_Menu_EN="x",Codes!$C39,IF(Fld_Menu_DE="x",Codes!$E39,"N/A")))</f>
        <v>Albanie</v>
      </c>
      <c r="B39" s="489" t="s">
        <v>464</v>
      </c>
      <c r="C39" s="490" t="s">
        <v>465</v>
      </c>
      <c r="D39" s="490" t="s">
        <v>46</v>
      </c>
      <c r="E39" s="490" t="s">
        <v>47</v>
      </c>
      <c r="F39" s="486">
        <v>55</v>
      </c>
    </row>
    <row r="40" spans="1:6" ht="12.75" customHeight="1">
      <c r="A40" s="486" t="str">
        <f>IF(Fld_Menu_FR="x",Codes!$D40,IF(Fld_Menu_EN="x",Codes!$C40,IF(Fld_Menu_DE="x",Codes!$E40,"N/A")))</f>
        <v>Arménie</v>
      </c>
      <c r="B40" s="489" t="s">
        <v>48</v>
      </c>
      <c r="C40" s="490" t="s">
        <v>49</v>
      </c>
      <c r="D40" s="490" t="s">
        <v>50</v>
      </c>
      <c r="E40" s="490" t="s">
        <v>51</v>
      </c>
      <c r="F40" s="486">
        <v>56</v>
      </c>
    </row>
    <row r="41" spans="1:6" ht="12.75" customHeight="1">
      <c r="A41" s="486" t="str">
        <f>IF(Fld_Menu_FR="x",Codes!$D41,IF(Fld_Menu_EN="x",Codes!$C41,IF(Fld_Menu_DE="x",Codes!$E41,"N/A")))</f>
        <v>Antilles Néerlandaises</v>
      </c>
      <c r="B41" s="489" t="s">
        <v>52</v>
      </c>
      <c r="C41" s="490" t="s">
        <v>1072</v>
      </c>
      <c r="D41" s="490" t="s">
        <v>1707</v>
      </c>
      <c r="E41" s="490" t="s">
        <v>53</v>
      </c>
      <c r="F41" s="486">
        <v>57</v>
      </c>
    </row>
    <row r="42" spans="1:6" ht="12.75" customHeight="1">
      <c r="A42" s="486" t="str">
        <f>IF(Fld_Menu_FR="x",Codes!$D42,IF(Fld_Menu_EN="x",Codes!$C42,IF(Fld_Menu_DE="x",Codes!$E42,"N/A")))</f>
        <v>Angola</v>
      </c>
      <c r="B42" s="489" t="s">
        <v>54</v>
      </c>
      <c r="C42" s="490" t="s">
        <v>55</v>
      </c>
      <c r="D42" s="490" t="s">
        <v>55</v>
      </c>
      <c r="E42" s="490" t="s">
        <v>55</v>
      </c>
      <c r="F42" s="486">
        <v>58</v>
      </c>
    </row>
    <row r="43" spans="1:6" ht="12.75" customHeight="1">
      <c r="A43" s="486" t="str">
        <f>IF(Fld_Menu_FR="x",Codes!$D43,IF(Fld_Menu_EN="x",Codes!$C43,IF(Fld_Menu_DE="x",Codes!$E43,"N/A")))</f>
        <v>Antartique</v>
      </c>
      <c r="B43" s="489" t="s">
        <v>56</v>
      </c>
      <c r="C43" s="490" t="s">
        <v>57</v>
      </c>
      <c r="D43" s="490" t="s">
        <v>58</v>
      </c>
      <c r="E43" s="490" t="s">
        <v>59</v>
      </c>
      <c r="F43" s="486">
        <v>59</v>
      </c>
    </row>
    <row r="44" spans="1:6" ht="12.75" customHeight="1">
      <c r="A44" s="486" t="str">
        <f>IF(Fld_Menu_FR="x",Codes!$D44,IF(Fld_Menu_EN="x",Codes!$C44,IF(Fld_Menu_DE="x",Codes!$E44,"N/A")))</f>
        <v>Argentine</v>
      </c>
      <c r="B44" s="489" t="s">
        <v>60</v>
      </c>
      <c r="C44" s="490" t="s">
        <v>61</v>
      </c>
      <c r="D44" s="490" t="s">
        <v>62</v>
      </c>
      <c r="E44" s="490" t="s">
        <v>63</v>
      </c>
      <c r="F44" s="486">
        <v>60</v>
      </c>
    </row>
    <row r="45" spans="1:6" ht="12.75" customHeight="1">
      <c r="A45" s="486" t="str">
        <f>IF(Fld_Menu_FR="x",Codes!$D45,IF(Fld_Menu_EN="x",Codes!$C45,IF(Fld_Menu_DE="x",Codes!$E45,"N/A")))</f>
        <v>Iles Samoa</v>
      </c>
      <c r="B45" s="489" t="s">
        <v>64</v>
      </c>
      <c r="C45" s="490" t="s">
        <v>65</v>
      </c>
      <c r="D45" s="490" t="s">
        <v>66</v>
      </c>
      <c r="E45" s="490" t="s">
        <v>1175</v>
      </c>
      <c r="F45" s="486">
        <v>61</v>
      </c>
    </row>
    <row r="46" spans="1:6" ht="12.75" customHeight="1">
      <c r="A46" s="486" t="str">
        <f>IF(Fld_Menu_FR="x",Codes!$D46,IF(Fld_Menu_EN="x",Codes!$C46,IF(Fld_Menu_DE="x",Codes!$E46,"N/A")))</f>
        <v>Australie</v>
      </c>
      <c r="B46" s="489" t="s">
        <v>67</v>
      </c>
      <c r="C46" s="490" t="s">
        <v>68</v>
      </c>
      <c r="D46" s="490" t="s">
        <v>69</v>
      </c>
      <c r="E46" s="490" t="s">
        <v>70</v>
      </c>
      <c r="F46" s="486">
        <v>62</v>
      </c>
    </row>
    <row r="47" spans="1:6" ht="12.75" customHeight="1">
      <c r="A47" s="486" t="str">
        <f>IF(Fld_Menu_FR="x",Codes!$D47,IF(Fld_Menu_EN="x",Codes!$C47,IF(Fld_Menu_DE="x",Codes!$E47,"N/A")))</f>
        <v>Aruba</v>
      </c>
      <c r="B47" s="489" t="s">
        <v>71</v>
      </c>
      <c r="C47" s="490" t="s">
        <v>72</v>
      </c>
      <c r="D47" s="490" t="s">
        <v>72</v>
      </c>
      <c r="E47" s="490" t="s">
        <v>72</v>
      </c>
      <c r="F47" s="486">
        <v>63</v>
      </c>
    </row>
    <row r="48" spans="1:6" ht="12.75" customHeight="1">
      <c r="A48" s="486" t="str">
        <f>IF(Fld_Menu_FR="x",Codes!$D48,IF(Fld_Menu_EN="x",Codes!$C48,IF(Fld_Menu_DE="x",Codes!$E48,"N/A")))</f>
        <v>Azerbaïdjan</v>
      </c>
      <c r="B48" s="489" t="s">
        <v>73</v>
      </c>
      <c r="C48" s="490" t="s">
        <v>74</v>
      </c>
      <c r="D48" s="490" t="s">
        <v>75</v>
      </c>
      <c r="E48" s="490" t="s">
        <v>74</v>
      </c>
      <c r="F48" s="486">
        <v>64</v>
      </c>
    </row>
    <row r="49" spans="1:6" ht="12.75" customHeight="1">
      <c r="A49" s="486" t="str">
        <f>IF(Fld_Menu_FR="x",Codes!$D49,IF(Fld_Menu_EN="x",Codes!$C49,IF(Fld_Menu_DE="x",Codes!$E49,"N/A")))</f>
        <v>Bosnie Herzégovine</v>
      </c>
      <c r="B49" s="489" t="s">
        <v>76</v>
      </c>
      <c r="C49" s="490" t="s">
        <v>77</v>
      </c>
      <c r="D49" s="490" t="s">
        <v>78</v>
      </c>
      <c r="E49" s="490" t="s">
        <v>79</v>
      </c>
      <c r="F49" s="486">
        <v>65</v>
      </c>
    </row>
    <row r="50" spans="1:6" ht="12.75" customHeight="1">
      <c r="A50" s="486" t="str">
        <f>IF(Fld_Menu_FR="x",Codes!$D50,IF(Fld_Menu_EN="x",Codes!$C50,IF(Fld_Menu_DE="x",Codes!$E50,"N/A")))</f>
        <v>Barbades</v>
      </c>
      <c r="B50" s="489" t="s">
        <v>80</v>
      </c>
      <c r="C50" s="490" t="s">
        <v>81</v>
      </c>
      <c r="D50" s="490" t="s">
        <v>82</v>
      </c>
      <c r="E50" s="490" t="s">
        <v>81</v>
      </c>
      <c r="F50" s="486">
        <v>66</v>
      </c>
    </row>
    <row r="51" spans="1:6" ht="12.75" customHeight="1">
      <c r="A51" s="486" t="str">
        <f>IF(Fld_Menu_FR="x",Codes!$D51,IF(Fld_Menu_EN="x",Codes!$C51,IF(Fld_Menu_DE="x",Codes!$E51,"N/A")))</f>
        <v>Bangladesh</v>
      </c>
      <c r="B51" s="489" t="s">
        <v>83</v>
      </c>
      <c r="C51" s="490" t="s">
        <v>84</v>
      </c>
      <c r="D51" s="490" t="s">
        <v>84</v>
      </c>
      <c r="E51" s="490" t="s">
        <v>84</v>
      </c>
      <c r="F51" s="486">
        <v>67</v>
      </c>
    </row>
    <row r="52" spans="1:6" ht="12.75" customHeight="1">
      <c r="A52" s="486" t="str">
        <f>IF(Fld_Menu_FR="x",Codes!$D52,IF(Fld_Menu_EN="x",Codes!$C52,IF(Fld_Menu_DE="x",Codes!$E52,"N/A")))</f>
        <v>Burkina Faso</v>
      </c>
      <c r="B52" s="489" t="s">
        <v>85</v>
      </c>
      <c r="C52" s="490" t="s">
        <v>86</v>
      </c>
      <c r="D52" s="490" t="s">
        <v>86</v>
      </c>
      <c r="E52" s="490" t="s">
        <v>86</v>
      </c>
      <c r="F52" s="486">
        <v>68</v>
      </c>
    </row>
    <row r="53" spans="1:6" ht="12.75" customHeight="1">
      <c r="A53" s="486" t="str">
        <f>IF(Fld_Menu_FR="x",Codes!$D53,IF(Fld_Menu_EN="x",Codes!$C53,IF(Fld_Menu_DE="x",Codes!$E53,"N/A")))</f>
        <v>Etat de Bahrein</v>
      </c>
      <c r="B53" s="489" t="s">
        <v>91</v>
      </c>
      <c r="C53" s="490" t="s">
        <v>92</v>
      </c>
      <c r="D53" s="490" t="s">
        <v>93</v>
      </c>
      <c r="E53" s="490" t="s">
        <v>94</v>
      </c>
      <c r="F53" s="486">
        <v>70</v>
      </c>
    </row>
    <row r="54" spans="1:6" ht="12.75" customHeight="1">
      <c r="A54" s="486" t="str">
        <f>IF(Fld_Menu_FR="x",Codes!$D54,IF(Fld_Menu_EN="x",Codes!$C54,IF(Fld_Menu_DE="x",Codes!$E54,"N/A")))</f>
        <v>Burundi</v>
      </c>
      <c r="B54" s="489" t="s">
        <v>95</v>
      </c>
      <c r="C54" s="490" t="s">
        <v>96</v>
      </c>
      <c r="D54" s="490" t="s">
        <v>96</v>
      </c>
      <c r="E54" s="490" t="s">
        <v>96</v>
      </c>
      <c r="F54" s="486">
        <v>71</v>
      </c>
    </row>
    <row r="55" spans="1:6" ht="12.75" customHeight="1">
      <c r="A55" s="486" t="str">
        <f>IF(Fld_Menu_FR="x",Codes!$D55,IF(Fld_Menu_EN="x",Codes!$C55,IF(Fld_Menu_DE="x",Codes!$E55,"N/A")))</f>
        <v>Benin</v>
      </c>
      <c r="B55" s="489" t="s">
        <v>97</v>
      </c>
      <c r="C55" s="490" t="s">
        <v>98</v>
      </c>
      <c r="D55" s="490" t="s">
        <v>98</v>
      </c>
      <c r="E55" s="490" t="s">
        <v>98</v>
      </c>
      <c r="F55" s="486">
        <v>72</v>
      </c>
    </row>
    <row r="56" spans="1:6" ht="12.75" customHeight="1">
      <c r="A56" s="486" t="str">
        <f>IF(Fld_Menu_FR="x",Codes!$D56,IF(Fld_Menu_EN="x",Codes!$C56,IF(Fld_Menu_DE="x",Codes!$E56,"N/A")))</f>
        <v>Bermudes</v>
      </c>
      <c r="B56" s="489" t="s">
        <v>99</v>
      </c>
      <c r="C56" s="490" t="s">
        <v>100</v>
      </c>
      <c r="D56" s="490" t="s">
        <v>101</v>
      </c>
      <c r="E56" s="490" t="s">
        <v>100</v>
      </c>
      <c r="F56" s="486">
        <v>73</v>
      </c>
    </row>
    <row r="57" spans="1:6" ht="12.75" customHeight="1">
      <c r="A57" s="486" t="str">
        <f>IF(Fld_Menu_FR="x",Codes!$D57,IF(Fld_Menu_EN="x",Codes!$C57,IF(Fld_Menu_DE="x",Codes!$E57,"N/A")))</f>
        <v>Brunei Darussalam</v>
      </c>
      <c r="B57" s="489" t="s">
        <v>102</v>
      </c>
      <c r="C57" s="490" t="s">
        <v>103</v>
      </c>
      <c r="D57" s="490" t="s">
        <v>103</v>
      </c>
      <c r="E57" s="490" t="s">
        <v>103</v>
      </c>
      <c r="F57" s="486">
        <v>74</v>
      </c>
    </row>
    <row r="58" spans="1:6" ht="12.75" customHeight="1">
      <c r="A58" s="486" t="str">
        <f>IF(Fld_Menu_FR="x",Codes!$D58,IF(Fld_Menu_EN="x",Codes!$C58,IF(Fld_Menu_DE="x",Codes!$E58,"N/A")))</f>
        <v>Bolivie</v>
      </c>
      <c r="B58" s="489" t="s">
        <v>104</v>
      </c>
      <c r="C58" s="490" t="s">
        <v>105</v>
      </c>
      <c r="D58" s="490" t="s">
        <v>475</v>
      </c>
      <c r="E58" s="490" t="s">
        <v>476</v>
      </c>
      <c r="F58" s="486">
        <v>75</v>
      </c>
    </row>
    <row r="59" spans="1:6" ht="12.75" customHeight="1">
      <c r="A59" s="486" t="str">
        <f>IF(Fld_Menu_FR="x",Codes!$D59,IF(Fld_Menu_EN="x",Codes!$C59,IF(Fld_Menu_DE="x",Codes!$E59,"N/A")))</f>
        <v>Brézil</v>
      </c>
      <c r="B59" s="489" t="s">
        <v>477</v>
      </c>
      <c r="C59" s="490" t="s">
        <v>478</v>
      </c>
      <c r="D59" s="490" t="s">
        <v>479</v>
      </c>
      <c r="E59" s="490" t="s">
        <v>480</v>
      </c>
      <c r="F59" s="486">
        <v>76</v>
      </c>
    </row>
    <row r="60" spans="1:6" ht="12.75" customHeight="1">
      <c r="A60" s="486" t="str">
        <f>IF(Fld_Menu_FR="x",Codes!$D60,IF(Fld_Menu_EN="x",Codes!$C60,IF(Fld_Menu_DE="x",Codes!$E60,"N/A")))</f>
        <v>Bahamas</v>
      </c>
      <c r="B60" s="489" t="s">
        <v>481</v>
      </c>
      <c r="C60" s="490" t="s">
        <v>1550</v>
      </c>
      <c r="D60" s="490" t="s">
        <v>1550</v>
      </c>
      <c r="E60" s="490" t="s">
        <v>1550</v>
      </c>
      <c r="F60" s="486">
        <v>77</v>
      </c>
    </row>
    <row r="61" spans="1:6" ht="12.75" customHeight="1">
      <c r="A61" s="486" t="str">
        <f>IF(Fld_Menu_FR="x",Codes!$D61,IF(Fld_Menu_EN="x",Codes!$C61,IF(Fld_Menu_DE="x",Codes!$E61,"N/A")))</f>
        <v>Bhoutan</v>
      </c>
      <c r="B61" s="489" t="s">
        <v>1551</v>
      </c>
      <c r="C61" s="490" t="s">
        <v>1192</v>
      </c>
      <c r="D61" s="490" t="s">
        <v>1193</v>
      </c>
      <c r="E61" s="490" t="s">
        <v>1192</v>
      </c>
      <c r="F61" s="486">
        <v>78</v>
      </c>
    </row>
    <row r="62" spans="1:6" ht="12.75" customHeight="1">
      <c r="A62" s="486" t="str">
        <f>IF(Fld_Menu_FR="x",Codes!$D62,IF(Fld_Menu_EN="x",Codes!$C62,IF(Fld_Menu_DE="x",Codes!$E62,"N/A")))</f>
        <v>Iles Bouvet</v>
      </c>
      <c r="B62" s="489" t="s">
        <v>1194</v>
      </c>
      <c r="C62" s="490" t="s">
        <v>1074</v>
      </c>
      <c r="D62" s="490" t="s">
        <v>1195</v>
      </c>
      <c r="E62" s="490" t="s">
        <v>1176</v>
      </c>
      <c r="F62" s="486">
        <v>79</v>
      </c>
    </row>
    <row r="63" spans="1:6" ht="12.75" customHeight="1">
      <c r="A63" s="486" t="str">
        <f>IF(Fld_Menu_FR="x",Codes!$D63,IF(Fld_Menu_EN="x",Codes!$C63,IF(Fld_Menu_DE="x",Codes!$E63,"N/A")))</f>
        <v>Botswana</v>
      </c>
      <c r="B63" s="489" t="s">
        <v>1196</v>
      </c>
      <c r="C63" s="490" t="s">
        <v>1197</v>
      </c>
      <c r="D63" s="490" t="s">
        <v>1197</v>
      </c>
      <c r="E63" s="490" t="s">
        <v>1197</v>
      </c>
      <c r="F63" s="486">
        <v>80</v>
      </c>
    </row>
    <row r="64" spans="1:6" ht="12.75" customHeight="1">
      <c r="A64" s="486" t="str">
        <f>IF(Fld_Menu_FR="x",Codes!$D64,IF(Fld_Menu_EN="x",Codes!$C64,IF(Fld_Menu_DE="x",Codes!$E64,"N/A")))</f>
        <v>Biélorussie</v>
      </c>
      <c r="B64" s="489" t="s">
        <v>1198</v>
      </c>
      <c r="C64" s="490" t="s">
        <v>1199</v>
      </c>
      <c r="D64" s="490" t="s">
        <v>1200</v>
      </c>
      <c r="E64" s="490" t="s">
        <v>1199</v>
      </c>
      <c r="F64" s="486">
        <v>81</v>
      </c>
    </row>
    <row r="65" spans="1:6" ht="12.75" customHeight="1">
      <c r="A65" s="486" t="str">
        <f>IF(Fld_Menu_FR="x",Codes!$D65,IF(Fld_Menu_EN="x",Codes!$C65,IF(Fld_Menu_DE="x",Codes!$E65,"N/A")))</f>
        <v>Belize</v>
      </c>
      <c r="B65" s="489" t="s">
        <v>1201</v>
      </c>
      <c r="C65" s="490" t="s">
        <v>1202</v>
      </c>
      <c r="D65" s="490" t="s">
        <v>1202</v>
      </c>
      <c r="E65" s="490" t="s">
        <v>1202</v>
      </c>
      <c r="F65" s="486">
        <v>82</v>
      </c>
    </row>
    <row r="66" spans="1:6" ht="12.75" customHeight="1">
      <c r="A66" s="486" t="str">
        <f>IF(Fld_Menu_FR="x",Codes!$D66,IF(Fld_Menu_EN="x",Codes!$C66,IF(Fld_Menu_DE="x",Codes!$E66,"N/A")))</f>
        <v>Canada</v>
      </c>
      <c r="B66" s="489" t="s">
        <v>1203</v>
      </c>
      <c r="C66" s="490" t="s">
        <v>1204</v>
      </c>
      <c r="D66" s="490" t="s">
        <v>1204</v>
      </c>
      <c r="E66" s="490" t="s">
        <v>1205</v>
      </c>
      <c r="F66" s="486">
        <v>83</v>
      </c>
    </row>
    <row r="67" spans="1:6" ht="12.75" customHeight="1">
      <c r="A67" s="486" t="str">
        <f>IF(Fld_Menu_FR="x",Codes!$D67,IF(Fld_Menu_EN="x",Codes!$C67,IF(Fld_Menu_DE="x",Codes!$E67,"N/A")))</f>
        <v>Iles Cocos</v>
      </c>
      <c r="B67" s="489" t="s">
        <v>1206</v>
      </c>
      <c r="C67" s="490" t="s">
        <v>1075</v>
      </c>
      <c r="D67" s="490" t="s">
        <v>1207</v>
      </c>
      <c r="E67" s="490" t="s">
        <v>1177</v>
      </c>
      <c r="F67" s="486">
        <v>84</v>
      </c>
    </row>
    <row r="68" spans="1:6" ht="12.75" customHeight="1">
      <c r="A68" s="486" t="str">
        <f>IF(Fld_Menu_FR="x",Codes!$D68,IF(Fld_Menu_EN="x",Codes!$C68,IF(Fld_Menu_DE="x",Codes!$E68,"N/A")))</f>
        <v>Centrafique</v>
      </c>
      <c r="B68" s="489" t="s">
        <v>1208</v>
      </c>
      <c r="C68" s="490" t="s">
        <v>1076</v>
      </c>
      <c r="D68" s="490" t="s">
        <v>1209</v>
      </c>
      <c r="E68" s="490" t="s">
        <v>1210</v>
      </c>
      <c r="F68" s="486">
        <v>85</v>
      </c>
    </row>
    <row r="69" spans="1:6" ht="12.75" customHeight="1">
      <c r="A69" s="486" t="str">
        <f>IF(Fld_Menu_FR="x",Codes!$D69,IF(Fld_Menu_EN="x",Codes!$C69,IF(Fld_Menu_DE="x",Codes!$E69,"N/A")))</f>
        <v>Congo</v>
      </c>
      <c r="B69" s="489" t="s">
        <v>1211</v>
      </c>
      <c r="C69" s="490" t="s">
        <v>1212</v>
      </c>
      <c r="D69" s="490" t="s">
        <v>1212</v>
      </c>
      <c r="E69" s="490" t="s">
        <v>1213</v>
      </c>
      <c r="F69" s="486">
        <v>86</v>
      </c>
    </row>
    <row r="70" spans="1:6" ht="12.75" customHeight="1">
      <c r="A70" s="486" t="str">
        <f>IF(Fld_Menu_FR="x",Codes!$D70,IF(Fld_Menu_EN="x",Codes!$C70,IF(Fld_Menu_DE="x",Codes!$E70,"N/A")))</f>
        <v>Côte d'Ivoire</v>
      </c>
      <c r="B70" s="489" t="s">
        <v>1218</v>
      </c>
      <c r="C70" s="490" t="s">
        <v>1219</v>
      </c>
      <c r="D70" s="490" t="s">
        <v>1220</v>
      </c>
      <c r="E70" s="490" t="s">
        <v>1219</v>
      </c>
      <c r="F70" s="486">
        <v>88</v>
      </c>
    </row>
    <row r="71" spans="1:6" ht="12.75" customHeight="1">
      <c r="A71" s="486" t="str">
        <f>IF(Fld_Menu_FR="x",Codes!$D71,IF(Fld_Menu_EN="x",Codes!$C71,IF(Fld_Menu_DE="x",Codes!$E71,"N/A")))</f>
        <v>Chili</v>
      </c>
      <c r="B71" s="489" t="s">
        <v>1221</v>
      </c>
      <c r="C71" s="490" t="s">
        <v>1222</v>
      </c>
      <c r="D71" s="490" t="s">
        <v>1223</v>
      </c>
      <c r="E71" s="490" t="s">
        <v>1222</v>
      </c>
      <c r="F71" s="486">
        <v>89</v>
      </c>
    </row>
    <row r="72" spans="1:6" ht="12.75" customHeight="1">
      <c r="A72" s="486" t="str">
        <f>IF(Fld_Menu_FR="x",Codes!$D72,IF(Fld_Menu_EN="x",Codes!$C72,IF(Fld_Menu_DE="x",Codes!$E72,"N/A")))</f>
        <v>Cameroun</v>
      </c>
      <c r="B72" s="489" t="s">
        <v>1224</v>
      </c>
      <c r="C72" s="490" t="s">
        <v>1225</v>
      </c>
      <c r="D72" s="490" t="s">
        <v>1226</v>
      </c>
      <c r="E72" s="490" t="s">
        <v>1227</v>
      </c>
      <c r="F72" s="486">
        <v>90</v>
      </c>
    </row>
    <row r="73" spans="1:6" ht="12.75" customHeight="1">
      <c r="A73" s="486" t="str">
        <f>IF(Fld_Menu_FR="x",Codes!$D73,IF(Fld_Menu_EN="x",Codes!$C73,IF(Fld_Menu_DE="x",Codes!$E73,"N/A")))</f>
        <v>Chine (République Populaire de)</v>
      </c>
      <c r="B73" s="489" t="s">
        <v>1228</v>
      </c>
      <c r="C73" s="490" t="s">
        <v>1229</v>
      </c>
      <c r="D73" s="490" t="s">
        <v>1706</v>
      </c>
      <c r="E73" s="490" t="s">
        <v>1229</v>
      </c>
      <c r="F73" s="486">
        <v>91</v>
      </c>
    </row>
    <row r="74" spans="1:6" ht="12.75" customHeight="1">
      <c r="A74" s="486" t="str">
        <f>IF(Fld_Menu_FR="x",Codes!$D74,IF(Fld_Menu_EN="x",Codes!$C74,IF(Fld_Menu_DE="x",Codes!$E74,"N/A")))</f>
        <v>Colombie</v>
      </c>
      <c r="B74" s="489" t="s">
        <v>1230</v>
      </c>
      <c r="C74" s="490" t="s">
        <v>1231</v>
      </c>
      <c r="D74" s="490" t="s">
        <v>1232</v>
      </c>
      <c r="E74" s="490" t="s">
        <v>1233</v>
      </c>
      <c r="F74" s="486">
        <v>92</v>
      </c>
    </row>
    <row r="75" spans="1:6" ht="12.75" customHeight="1">
      <c r="A75" s="486" t="str">
        <f>IF(Fld_Menu_FR="x",Codes!$D75,IF(Fld_Menu_EN="x",Codes!$C75,IF(Fld_Menu_DE="x",Codes!$E75,"N/A")))</f>
        <v>Costa Rica</v>
      </c>
      <c r="B75" s="489" t="s">
        <v>1234</v>
      </c>
      <c r="C75" s="490" t="s">
        <v>1235</v>
      </c>
      <c r="D75" s="490" t="s">
        <v>1235</v>
      </c>
      <c r="E75" s="490" t="s">
        <v>1236</v>
      </c>
      <c r="F75" s="486">
        <v>93</v>
      </c>
    </row>
    <row r="76" spans="1:6" ht="12.75" customHeight="1">
      <c r="A76" s="486" t="str">
        <f>IF(Fld_Menu_FR="x",Codes!$D76,IF(Fld_Menu_EN="x",Codes!$C76,IF(Fld_Menu_DE="x",Codes!$E76,"N/A")))</f>
        <v>Cuba</v>
      </c>
      <c r="B76" s="489" t="s">
        <v>1237</v>
      </c>
      <c r="C76" s="490" t="s">
        <v>1238</v>
      </c>
      <c r="D76" s="490" t="s">
        <v>1238</v>
      </c>
      <c r="E76" s="490" t="s">
        <v>1239</v>
      </c>
      <c r="F76" s="486">
        <v>94</v>
      </c>
    </row>
    <row r="77" spans="1:6" ht="12.75" customHeight="1">
      <c r="A77" s="486" t="str">
        <f>IF(Fld_Menu_FR="x",Codes!$D77,IF(Fld_Menu_EN="x",Codes!$C77,IF(Fld_Menu_DE="x",Codes!$E77,"N/A")))</f>
        <v>Cap Vert</v>
      </c>
      <c r="B77" s="489" t="s">
        <v>1240</v>
      </c>
      <c r="C77" s="490" t="s">
        <v>1241</v>
      </c>
      <c r="D77" s="490" t="s">
        <v>1242</v>
      </c>
      <c r="E77" s="490" t="s">
        <v>1243</v>
      </c>
      <c r="F77" s="486">
        <v>95</v>
      </c>
    </row>
    <row r="78" spans="1:6" ht="12.75" customHeight="1">
      <c r="A78" s="486" t="str">
        <f>IF(Fld_Menu_FR="x",Codes!$D78,IF(Fld_Menu_EN="x",Codes!$C78,IF(Fld_Menu_DE="x",Codes!$E78,"N/A")))</f>
        <v>Iles Christmas</v>
      </c>
      <c r="B78" s="489" t="s">
        <v>1244</v>
      </c>
      <c r="C78" s="490" t="s">
        <v>1077</v>
      </c>
      <c r="D78" s="490" t="s">
        <v>1245</v>
      </c>
      <c r="E78" s="490" t="s">
        <v>1246</v>
      </c>
      <c r="F78" s="486">
        <v>96</v>
      </c>
    </row>
    <row r="79" spans="1:6" ht="12.75" customHeight="1">
      <c r="A79" s="486" t="str">
        <f>IF(Fld_Menu_FR="x",Codes!$D79,IF(Fld_Menu_EN="x",Codes!$C79,IF(Fld_Menu_DE="x",Codes!$E79,"N/A")))</f>
        <v>Djibouti</v>
      </c>
      <c r="B79" s="489" t="s">
        <v>1253</v>
      </c>
      <c r="C79" s="490" t="s">
        <v>1254</v>
      </c>
      <c r="D79" s="490" t="s">
        <v>1254</v>
      </c>
      <c r="E79" s="490" t="s">
        <v>1254</v>
      </c>
      <c r="F79" s="486">
        <v>99</v>
      </c>
    </row>
    <row r="80" spans="1:6" ht="12.75" customHeight="1">
      <c r="A80" s="486" t="str">
        <f>IF(Fld_Menu_FR="x",Codes!$D80,IF(Fld_Menu_EN="x",Codes!$C80,IF(Fld_Menu_DE="x",Codes!$E80,"N/A")))</f>
        <v>Dominique</v>
      </c>
      <c r="B80" s="489" t="s">
        <v>1255</v>
      </c>
      <c r="C80" s="490" t="s">
        <v>1256</v>
      </c>
      <c r="D80" s="490" t="s">
        <v>1257</v>
      </c>
      <c r="E80" s="490" t="s">
        <v>1256</v>
      </c>
      <c r="F80" s="486">
        <v>100</v>
      </c>
    </row>
    <row r="81" spans="1:6" ht="12.75" customHeight="1">
      <c r="A81" s="486" t="str">
        <f>IF(Fld_Menu_FR="x",Codes!$D81,IF(Fld_Menu_EN="x",Codes!$C81,IF(Fld_Menu_DE="x",Codes!$E81,"N/A")))</f>
        <v>Répubique Dominicaine</v>
      </c>
      <c r="B81" s="489" t="s">
        <v>1258</v>
      </c>
      <c r="C81" s="490" t="s">
        <v>1079</v>
      </c>
      <c r="D81" s="490" t="s">
        <v>1705</v>
      </c>
      <c r="E81" s="490" t="s">
        <v>1179</v>
      </c>
      <c r="F81" s="486">
        <v>101</v>
      </c>
    </row>
    <row r="82" spans="1:6" ht="12.75" customHeight="1">
      <c r="A82" s="486" t="str">
        <f>IF(Fld_Menu_FR="x",Codes!$D82,IF(Fld_Menu_EN="x",Codes!$C82,IF(Fld_Menu_DE="x",Codes!$E82,"N/A")))</f>
        <v>Algérie</v>
      </c>
      <c r="B82" s="489" t="s">
        <v>1259</v>
      </c>
      <c r="C82" s="490" t="s">
        <v>1260</v>
      </c>
      <c r="D82" s="490" t="s">
        <v>1261</v>
      </c>
      <c r="E82" s="490" t="s">
        <v>1262</v>
      </c>
      <c r="F82" s="486">
        <v>102</v>
      </c>
    </row>
    <row r="83" spans="1:6" ht="12.75" customHeight="1">
      <c r="A83" s="486" t="str">
        <f>IF(Fld_Menu_FR="x",Codes!$D83,IF(Fld_Menu_EN="x",Codes!$C83,IF(Fld_Menu_DE="x",Codes!$E83,"N/A")))</f>
        <v>Equateur</v>
      </c>
      <c r="B83" s="489" t="s">
        <v>1263</v>
      </c>
      <c r="C83" s="490" t="s">
        <v>1264</v>
      </c>
      <c r="D83" s="490" t="s">
        <v>1265</v>
      </c>
      <c r="E83" s="490" t="s">
        <v>1264</v>
      </c>
      <c r="F83" s="486">
        <v>103</v>
      </c>
    </row>
    <row r="84" spans="1:6" ht="12.75" customHeight="1">
      <c r="A84" s="486" t="str">
        <f>IF(Fld_Menu_FR="x",Codes!$D84,IF(Fld_Menu_EN="x",Codes!$C84,IF(Fld_Menu_DE="x",Codes!$E84,"N/A")))</f>
        <v>Egypte</v>
      </c>
      <c r="B84" s="489" t="s">
        <v>1270</v>
      </c>
      <c r="C84" s="490" t="s">
        <v>1271</v>
      </c>
      <c r="D84" s="490" t="s">
        <v>1272</v>
      </c>
      <c r="E84" s="490" t="s">
        <v>1273</v>
      </c>
      <c r="F84" s="486">
        <v>105</v>
      </c>
    </row>
    <row r="85" spans="1:6" ht="12.75" customHeight="1">
      <c r="A85" s="486" t="str">
        <f>IF(Fld_Menu_FR="x",Codes!$D85,IF(Fld_Menu_EN="x",Codes!$C85,IF(Fld_Menu_DE="x",Codes!$E85,"N/A")))</f>
        <v>Sahara Occidental</v>
      </c>
      <c r="B85" s="489" t="s">
        <v>1274</v>
      </c>
      <c r="C85" s="490" t="s">
        <v>1275</v>
      </c>
      <c r="D85" s="490" t="s">
        <v>1704</v>
      </c>
      <c r="E85" s="490" t="s">
        <v>1611</v>
      </c>
      <c r="F85" s="486">
        <v>106</v>
      </c>
    </row>
    <row r="86" spans="1:6" ht="12.75" customHeight="1">
      <c r="A86" s="486" t="str">
        <f>IF(Fld_Menu_FR="x",Codes!$D86,IF(Fld_Menu_EN="x",Codes!$C86,IF(Fld_Menu_DE="x",Codes!$E86,"N/A")))</f>
        <v>Erythrée</v>
      </c>
      <c r="B86" s="489" t="s">
        <v>1612</v>
      </c>
      <c r="C86" s="490" t="s">
        <v>1613</v>
      </c>
      <c r="D86" s="490" t="s">
        <v>1614</v>
      </c>
      <c r="E86" s="490" t="s">
        <v>1613</v>
      </c>
      <c r="F86" s="486">
        <v>107</v>
      </c>
    </row>
    <row r="87" spans="1:6" ht="12.75" customHeight="1">
      <c r="A87" s="486" t="str">
        <f>IF(Fld_Menu_FR="x",Codes!$D87,IF(Fld_Menu_EN="x",Codes!$C87,IF(Fld_Menu_DE="x",Codes!$E87,"N/A")))</f>
        <v>Ethiopie</v>
      </c>
      <c r="B87" s="489" t="s">
        <v>1615</v>
      </c>
      <c r="C87" s="490" t="s">
        <v>1616</v>
      </c>
      <c r="D87" s="490" t="s">
        <v>1617</v>
      </c>
      <c r="E87" s="490" t="s">
        <v>1618</v>
      </c>
      <c r="F87" s="486">
        <v>108</v>
      </c>
    </row>
    <row r="88" spans="1:6" ht="12.75" customHeight="1">
      <c r="A88" s="486" t="str">
        <f>IF(Fld_Menu_FR="x",Codes!$D88,IF(Fld_Menu_EN="x",Codes!$C88,IF(Fld_Menu_DE="x",Codes!$E88,"N/A")))</f>
        <v>Fidji</v>
      </c>
      <c r="B88" s="489" t="s">
        <v>1619</v>
      </c>
      <c r="C88" s="490" t="s">
        <v>1620</v>
      </c>
      <c r="D88" s="490" t="s">
        <v>1621</v>
      </c>
      <c r="E88" s="490" t="s">
        <v>1622</v>
      </c>
      <c r="F88" s="486">
        <v>109</v>
      </c>
    </row>
    <row r="89" spans="1:6" ht="12.75" customHeight="1">
      <c r="A89" s="486" t="str">
        <f>IF(Fld_Menu_FR="x",Codes!$D89,IF(Fld_Menu_EN="x",Codes!$C89,IF(Fld_Menu_DE="x",Codes!$E89,"N/A")))</f>
        <v>Les Malouines</v>
      </c>
      <c r="B89" s="489" t="s">
        <v>1623</v>
      </c>
      <c r="C89" s="490" t="s">
        <v>1080</v>
      </c>
      <c r="D89" s="490" t="s">
        <v>1624</v>
      </c>
      <c r="E89" s="490" t="s">
        <v>1625</v>
      </c>
      <c r="F89" s="486">
        <v>110</v>
      </c>
    </row>
    <row r="90" spans="1:6" ht="12.75" customHeight="1">
      <c r="A90" s="486" t="str">
        <f>IF(Fld_Menu_FR="x",Codes!$D90,IF(Fld_Menu_EN="x",Codes!$C90,IF(Fld_Menu_DE="x",Codes!$E90,"N/A")))</f>
        <v>La Micronésie, Etats Fédérés des Iles Féroé</v>
      </c>
      <c r="B90" s="489" t="s">
        <v>1626</v>
      </c>
      <c r="C90" s="490" t="s">
        <v>1081</v>
      </c>
      <c r="D90" s="490" t="s">
        <v>1703</v>
      </c>
      <c r="E90" s="490" t="s">
        <v>1180</v>
      </c>
      <c r="F90" s="486">
        <v>111</v>
      </c>
    </row>
    <row r="91" spans="1:6" ht="12.75" customHeight="1">
      <c r="A91" s="486" t="str">
        <f>IF(Fld_Menu_FR="x",Codes!$D91,IF(Fld_Menu_EN="x",Codes!$C91,IF(Fld_Menu_DE="x",Codes!$E91,"N/A")))</f>
        <v>Iles Féroé</v>
      </c>
      <c r="B91" s="489" t="s">
        <v>1627</v>
      </c>
      <c r="C91" s="490" t="s">
        <v>1628</v>
      </c>
      <c r="D91" s="490" t="s">
        <v>1629</v>
      </c>
      <c r="E91" s="490" t="s">
        <v>1181</v>
      </c>
      <c r="F91" s="486">
        <v>112</v>
      </c>
    </row>
    <row r="92" spans="1:6" ht="12.75" customHeight="1">
      <c r="A92" s="486" t="str">
        <f>IF(Fld_Menu_FR="x",Codes!$D92,IF(Fld_Menu_EN="x",Codes!$C92,IF(Fld_Menu_DE="x",Codes!$E92,"N/A")))</f>
        <v>France Métropolitaine</v>
      </c>
      <c r="B92" s="489" t="s">
        <v>1630</v>
      </c>
      <c r="C92" s="490" t="s">
        <v>1631</v>
      </c>
      <c r="D92" s="490" t="s">
        <v>679</v>
      </c>
      <c r="E92" s="490" t="s">
        <v>1632</v>
      </c>
      <c r="F92" s="486">
        <v>113</v>
      </c>
    </row>
    <row r="93" spans="1:6" ht="12.75" customHeight="1">
      <c r="A93" s="486" t="str">
        <f>IF(Fld_Menu_FR="x",Codes!$D93,IF(Fld_Menu_EN="x",Codes!$C93,IF(Fld_Menu_DE="x",Codes!$E93,"N/A")))</f>
        <v>Gabon</v>
      </c>
      <c r="B93" s="489" t="s">
        <v>1633</v>
      </c>
      <c r="C93" s="490" t="s">
        <v>1634</v>
      </c>
      <c r="D93" s="490" t="s">
        <v>1634</v>
      </c>
      <c r="E93" s="490" t="s">
        <v>1635</v>
      </c>
      <c r="F93" s="486">
        <v>114</v>
      </c>
    </row>
    <row r="94" spans="1:6" ht="12.75" customHeight="1">
      <c r="A94" s="486" t="str">
        <f>IF(Fld_Menu_FR="x",Codes!$D94,IF(Fld_Menu_EN="x",Codes!$C94,IF(Fld_Menu_DE="x",Codes!$E94,"N/A")))</f>
        <v>Grenade</v>
      </c>
      <c r="B94" s="489" t="s">
        <v>1636</v>
      </c>
      <c r="C94" s="490" t="s">
        <v>1637</v>
      </c>
      <c r="D94" s="490" t="s">
        <v>1638</v>
      </c>
      <c r="E94" s="490" t="s">
        <v>1637</v>
      </c>
      <c r="F94" s="486">
        <v>115</v>
      </c>
    </row>
    <row r="95" spans="1:6" ht="12.75" customHeight="1">
      <c r="A95" s="486" t="str">
        <f>IF(Fld_Menu_FR="x",Codes!$D95,IF(Fld_Menu_EN="x",Codes!$C95,IF(Fld_Menu_DE="x",Codes!$E95,"N/A")))</f>
        <v>Géorgie</v>
      </c>
      <c r="B95" s="489" t="s">
        <v>1639</v>
      </c>
      <c r="C95" s="490" t="s">
        <v>1640</v>
      </c>
      <c r="D95" s="490" t="s">
        <v>1641</v>
      </c>
      <c r="E95" s="490" t="s">
        <v>1642</v>
      </c>
      <c r="F95" s="486">
        <v>116</v>
      </c>
    </row>
    <row r="96" spans="1:6" ht="12.75" customHeight="1">
      <c r="A96" s="486" t="str">
        <f>IF(Fld_Menu_FR="x",Codes!$D96,IF(Fld_Menu_EN="x",Codes!$C96,IF(Fld_Menu_DE="x",Codes!$E96,"N/A")))</f>
        <v>Guinée Française</v>
      </c>
      <c r="B96" s="489" t="s">
        <v>1643</v>
      </c>
      <c r="C96" s="490" t="s">
        <v>1644</v>
      </c>
      <c r="D96" s="490" t="s">
        <v>1645</v>
      </c>
      <c r="E96" s="490" t="s">
        <v>1646</v>
      </c>
      <c r="F96" s="486">
        <v>117</v>
      </c>
    </row>
    <row r="97" spans="1:6" ht="12.75" customHeight="1">
      <c r="A97" s="486" t="str">
        <f>IF(Fld_Menu_FR="x",Codes!$D97,IF(Fld_Menu_EN="x",Codes!$C97,IF(Fld_Menu_DE="x",Codes!$E97,"N/A")))</f>
        <v>Ghana</v>
      </c>
      <c r="B97" s="489" t="s">
        <v>1647</v>
      </c>
      <c r="C97" s="490" t="s">
        <v>1648</v>
      </c>
      <c r="D97" s="490" t="s">
        <v>1648</v>
      </c>
      <c r="E97" s="490" t="s">
        <v>1648</v>
      </c>
      <c r="F97" s="486">
        <v>118</v>
      </c>
    </row>
    <row r="98" spans="1:6" ht="12.75" customHeight="1">
      <c r="A98" s="486" t="str">
        <f>IF(Fld_Menu_FR="x",Codes!$D98,IF(Fld_Menu_EN="x",Codes!$C98,IF(Fld_Menu_DE="x",Codes!$E98,"N/A")))</f>
        <v>Gibraltar</v>
      </c>
      <c r="B98" s="489" t="s">
        <v>1649</v>
      </c>
      <c r="C98" s="490" t="s">
        <v>1650</v>
      </c>
      <c r="D98" s="490" t="s">
        <v>1650</v>
      </c>
      <c r="E98" s="490" t="s">
        <v>1650</v>
      </c>
      <c r="F98" s="486">
        <v>119</v>
      </c>
    </row>
    <row r="99" spans="1:6" ht="12.75" customHeight="1">
      <c r="A99" s="486" t="str">
        <f>IF(Fld_Menu_FR="x",Codes!$D99,IF(Fld_Menu_EN="x",Codes!$C99,IF(Fld_Menu_DE="x",Codes!$E99,"N/A")))</f>
        <v>Groenland</v>
      </c>
      <c r="B99" s="489" t="s">
        <v>1651</v>
      </c>
      <c r="C99" s="490" t="s">
        <v>1652</v>
      </c>
      <c r="D99" s="490" t="s">
        <v>1653</v>
      </c>
      <c r="E99" s="490" t="s">
        <v>1654</v>
      </c>
      <c r="F99" s="486">
        <v>120</v>
      </c>
    </row>
    <row r="100" spans="1:6" ht="12.75" customHeight="1">
      <c r="A100" s="486" t="str">
        <f>IF(Fld_Menu_FR="x",Codes!$D100,IF(Fld_Menu_EN="x",Codes!$C100,IF(Fld_Menu_DE="x",Codes!$E100,"N/A")))</f>
        <v>Gambie</v>
      </c>
      <c r="B100" s="489" t="s">
        <v>1655</v>
      </c>
      <c r="C100" s="490" t="s">
        <v>1656</v>
      </c>
      <c r="D100" s="490" t="s">
        <v>1657</v>
      </c>
      <c r="E100" s="490" t="s">
        <v>1656</v>
      </c>
      <c r="F100" s="486">
        <v>121</v>
      </c>
    </row>
    <row r="101" spans="1:6" ht="12.75" customHeight="1">
      <c r="A101" s="486" t="str">
        <f>IF(Fld_Menu_FR="x",Codes!$D101,IF(Fld_Menu_EN="x",Codes!$C101,IF(Fld_Menu_DE="x",Codes!$E101,"N/A")))</f>
        <v>Guinée</v>
      </c>
      <c r="B101" s="489" t="s">
        <v>1658</v>
      </c>
      <c r="C101" s="490" t="s">
        <v>1659</v>
      </c>
      <c r="D101" s="490" t="s">
        <v>1660</v>
      </c>
      <c r="E101" s="490" t="s">
        <v>1661</v>
      </c>
      <c r="F101" s="486">
        <v>122</v>
      </c>
    </row>
    <row r="102" spans="1:6" ht="12.75" customHeight="1">
      <c r="A102" s="486" t="str">
        <f>IF(Fld_Menu_FR="x",Codes!$D102,IF(Fld_Menu_EN="x",Codes!$C102,IF(Fld_Menu_DE="x",Codes!$E102,"N/A")))</f>
        <v>Guadeloupe</v>
      </c>
      <c r="B102" s="489" t="s">
        <v>1662</v>
      </c>
      <c r="C102" s="490" t="s">
        <v>1663</v>
      </c>
      <c r="D102" s="490" t="s">
        <v>1663</v>
      </c>
      <c r="E102" s="490" t="s">
        <v>1663</v>
      </c>
      <c r="F102" s="486">
        <v>123</v>
      </c>
    </row>
    <row r="103" spans="1:6" ht="12.75" customHeight="1">
      <c r="A103" s="486" t="str">
        <f>IF(Fld_Menu_FR="x",Codes!$D103,IF(Fld_Menu_EN="x",Codes!$C103,IF(Fld_Menu_DE="x",Codes!$E103,"N/A")))</f>
        <v>Guinée Equatoriale</v>
      </c>
      <c r="B103" s="489" t="s">
        <v>1664</v>
      </c>
      <c r="C103" s="490" t="s">
        <v>2130</v>
      </c>
      <c r="D103" s="490" t="s">
        <v>2131</v>
      </c>
      <c r="E103" s="490" t="s">
        <v>2132</v>
      </c>
      <c r="F103" s="486">
        <v>124</v>
      </c>
    </row>
    <row r="104" spans="1:6" ht="12.75" customHeight="1">
      <c r="A104" s="486" t="str">
        <f>IF(Fld_Menu_FR="x",Codes!$D104,IF(Fld_Menu_EN="x",Codes!$C104,IF(Fld_Menu_DE="x",Codes!$E104,"N/A")))</f>
        <v>Géorgie du Sud  et Iles Sandwich du Sud</v>
      </c>
      <c r="B104" s="489" t="s">
        <v>2133</v>
      </c>
      <c r="C104" s="490" t="s">
        <v>2134</v>
      </c>
      <c r="D104" s="490" t="s">
        <v>678</v>
      </c>
      <c r="E104" s="490" t="s">
        <v>1182</v>
      </c>
      <c r="F104" s="486">
        <v>125</v>
      </c>
    </row>
    <row r="105" spans="1:6" ht="12.75" customHeight="1">
      <c r="A105" s="486" t="str">
        <f>IF(Fld_Menu_FR="x",Codes!$D105,IF(Fld_Menu_EN="x",Codes!$C105,IF(Fld_Menu_DE="x",Codes!$E105,"N/A")))</f>
        <v>Guatémala</v>
      </c>
      <c r="B105" s="489" t="s">
        <v>2135</v>
      </c>
      <c r="C105" s="490" t="s">
        <v>2136</v>
      </c>
      <c r="D105" s="490" t="s">
        <v>2137</v>
      </c>
      <c r="E105" s="490" t="s">
        <v>2136</v>
      </c>
      <c r="F105" s="486">
        <v>126</v>
      </c>
    </row>
    <row r="106" spans="1:6" ht="12.75" customHeight="1">
      <c r="A106" s="486" t="str">
        <f>IF(Fld_Menu_FR="x",Codes!$D106,IF(Fld_Menu_EN="x",Codes!$C106,IF(Fld_Menu_DE="x",Codes!$E106,"N/A")))</f>
        <v>Guinée-Bissau</v>
      </c>
      <c r="B106" s="489" t="s">
        <v>2138</v>
      </c>
      <c r="C106" s="490" t="s">
        <v>2139</v>
      </c>
      <c r="D106" s="490" t="s">
        <v>2140</v>
      </c>
      <c r="E106" s="490" t="s">
        <v>2139</v>
      </c>
      <c r="F106" s="486">
        <v>127</v>
      </c>
    </row>
    <row r="107" spans="1:6" ht="12.75" customHeight="1">
      <c r="A107" s="486" t="str">
        <f>IF(Fld_Menu_FR="x",Codes!$D107,IF(Fld_Menu_EN="x",Codes!$C107,IF(Fld_Menu_DE="x",Codes!$E107,"N/A")))</f>
        <v>Guyane</v>
      </c>
      <c r="B107" s="489" t="s">
        <v>2141</v>
      </c>
      <c r="C107" s="490" t="s">
        <v>2142</v>
      </c>
      <c r="D107" s="490" t="s">
        <v>2143</v>
      </c>
      <c r="E107" s="490" t="s">
        <v>2142</v>
      </c>
      <c r="F107" s="486">
        <v>128</v>
      </c>
    </row>
    <row r="108" spans="1:6" ht="12.75" customHeight="1">
      <c r="A108" s="486" t="str">
        <f>IF(Fld_Menu_FR="x",Codes!$D108,IF(Fld_Menu_EN="x",Codes!$C108,IF(Fld_Menu_DE="x",Codes!$E108,"N/A")))</f>
        <v>Hong Kong</v>
      </c>
      <c r="B108" s="489" t="s">
        <v>2144</v>
      </c>
      <c r="C108" s="490" t="s">
        <v>2145</v>
      </c>
      <c r="D108" s="490" t="s">
        <v>2145</v>
      </c>
      <c r="E108" s="490" t="s">
        <v>2146</v>
      </c>
      <c r="F108" s="486">
        <v>129</v>
      </c>
    </row>
    <row r="109" spans="1:6" ht="12.75" customHeight="1">
      <c r="A109" s="486" t="str">
        <f>IF(Fld_Menu_FR="x",Codes!$D109,IF(Fld_Menu_EN="x",Codes!$C109,IF(Fld_Menu_DE="x",Codes!$E109,"N/A")))</f>
        <v>Iles Heard et Mc Donald</v>
      </c>
      <c r="B109" s="489" t="s">
        <v>131</v>
      </c>
      <c r="C109" s="490" t="s">
        <v>132</v>
      </c>
      <c r="D109" s="490" t="s">
        <v>133</v>
      </c>
      <c r="E109" s="490" t="s">
        <v>134</v>
      </c>
      <c r="F109" s="486">
        <v>130</v>
      </c>
    </row>
    <row r="110" spans="1:6" ht="12.75" customHeight="1">
      <c r="A110" s="486" t="str">
        <f>IF(Fld_Menu_FR="x",Codes!$D110,IF(Fld_Menu_EN="x",Codes!$C110,IF(Fld_Menu_DE="x",Codes!$E110,"N/A")))</f>
        <v>Honduras</v>
      </c>
      <c r="B110" s="489" t="s">
        <v>135</v>
      </c>
      <c r="C110" s="490" t="s">
        <v>136</v>
      </c>
      <c r="D110" s="490" t="s">
        <v>136</v>
      </c>
      <c r="E110" s="490" t="s">
        <v>136</v>
      </c>
      <c r="F110" s="486">
        <v>131</v>
      </c>
    </row>
    <row r="111" spans="1:6" ht="12.75" customHeight="1">
      <c r="A111" s="486" t="str">
        <f>IF(Fld_Menu_FR="x",Codes!$D111,IF(Fld_Menu_EN="x",Codes!$C111,IF(Fld_Menu_DE="x",Codes!$E111,"N/A")))</f>
        <v>Croatie</v>
      </c>
      <c r="B111" s="489" t="s">
        <v>137</v>
      </c>
      <c r="C111" s="490" t="s">
        <v>138</v>
      </c>
      <c r="D111" s="490" t="s">
        <v>139</v>
      </c>
      <c r="E111" s="490" t="s">
        <v>140</v>
      </c>
      <c r="F111" s="486">
        <v>132</v>
      </c>
    </row>
    <row r="112" spans="1:6" ht="12.75" customHeight="1">
      <c r="A112" s="486" t="str">
        <f>IF(Fld_Menu_FR="x",Codes!$D112,IF(Fld_Menu_EN="x",Codes!$C112,IF(Fld_Menu_DE="x",Codes!$E112,"N/A")))</f>
        <v>Haïti</v>
      </c>
      <c r="B112" s="489" t="s">
        <v>141</v>
      </c>
      <c r="C112" s="490" t="s">
        <v>142</v>
      </c>
      <c r="D112" s="490" t="s">
        <v>143</v>
      </c>
      <c r="E112" s="490" t="s">
        <v>143</v>
      </c>
      <c r="F112" s="486">
        <v>133</v>
      </c>
    </row>
    <row r="113" spans="1:6" ht="12.75" customHeight="1">
      <c r="A113" s="486" t="str">
        <f>IF(Fld_Menu_FR="x",Codes!$D113,IF(Fld_Menu_EN="x",Codes!$C113,IF(Fld_Menu_DE="x",Codes!$E113,"N/A")))</f>
        <v>Indonésie</v>
      </c>
      <c r="B113" s="489" t="s">
        <v>148</v>
      </c>
      <c r="C113" s="490" t="s">
        <v>149</v>
      </c>
      <c r="D113" s="490" t="s">
        <v>150</v>
      </c>
      <c r="E113" s="490" t="s">
        <v>151</v>
      </c>
      <c r="F113" s="486">
        <v>135</v>
      </c>
    </row>
    <row r="114" spans="1:6" ht="12.75" customHeight="1">
      <c r="A114" s="486" t="str">
        <f>IF(Fld_Menu_FR="x",Codes!$D114,IF(Fld_Menu_EN="x",Codes!$C114,IF(Fld_Menu_DE="x",Codes!$E114,"N/A")))</f>
        <v>Israël</v>
      </c>
      <c r="B114" s="489" t="s">
        <v>152</v>
      </c>
      <c r="C114" s="490" t="s">
        <v>153</v>
      </c>
      <c r="D114" s="490" t="s">
        <v>154</v>
      </c>
      <c r="E114" s="490" t="s">
        <v>153</v>
      </c>
      <c r="F114" s="486">
        <v>136</v>
      </c>
    </row>
    <row r="115" spans="1:6" ht="12.75" customHeight="1">
      <c r="A115" s="486" t="str">
        <f>IF(Fld_Menu_FR="x",Codes!$D115,IF(Fld_Menu_EN="x",Codes!$C115,IF(Fld_Menu_DE="x",Codes!$E115,"N/A")))</f>
        <v>Inde</v>
      </c>
      <c r="B115" s="489" t="s">
        <v>155</v>
      </c>
      <c r="C115" s="490" t="s">
        <v>156</v>
      </c>
      <c r="D115" s="490" t="s">
        <v>157</v>
      </c>
      <c r="E115" s="490" t="s">
        <v>158</v>
      </c>
      <c r="F115" s="486">
        <v>137</v>
      </c>
    </row>
    <row r="116" spans="1:6" ht="12.75" customHeight="1">
      <c r="A116" s="486" t="str">
        <f>IF(Fld_Menu_FR="x",Codes!$D116,IF(Fld_Menu_EN="x",Codes!$C116,IF(Fld_Menu_DE="x",Codes!$E116,"N/A")))</f>
        <v>Iraq</v>
      </c>
      <c r="B116" s="489" t="s">
        <v>159</v>
      </c>
      <c r="C116" s="490" t="s">
        <v>160</v>
      </c>
      <c r="D116" s="490" t="s">
        <v>160</v>
      </c>
      <c r="E116" s="490" t="s">
        <v>1183</v>
      </c>
      <c r="F116" s="486">
        <v>138</v>
      </c>
    </row>
    <row r="117" spans="1:6" ht="12.75" customHeight="1">
      <c r="A117" s="486" t="str">
        <f>IF(Fld_Menu_FR="x",Codes!$D117,IF(Fld_Menu_EN="x",Codes!$C117,IF(Fld_Menu_DE="x",Codes!$E117,"N/A")))</f>
        <v>Iran</v>
      </c>
      <c r="B117" s="489" t="s">
        <v>161</v>
      </c>
      <c r="C117" s="490" t="s">
        <v>1082</v>
      </c>
      <c r="D117" s="490" t="s">
        <v>162</v>
      </c>
      <c r="E117" s="490" t="s">
        <v>162</v>
      </c>
      <c r="F117" s="486">
        <v>139</v>
      </c>
    </row>
    <row r="118" spans="1:6" ht="12.75" customHeight="1">
      <c r="A118" s="486" t="str">
        <f>IF(Fld_Menu_FR="x",Codes!$D118,IF(Fld_Menu_EN="x",Codes!$C118,IF(Fld_Menu_DE="x",Codes!$E118,"N/A")))</f>
        <v>Jamaïque</v>
      </c>
      <c r="B118" s="489" t="s">
        <v>167</v>
      </c>
      <c r="C118" s="490" t="s">
        <v>168</v>
      </c>
      <c r="D118" s="490" t="s">
        <v>169</v>
      </c>
      <c r="E118" s="490" t="s">
        <v>170</v>
      </c>
      <c r="F118" s="486">
        <v>141</v>
      </c>
    </row>
    <row r="119" spans="1:6" ht="12.75" customHeight="1">
      <c r="A119" s="486" t="str">
        <f>IF(Fld_Menu_FR="x",Codes!$D119,IF(Fld_Menu_EN="x",Codes!$C119,IF(Fld_Menu_DE="x",Codes!$E119,"N/A")))</f>
        <v>Jordanie</v>
      </c>
      <c r="B119" s="489" t="s">
        <v>171</v>
      </c>
      <c r="C119" s="490" t="s">
        <v>172</v>
      </c>
      <c r="D119" s="490" t="s">
        <v>173</v>
      </c>
      <c r="E119" s="490" t="s">
        <v>174</v>
      </c>
      <c r="F119" s="486">
        <v>142</v>
      </c>
    </row>
    <row r="120" spans="1:6" ht="12.75" customHeight="1">
      <c r="A120" s="486" t="str">
        <f>IF(Fld_Menu_FR="x",Codes!$D120,IF(Fld_Menu_EN="x",Codes!$C120,IF(Fld_Menu_DE="x",Codes!$E120,"N/A")))</f>
        <v>Japon</v>
      </c>
      <c r="B120" s="489" t="s">
        <v>175</v>
      </c>
      <c r="C120" s="490" t="s">
        <v>176</v>
      </c>
      <c r="D120" s="490" t="s">
        <v>177</v>
      </c>
      <c r="E120" s="490" t="s">
        <v>176</v>
      </c>
      <c r="F120" s="486">
        <v>143</v>
      </c>
    </row>
    <row r="121" spans="1:6" ht="12.75" customHeight="1">
      <c r="A121" s="486" t="str">
        <f>IF(Fld_Menu_FR="x",Codes!$D121,IF(Fld_Menu_EN="x",Codes!$C121,IF(Fld_Menu_DE="x",Codes!$E121,"N/A")))</f>
        <v>Kénya</v>
      </c>
      <c r="B121" s="489" t="s">
        <v>178</v>
      </c>
      <c r="C121" s="490" t="s">
        <v>179</v>
      </c>
      <c r="D121" s="490" t="s">
        <v>180</v>
      </c>
      <c r="E121" s="490" t="s">
        <v>181</v>
      </c>
      <c r="F121" s="486">
        <v>144</v>
      </c>
    </row>
    <row r="122" spans="1:6" ht="12.75" customHeight="1">
      <c r="A122" s="486" t="str">
        <f>IF(Fld_Menu_FR="x",Codes!$D122,IF(Fld_Menu_EN="x",Codes!$C122,IF(Fld_Menu_DE="x",Codes!$E122,"N/A")))</f>
        <v>Kirghistan</v>
      </c>
      <c r="B122" s="489" t="s">
        <v>182</v>
      </c>
      <c r="C122" s="490" t="s">
        <v>183</v>
      </c>
      <c r="D122" s="490" t="s">
        <v>184</v>
      </c>
      <c r="E122" s="490" t="s">
        <v>185</v>
      </c>
      <c r="F122" s="486">
        <v>145</v>
      </c>
    </row>
    <row r="123" spans="1:6" ht="12.75" customHeight="1">
      <c r="A123" s="486" t="str">
        <f>IF(Fld_Menu_FR="x",Codes!$D123,IF(Fld_Menu_EN="x",Codes!$C123,IF(Fld_Menu_DE="x",Codes!$E123,"N/A")))</f>
        <v>Cambodge</v>
      </c>
      <c r="B123" s="489" t="s">
        <v>186</v>
      </c>
      <c r="C123" s="490" t="s">
        <v>187</v>
      </c>
      <c r="D123" s="490" t="s">
        <v>188</v>
      </c>
      <c r="E123" s="490" t="s">
        <v>189</v>
      </c>
      <c r="F123" s="486">
        <v>146</v>
      </c>
    </row>
    <row r="124" spans="1:6" ht="12.75" customHeight="1">
      <c r="A124" s="486" t="str">
        <f>IF(Fld_Menu_FR="x",Codes!$D124,IF(Fld_Menu_EN="x",Codes!$C124,IF(Fld_Menu_DE="x",Codes!$E124,"N/A")))</f>
        <v>Kiribati</v>
      </c>
      <c r="B124" s="489" t="s">
        <v>190</v>
      </c>
      <c r="C124" s="490" t="s">
        <v>191</v>
      </c>
      <c r="D124" s="490" t="s">
        <v>191</v>
      </c>
      <c r="E124" s="490" t="s">
        <v>191</v>
      </c>
      <c r="F124" s="486">
        <v>147</v>
      </c>
    </row>
    <row r="125" spans="1:6" ht="12.75" customHeight="1">
      <c r="A125" s="486" t="str">
        <f>IF(Fld_Menu_FR="x",Codes!$D125,IF(Fld_Menu_EN="x",Codes!$C125,IF(Fld_Menu_DE="x",Codes!$E125,"N/A")))</f>
        <v>Comores</v>
      </c>
      <c r="B125" s="489" t="s">
        <v>192</v>
      </c>
      <c r="C125" s="490" t="s">
        <v>193</v>
      </c>
      <c r="D125" s="490" t="s">
        <v>194</v>
      </c>
      <c r="E125" s="490" t="s">
        <v>195</v>
      </c>
      <c r="F125" s="486">
        <v>148</v>
      </c>
    </row>
    <row r="126" spans="1:6" ht="12.75" customHeight="1">
      <c r="A126" s="486" t="str">
        <f>IF(Fld_Menu_FR="x",Codes!$D126,IF(Fld_Menu_EN="x",Codes!$C126,IF(Fld_Menu_DE="x",Codes!$E126,"N/A")))</f>
        <v>Saint Kitts et Nevis</v>
      </c>
      <c r="B126" s="489" t="s">
        <v>196</v>
      </c>
      <c r="C126" s="490" t="s">
        <v>197</v>
      </c>
      <c r="D126" s="490" t="s">
        <v>198</v>
      </c>
      <c r="E126" s="490" t="s">
        <v>199</v>
      </c>
      <c r="F126" s="486">
        <v>149</v>
      </c>
    </row>
    <row r="127" spans="1:6" ht="12.75" customHeight="1">
      <c r="A127" s="486" t="str">
        <f>IF(Fld_Menu_FR="x",Codes!$D127,IF(Fld_Menu_EN="x",Codes!$C127,IF(Fld_Menu_DE="x",Codes!$E127,"N/A")))</f>
        <v>Corée (République Ropulaire Démocratique de)</v>
      </c>
      <c r="B127" s="489" t="s">
        <v>200</v>
      </c>
      <c r="C127" s="490" t="s">
        <v>1083</v>
      </c>
      <c r="D127" s="490" t="s">
        <v>677</v>
      </c>
      <c r="E127" s="490" t="s">
        <v>1184</v>
      </c>
      <c r="F127" s="486">
        <v>150</v>
      </c>
    </row>
    <row r="128" spans="1:6" ht="12.75" customHeight="1">
      <c r="A128" s="486" t="str">
        <f>IF(Fld_Menu_FR="x",Codes!$D128,IF(Fld_Menu_EN="x",Codes!$C128,IF(Fld_Menu_DE="x",Codes!$E128,"N/A")))</f>
        <v>Corée (République de)</v>
      </c>
      <c r="B128" s="489" t="s">
        <v>201</v>
      </c>
      <c r="C128" s="490" t="s">
        <v>1084</v>
      </c>
      <c r="D128" s="490" t="s">
        <v>676</v>
      </c>
      <c r="E128" s="490" t="s">
        <v>202</v>
      </c>
      <c r="F128" s="486">
        <v>151</v>
      </c>
    </row>
    <row r="129" spans="1:6" ht="12.75" customHeight="1">
      <c r="A129" s="486" t="str">
        <f>IF(Fld_Menu_FR="x",Codes!$D129,IF(Fld_Menu_EN="x",Codes!$C129,IF(Fld_Menu_DE="x",Codes!$E129,"N/A")))</f>
        <v>Koweit</v>
      </c>
      <c r="B129" s="489" t="s">
        <v>203</v>
      </c>
      <c r="C129" s="490" t="s">
        <v>204</v>
      </c>
      <c r="D129" s="490" t="s">
        <v>205</v>
      </c>
      <c r="E129" s="490" t="s">
        <v>765</v>
      </c>
      <c r="F129" s="486">
        <v>152</v>
      </c>
    </row>
    <row r="130" spans="1:6" ht="12.75" customHeight="1">
      <c r="A130" s="486" t="str">
        <f>IF(Fld_Menu_FR="x",Codes!$D130,IF(Fld_Menu_EN="x",Codes!$C130,IF(Fld_Menu_DE="x",Codes!$E130,"N/A")))</f>
        <v>Iles Caïman</v>
      </c>
      <c r="B130" s="489" t="s">
        <v>766</v>
      </c>
      <c r="C130" s="490" t="s">
        <v>1085</v>
      </c>
      <c r="D130" s="490" t="s">
        <v>767</v>
      </c>
      <c r="E130" s="490" t="s">
        <v>768</v>
      </c>
      <c r="F130" s="486">
        <v>153</v>
      </c>
    </row>
    <row r="131" spans="1:6" ht="12.75" customHeight="1">
      <c r="A131" s="486" t="str">
        <f>IF(Fld_Menu_FR="x",Codes!$D131,IF(Fld_Menu_EN="x",Codes!$C131,IF(Fld_Menu_DE="x",Codes!$E131,"N/A")))</f>
        <v>Kazakhstan</v>
      </c>
      <c r="B131" s="489" t="s">
        <v>769</v>
      </c>
      <c r="C131" s="490" t="s">
        <v>770</v>
      </c>
      <c r="D131" s="490" t="s">
        <v>770</v>
      </c>
      <c r="E131" s="490" t="s">
        <v>841</v>
      </c>
      <c r="F131" s="486">
        <v>154</v>
      </c>
    </row>
    <row r="132" spans="1:6" ht="12.75" customHeight="1">
      <c r="A132" s="486" t="str">
        <f>IF(Fld_Menu_FR="x",Codes!$D132,IF(Fld_Menu_EN="x",Codes!$C132,IF(Fld_Menu_DE="x",Codes!$E132,"N/A")))</f>
        <v>Laos (République Démocratique Populaire)</v>
      </c>
      <c r="B132" s="489" t="s">
        <v>842</v>
      </c>
      <c r="C132" s="490" t="s">
        <v>843</v>
      </c>
      <c r="D132" s="490" t="s">
        <v>675</v>
      </c>
      <c r="E132" s="490" t="s">
        <v>1185</v>
      </c>
      <c r="F132" s="486">
        <v>155</v>
      </c>
    </row>
    <row r="133" spans="1:6" ht="12.75" customHeight="1">
      <c r="A133" s="486" t="str">
        <f>IF(Fld_Menu_FR="x",Codes!$D133,IF(Fld_Menu_EN="x",Codes!$C133,IF(Fld_Menu_DE="x",Codes!$E133,"N/A")))</f>
        <v>Liban</v>
      </c>
      <c r="B133" s="489" t="s">
        <v>844</v>
      </c>
      <c r="C133" s="490" t="s">
        <v>845</v>
      </c>
      <c r="D133" s="490" t="s">
        <v>846</v>
      </c>
      <c r="E133" s="490" t="s">
        <v>847</v>
      </c>
      <c r="F133" s="486">
        <v>156</v>
      </c>
    </row>
    <row r="134" spans="1:6" ht="12.75" customHeight="1">
      <c r="A134" s="486" t="str">
        <f>IF(Fld_Menu_FR="x",Codes!$D134,IF(Fld_Menu_EN="x",Codes!$C134,IF(Fld_Menu_DE="x",Codes!$E134,"N/A")))</f>
        <v>Sainte-Lucie (Antilles)</v>
      </c>
      <c r="B134" s="489" t="s">
        <v>848</v>
      </c>
      <c r="C134" s="490" t="s">
        <v>849</v>
      </c>
      <c r="D134" s="490" t="s">
        <v>850</v>
      </c>
      <c r="E134" s="490" t="s">
        <v>851</v>
      </c>
      <c r="F134" s="486">
        <v>157</v>
      </c>
    </row>
    <row r="135" spans="1:6" ht="12.75" customHeight="1">
      <c r="A135" s="486" t="str">
        <f>IF(Fld_Menu_FR="x",Codes!$D135,IF(Fld_Menu_EN="x",Codes!$C135,IF(Fld_Menu_DE="x",Codes!$E135,"N/A")))</f>
        <v>Liechtenstein</v>
      </c>
      <c r="B135" s="489" t="s">
        <v>852</v>
      </c>
      <c r="C135" s="490" t="s">
        <v>853</v>
      </c>
      <c r="D135" s="490" t="s">
        <v>853</v>
      </c>
      <c r="E135" s="490" t="s">
        <v>853</v>
      </c>
      <c r="F135" s="486">
        <v>158</v>
      </c>
    </row>
    <row r="136" spans="1:6" ht="12.75" customHeight="1">
      <c r="A136" s="486" t="str">
        <f>IF(Fld_Menu_FR="x",Codes!$D136,IF(Fld_Menu_EN="x",Codes!$C136,IF(Fld_Menu_DE="x",Codes!$E136,"N/A")))</f>
        <v>Sri Lanka</v>
      </c>
      <c r="B136" s="489" t="s">
        <v>854</v>
      </c>
      <c r="C136" s="490" t="s">
        <v>855</v>
      </c>
      <c r="D136" s="490" t="s">
        <v>855</v>
      </c>
      <c r="E136" s="490" t="s">
        <v>855</v>
      </c>
      <c r="F136" s="486">
        <v>159</v>
      </c>
    </row>
    <row r="137" spans="1:6" ht="12.75" customHeight="1">
      <c r="A137" s="486" t="str">
        <f>IF(Fld_Menu_FR="x",Codes!$D137,IF(Fld_Menu_EN="x",Codes!$C137,IF(Fld_Menu_DE="x",Codes!$E137,"N/A")))</f>
        <v>Libéria</v>
      </c>
      <c r="B137" s="489" t="s">
        <v>856</v>
      </c>
      <c r="C137" s="490" t="s">
        <v>857</v>
      </c>
      <c r="D137" s="490" t="s">
        <v>858</v>
      </c>
      <c r="E137" s="490" t="s">
        <v>857</v>
      </c>
      <c r="F137" s="486">
        <v>160</v>
      </c>
    </row>
    <row r="138" spans="1:6" ht="12.75" customHeight="1">
      <c r="A138" s="486" t="str">
        <f>IF(Fld_Menu_FR="x",Codes!$D138,IF(Fld_Menu_EN="x",Codes!$C138,IF(Fld_Menu_DE="x",Codes!$E138,"N/A")))</f>
        <v>Lesotho</v>
      </c>
      <c r="B138" s="489" t="s">
        <v>859</v>
      </c>
      <c r="C138" s="490" t="s">
        <v>860</v>
      </c>
      <c r="D138" s="490" t="s">
        <v>860</v>
      </c>
      <c r="E138" s="490" t="s">
        <v>860</v>
      </c>
      <c r="F138" s="486">
        <v>161</v>
      </c>
    </row>
    <row r="139" spans="1:6" ht="12.75" customHeight="1">
      <c r="A139" s="486" t="str">
        <f>IF(Fld_Menu_FR="x",Codes!$D139,IF(Fld_Menu_EN="x",Codes!$C139,IF(Fld_Menu_DE="x",Codes!$E139,"N/A")))</f>
        <v>Jamahiriya Libyenne</v>
      </c>
      <c r="B139" s="489" t="s">
        <v>599</v>
      </c>
      <c r="C139" s="490" t="s">
        <v>794</v>
      </c>
      <c r="D139" s="490" t="s">
        <v>795</v>
      </c>
      <c r="E139" s="490" t="s">
        <v>794</v>
      </c>
      <c r="F139" s="486">
        <v>164</v>
      </c>
    </row>
    <row r="140" spans="1:6" ht="12.75" customHeight="1">
      <c r="A140" s="486" t="str">
        <f>IF(Fld_Menu_FR="x",Codes!$D140,IF(Fld_Menu_EN="x",Codes!$C140,IF(Fld_Menu_DE="x",Codes!$E140,"N/A")))</f>
        <v>Maroc</v>
      </c>
      <c r="B140" s="489" t="s">
        <v>796</v>
      </c>
      <c r="C140" s="490" t="s">
        <v>797</v>
      </c>
      <c r="D140" s="490" t="s">
        <v>798</v>
      </c>
      <c r="E140" s="490" t="s">
        <v>799</v>
      </c>
      <c r="F140" s="486">
        <v>165</v>
      </c>
    </row>
    <row r="141" spans="1:6" ht="12.75" customHeight="1">
      <c r="A141" s="486" t="str">
        <f>IF(Fld_Menu_FR="x",Codes!$D141,IF(Fld_Menu_EN="x",Codes!$C141,IF(Fld_Menu_DE="x",Codes!$E141,"N/A")))</f>
        <v>Monaco</v>
      </c>
      <c r="B141" s="489" t="s">
        <v>800</v>
      </c>
      <c r="C141" s="490" t="s">
        <v>801</v>
      </c>
      <c r="D141" s="490" t="s">
        <v>801</v>
      </c>
      <c r="E141" s="490" t="s">
        <v>801</v>
      </c>
      <c r="F141" s="486">
        <v>166</v>
      </c>
    </row>
    <row r="142" spans="1:6" ht="12.75" customHeight="1">
      <c r="A142" s="486" t="str">
        <f>IF(Fld_Menu_FR="x",Codes!$D142,IF(Fld_Menu_EN="x",Codes!$C142,IF(Fld_Menu_DE="x",Codes!$E142,"N/A")))</f>
        <v>Moldavie</v>
      </c>
      <c r="B142" s="489" t="s">
        <v>802</v>
      </c>
      <c r="C142" s="490" t="s">
        <v>1086</v>
      </c>
      <c r="D142" s="490" t="s">
        <v>803</v>
      </c>
      <c r="E142" s="490" t="s">
        <v>1154</v>
      </c>
      <c r="F142" s="486">
        <v>167</v>
      </c>
    </row>
    <row r="143" spans="1:6" ht="12.75" customHeight="1">
      <c r="A143" s="486" t="str">
        <f>IF(Fld_Menu_FR="x",Codes!$D143,IF(Fld_Menu_EN="x",Codes!$C143,IF(Fld_Menu_DE="x",Codes!$E143,"N/A")))</f>
        <v>Madagascar</v>
      </c>
      <c r="B143" s="489" t="s">
        <v>804</v>
      </c>
      <c r="C143" s="490" t="s">
        <v>805</v>
      </c>
      <c r="D143" s="490" t="s">
        <v>805</v>
      </c>
      <c r="E143" s="490" t="s">
        <v>806</v>
      </c>
      <c r="F143" s="486">
        <v>168</v>
      </c>
    </row>
    <row r="144" spans="1:6" ht="12.75" customHeight="1">
      <c r="A144" s="486" t="str">
        <f>IF(Fld_Menu_FR="x",Codes!$D144,IF(Fld_Menu_EN="x",Codes!$C144,IF(Fld_Menu_DE="x",Codes!$E144,"N/A")))</f>
        <v>Iles Marshall</v>
      </c>
      <c r="B144" s="489" t="s">
        <v>807</v>
      </c>
      <c r="C144" s="490" t="s">
        <v>1087</v>
      </c>
      <c r="D144" s="490" t="s">
        <v>808</v>
      </c>
      <c r="E144" s="490" t="s">
        <v>809</v>
      </c>
      <c r="F144" s="486">
        <v>169</v>
      </c>
    </row>
    <row r="145" spans="1:6" ht="12.75" customHeight="1">
      <c r="A145" s="486" t="str">
        <f>IF(Fld_Menu_FR="x",Codes!$D145,IF(Fld_Menu_EN="x",Codes!$C145,IF(Fld_Menu_DE="x",Codes!$E145,"N/A")))</f>
        <v>Macédoine (ex République Yougoslave de)</v>
      </c>
      <c r="B145" s="489" t="s">
        <v>810</v>
      </c>
      <c r="C145" s="490" t="s">
        <v>1088</v>
      </c>
      <c r="D145" s="490" t="s">
        <v>674</v>
      </c>
      <c r="E145" s="490" t="s">
        <v>1807</v>
      </c>
      <c r="F145" s="486">
        <v>170</v>
      </c>
    </row>
    <row r="146" spans="1:6" ht="12.75" customHeight="1">
      <c r="A146" s="486" t="str">
        <f>IF(Fld_Menu_FR="x",Codes!$D146,IF(Fld_Menu_EN="x",Codes!$C146,IF(Fld_Menu_DE="x",Codes!$E146,"N/A")))</f>
        <v>Mali</v>
      </c>
      <c r="B146" s="489" t="s">
        <v>1808</v>
      </c>
      <c r="C146" s="490" t="s">
        <v>1809</v>
      </c>
      <c r="D146" s="490" t="s">
        <v>1809</v>
      </c>
      <c r="E146" s="490" t="s">
        <v>1809</v>
      </c>
      <c r="F146" s="486">
        <v>171</v>
      </c>
    </row>
    <row r="147" spans="1:6" ht="12.75" customHeight="1">
      <c r="A147" s="486" t="str">
        <f>IF(Fld_Menu_FR="x",Codes!$D147,IF(Fld_Menu_EN="x",Codes!$C147,IF(Fld_Menu_DE="x",Codes!$E147,"N/A")))</f>
        <v>Birmanie</v>
      </c>
      <c r="B147" s="489" t="s">
        <v>1810</v>
      </c>
      <c r="C147" s="490" t="s">
        <v>1811</v>
      </c>
      <c r="D147" s="490" t="s">
        <v>1812</v>
      </c>
      <c r="E147" s="490" t="s">
        <v>1811</v>
      </c>
      <c r="F147" s="486">
        <v>172</v>
      </c>
    </row>
    <row r="148" spans="1:6" ht="12.75" customHeight="1">
      <c r="A148" s="486" t="str">
        <f>IF(Fld_Menu_FR="x",Codes!$D148,IF(Fld_Menu_EN="x",Codes!$C148,IF(Fld_Menu_DE="x",Codes!$E148,"N/A")))</f>
        <v>Mongolie</v>
      </c>
      <c r="B148" s="489" t="s">
        <v>1813</v>
      </c>
      <c r="C148" s="490" t="s">
        <v>1814</v>
      </c>
      <c r="D148" s="490" t="s">
        <v>1815</v>
      </c>
      <c r="E148" s="490" t="s">
        <v>1816</v>
      </c>
      <c r="F148" s="486">
        <v>173</v>
      </c>
    </row>
    <row r="149" spans="1:6" ht="12.75" customHeight="1">
      <c r="A149" s="486" t="str">
        <f>IF(Fld_Menu_FR="x",Codes!$D149,IF(Fld_Menu_EN="x",Codes!$C149,IF(Fld_Menu_DE="x",Codes!$E149,"N/A")))</f>
        <v>Macao</v>
      </c>
      <c r="B149" s="489" t="s">
        <v>1817</v>
      </c>
      <c r="C149" s="490" t="s">
        <v>1818</v>
      </c>
      <c r="D149" s="490" t="s">
        <v>1819</v>
      </c>
      <c r="E149" s="490" t="s">
        <v>1818</v>
      </c>
      <c r="F149" s="486">
        <v>174</v>
      </c>
    </row>
    <row r="150" spans="1:6" ht="12.75" customHeight="1">
      <c r="A150" s="486" t="str">
        <f>IF(Fld_Menu_FR="x",Codes!$D150,IF(Fld_Menu_EN="x",Codes!$C150,IF(Fld_Menu_DE="x",Codes!$E150,"N/A")))</f>
        <v>Mariana Îles du Nord</v>
      </c>
      <c r="B150" s="489" t="s">
        <v>1820</v>
      </c>
      <c r="C150" s="490" t="s">
        <v>1158</v>
      </c>
      <c r="D150" s="490" t="s">
        <v>673</v>
      </c>
      <c r="E150" s="490" t="s">
        <v>1821</v>
      </c>
      <c r="F150" s="486">
        <v>175</v>
      </c>
    </row>
    <row r="151" spans="1:6" ht="12.75" customHeight="1">
      <c r="A151" s="486" t="str">
        <f>IF(Fld_Menu_FR="x",Codes!$D151,IF(Fld_Menu_EN="x",Codes!$C151,IF(Fld_Menu_DE="x",Codes!$E151,"N/A")))</f>
        <v>Martinique</v>
      </c>
      <c r="B151" s="489" t="s">
        <v>1822</v>
      </c>
      <c r="C151" s="490" t="s">
        <v>1823</v>
      </c>
      <c r="D151" s="490" t="s">
        <v>1823</v>
      </c>
      <c r="E151" s="490" t="s">
        <v>1823</v>
      </c>
      <c r="F151" s="486">
        <v>176</v>
      </c>
    </row>
    <row r="152" spans="1:6" ht="12.75" customHeight="1">
      <c r="A152" s="486" t="str">
        <f>IF(Fld_Menu_FR="x",Codes!$D152,IF(Fld_Menu_EN="x",Codes!$C152,IF(Fld_Menu_DE="x",Codes!$E152,"N/A")))</f>
        <v>Mauritanie</v>
      </c>
      <c r="B152" s="489" t="s">
        <v>1824</v>
      </c>
      <c r="C152" s="490" t="s">
        <v>1825</v>
      </c>
      <c r="D152" s="490" t="s">
        <v>1826</v>
      </c>
      <c r="E152" s="490" t="s">
        <v>1827</v>
      </c>
      <c r="F152" s="486">
        <v>177</v>
      </c>
    </row>
    <row r="153" spans="1:6" ht="12.75" customHeight="1">
      <c r="A153" s="486" t="str">
        <f>IF(Fld_Menu_FR="x",Codes!$D153,IF(Fld_Menu_EN="x",Codes!$C153,IF(Fld_Menu_DE="x",Codes!$E153,"N/A")))</f>
        <v>Montserrat</v>
      </c>
      <c r="B153" s="489" t="s">
        <v>1828</v>
      </c>
      <c r="C153" s="490" t="s">
        <v>1829</v>
      </c>
      <c r="D153" s="490" t="s">
        <v>1829</v>
      </c>
      <c r="E153" s="490" t="s">
        <v>1829</v>
      </c>
      <c r="F153" s="486">
        <v>178</v>
      </c>
    </row>
    <row r="154" spans="1:6" ht="12.75" customHeight="1">
      <c r="A154" s="486" t="str">
        <f>IF(Fld_Menu_FR="x",Codes!$D154,IF(Fld_Menu_EN="x",Codes!$C154,IF(Fld_Menu_DE="x",Codes!$E154,"N/A")))</f>
        <v>Maurice</v>
      </c>
      <c r="B154" s="489" t="s">
        <v>1833</v>
      </c>
      <c r="C154" s="490" t="s">
        <v>1834</v>
      </c>
      <c r="D154" s="490" t="s">
        <v>1835</v>
      </c>
      <c r="E154" s="490" t="s">
        <v>1834</v>
      </c>
      <c r="F154" s="486">
        <v>180</v>
      </c>
    </row>
    <row r="155" spans="1:6" ht="12.75" customHeight="1">
      <c r="A155" s="486" t="str">
        <f>IF(Fld_Menu_FR="x",Codes!$D155,IF(Fld_Menu_EN="x",Codes!$C155,IF(Fld_Menu_DE="x",Codes!$E155,"N/A")))</f>
        <v>Maldives</v>
      </c>
      <c r="B155" s="489" t="s">
        <v>1836</v>
      </c>
      <c r="C155" s="490" t="s">
        <v>1837</v>
      </c>
      <c r="D155" s="490" t="s">
        <v>1837</v>
      </c>
      <c r="E155" s="490" t="s">
        <v>1837</v>
      </c>
      <c r="F155" s="486">
        <v>181</v>
      </c>
    </row>
    <row r="156" spans="1:6" ht="12.75" customHeight="1">
      <c r="A156" s="486" t="str">
        <f>IF(Fld_Menu_FR="x",Codes!$D156,IF(Fld_Menu_EN="x",Codes!$C156,IF(Fld_Menu_DE="x",Codes!$E156,"N/A")))</f>
        <v>Malawi</v>
      </c>
      <c r="B156" s="489" t="s">
        <v>1838</v>
      </c>
      <c r="C156" s="490" t="s">
        <v>1839</v>
      </c>
      <c r="D156" s="490" t="s">
        <v>1839</v>
      </c>
      <c r="E156" s="490" t="s">
        <v>1839</v>
      </c>
      <c r="F156" s="486">
        <v>182</v>
      </c>
    </row>
    <row r="157" spans="1:6" ht="12.75" customHeight="1">
      <c r="A157" s="486" t="str">
        <f>IF(Fld_Menu_FR="x",Codes!$D157,IF(Fld_Menu_EN="x",Codes!$C157,IF(Fld_Menu_DE="x",Codes!$E157,"N/A")))</f>
        <v>Mexique</v>
      </c>
      <c r="B157" s="489" t="s">
        <v>1840</v>
      </c>
      <c r="C157" s="490" t="s">
        <v>1841</v>
      </c>
      <c r="D157" s="490" t="s">
        <v>1842</v>
      </c>
      <c r="E157" s="490" t="s">
        <v>1843</v>
      </c>
      <c r="F157" s="486">
        <v>183</v>
      </c>
    </row>
    <row r="158" spans="1:6" ht="12.75" customHeight="1">
      <c r="A158" s="486" t="str">
        <f>IF(Fld_Menu_FR="x",Codes!$D158,IF(Fld_Menu_EN="x",Codes!$C158,IF(Fld_Menu_DE="x",Codes!$E158,"N/A")))</f>
        <v>Malaysie</v>
      </c>
      <c r="B158" s="489" t="s">
        <v>1844</v>
      </c>
      <c r="C158" s="490" t="s">
        <v>1845</v>
      </c>
      <c r="D158" s="490" t="s">
        <v>1846</v>
      </c>
      <c r="E158" s="490" t="s">
        <v>1845</v>
      </c>
      <c r="F158" s="486">
        <v>184</v>
      </c>
    </row>
    <row r="159" spans="1:6" ht="12.75" customHeight="1">
      <c r="A159" s="486" t="str">
        <f>IF(Fld_Menu_FR="x",Codes!$D159,IF(Fld_Menu_EN="x",Codes!$C159,IF(Fld_Menu_DE="x",Codes!$E159,"N/A")))</f>
        <v>Mozambique</v>
      </c>
      <c r="B159" s="489" t="s">
        <v>1847</v>
      </c>
      <c r="C159" s="490" t="s">
        <v>1848</v>
      </c>
      <c r="D159" s="490" t="s">
        <v>1848</v>
      </c>
      <c r="E159" s="490" t="s">
        <v>1849</v>
      </c>
      <c r="F159" s="486">
        <v>185</v>
      </c>
    </row>
    <row r="160" spans="1:6" ht="12.75" customHeight="1">
      <c r="A160" s="486" t="str">
        <f>IF(Fld_Menu_FR="x",Codes!$D160,IF(Fld_Menu_EN="x",Codes!$C160,IF(Fld_Menu_DE="x",Codes!$E160,"N/A")))</f>
        <v>Namibie</v>
      </c>
      <c r="B160" s="489" t="s">
        <v>1850</v>
      </c>
      <c r="C160" s="490" t="s">
        <v>1851</v>
      </c>
      <c r="D160" s="490" t="s">
        <v>1852</v>
      </c>
      <c r="E160" s="490" t="s">
        <v>1851</v>
      </c>
      <c r="F160" s="486">
        <v>186</v>
      </c>
    </row>
    <row r="161" spans="1:6" ht="12.75" customHeight="1">
      <c r="A161" s="486" t="str">
        <f>IF(Fld_Menu_FR="x",Codes!$D161,IF(Fld_Menu_EN="x",Codes!$C161,IF(Fld_Menu_DE="x",Codes!$E161,"N/A")))</f>
        <v>Nouvelle Calédonie</v>
      </c>
      <c r="B161" s="489" t="s">
        <v>1853</v>
      </c>
      <c r="C161" s="490" t="s">
        <v>1854</v>
      </c>
      <c r="D161" s="490" t="s">
        <v>1855</v>
      </c>
      <c r="E161" s="490" t="s">
        <v>1856</v>
      </c>
      <c r="F161" s="486">
        <v>187</v>
      </c>
    </row>
    <row r="162" spans="1:6" ht="12.75" customHeight="1">
      <c r="A162" s="486" t="str">
        <f>IF(Fld_Menu_FR="x",Codes!$D162,IF(Fld_Menu_EN="x",Codes!$C162,IF(Fld_Menu_DE="x",Codes!$E162,"N/A")))</f>
        <v>Niger</v>
      </c>
      <c r="B162" s="489" t="s">
        <v>1857</v>
      </c>
      <c r="C162" s="490" t="s">
        <v>1858</v>
      </c>
      <c r="D162" s="490" t="s">
        <v>1858</v>
      </c>
      <c r="E162" s="490" t="s">
        <v>1858</v>
      </c>
      <c r="F162" s="486">
        <v>188</v>
      </c>
    </row>
    <row r="163" spans="1:6" ht="12.75" customHeight="1">
      <c r="A163" s="486" t="str">
        <f>IF(Fld_Menu_FR="x",Codes!$D163,IF(Fld_Menu_EN="x",Codes!$C163,IF(Fld_Menu_DE="x",Codes!$E163,"N/A")))</f>
        <v>Iles Norfolk</v>
      </c>
      <c r="B163" s="489" t="s">
        <v>1859</v>
      </c>
      <c r="C163" s="490" t="s">
        <v>1159</v>
      </c>
      <c r="D163" s="490" t="s">
        <v>1860</v>
      </c>
      <c r="E163" s="490" t="s">
        <v>1861</v>
      </c>
      <c r="F163" s="486">
        <v>189</v>
      </c>
    </row>
    <row r="164" spans="1:6" ht="12.75" customHeight="1">
      <c r="A164" s="486" t="str">
        <f>IF(Fld_Menu_FR="x",Codes!$D164,IF(Fld_Menu_EN="x",Codes!$C164,IF(Fld_Menu_DE="x",Codes!$E164,"N/A")))</f>
        <v>Nigéria</v>
      </c>
      <c r="B164" s="489" t="s">
        <v>1862</v>
      </c>
      <c r="C164" s="490" t="s">
        <v>1863</v>
      </c>
      <c r="D164" s="490" t="s">
        <v>1864</v>
      </c>
      <c r="E164" s="490" t="s">
        <v>1863</v>
      </c>
      <c r="F164" s="486">
        <v>190</v>
      </c>
    </row>
    <row r="165" spans="1:6" ht="12.75" customHeight="1">
      <c r="A165" s="486" t="str">
        <f>IF(Fld_Menu_FR="x",Codes!$D165,IF(Fld_Menu_EN="x",Codes!$C165,IF(Fld_Menu_DE="x",Codes!$E165,"N/A")))</f>
        <v>Nicaragua</v>
      </c>
      <c r="B165" s="489" t="s">
        <v>1865</v>
      </c>
      <c r="C165" s="490" t="s">
        <v>1866</v>
      </c>
      <c r="D165" s="490" t="s">
        <v>1866</v>
      </c>
      <c r="E165" s="490" t="s">
        <v>1866</v>
      </c>
      <c r="F165" s="486">
        <v>191</v>
      </c>
    </row>
    <row r="166" spans="1:6" ht="12.75" customHeight="1">
      <c r="A166" s="486" t="str">
        <f>IF(Fld_Menu_FR="x",Codes!$D166,IF(Fld_Menu_EN="x",Codes!$C166,IF(Fld_Menu_DE="x",Codes!$E166,"N/A")))</f>
        <v>Népal</v>
      </c>
      <c r="B166" s="489" t="s">
        <v>1871</v>
      </c>
      <c r="C166" s="490" t="s">
        <v>1872</v>
      </c>
      <c r="D166" s="490" t="s">
        <v>1873</v>
      </c>
      <c r="E166" s="490" t="s">
        <v>1872</v>
      </c>
      <c r="F166" s="486">
        <v>193</v>
      </c>
    </row>
    <row r="167" spans="1:6" ht="12.75" customHeight="1">
      <c r="A167" s="486" t="str">
        <f>IF(Fld_Menu_FR="x",Codes!$D167,IF(Fld_Menu_EN="x",Codes!$C167,IF(Fld_Menu_DE="x",Codes!$E167,"N/A")))</f>
        <v>Nauru</v>
      </c>
      <c r="B167" s="489" t="s">
        <v>1874</v>
      </c>
      <c r="C167" s="490" t="s">
        <v>1875</v>
      </c>
      <c r="D167" s="490" t="s">
        <v>1875</v>
      </c>
      <c r="E167" s="490" t="s">
        <v>1875</v>
      </c>
      <c r="F167" s="486">
        <v>194</v>
      </c>
    </row>
    <row r="168" spans="1:6" ht="12.75" customHeight="1">
      <c r="A168" s="486" t="str">
        <f>IF(Fld_Menu_FR="x",Codes!$D168,IF(Fld_Menu_EN="x",Codes!$C168,IF(Fld_Menu_DE="x",Codes!$E168,"N/A")))</f>
        <v>Nauru</v>
      </c>
      <c r="B168" s="489" t="s">
        <v>1876</v>
      </c>
      <c r="C168" s="490" t="s">
        <v>1877</v>
      </c>
      <c r="D168" s="490" t="s">
        <v>1875</v>
      </c>
      <c r="E168" s="490" t="s">
        <v>1875</v>
      </c>
      <c r="F168" s="486">
        <v>195</v>
      </c>
    </row>
    <row r="169" spans="1:6" ht="12.75" customHeight="1">
      <c r="A169" s="486" t="str">
        <f>IF(Fld_Menu_FR="x",Codes!$D169,IF(Fld_Menu_EN="x",Codes!$C169,IF(Fld_Menu_DE="x",Codes!$E169,"N/A")))</f>
        <v>Nouvelle Zélande</v>
      </c>
      <c r="B169" s="489" t="s">
        <v>1878</v>
      </c>
      <c r="C169" s="490" t="s">
        <v>1879</v>
      </c>
      <c r="D169" s="490" t="s">
        <v>1880</v>
      </c>
      <c r="E169" s="490" t="s">
        <v>1881</v>
      </c>
      <c r="F169" s="486">
        <v>196</v>
      </c>
    </row>
    <row r="170" spans="1:6" ht="12.75" customHeight="1">
      <c r="A170" s="486" t="str">
        <f>IF(Fld_Menu_FR="x",Codes!$D170,IF(Fld_Menu_EN="x",Codes!$C170,IF(Fld_Menu_DE="x",Codes!$E170,"N/A")))</f>
        <v>Oman</v>
      </c>
      <c r="B170" s="489" t="s">
        <v>1882</v>
      </c>
      <c r="C170" s="490" t="s">
        <v>1883</v>
      </c>
      <c r="D170" s="490" t="s">
        <v>1883</v>
      </c>
      <c r="E170" s="490" t="s">
        <v>1883</v>
      </c>
      <c r="F170" s="486">
        <v>197</v>
      </c>
    </row>
    <row r="171" spans="1:6" ht="12.75" customHeight="1">
      <c r="A171" s="486" t="str">
        <f>IF(Fld_Menu_FR="x",Codes!$D171,IF(Fld_Menu_EN="x",Codes!$C171,IF(Fld_Menu_DE="x",Codes!$E171,"N/A")))</f>
        <v>Panama</v>
      </c>
      <c r="B171" s="489" t="s">
        <v>1884</v>
      </c>
      <c r="C171" s="490" t="s">
        <v>1885</v>
      </c>
      <c r="D171" s="490" t="s">
        <v>1885</v>
      </c>
      <c r="E171" s="490" t="s">
        <v>1885</v>
      </c>
      <c r="F171" s="486">
        <v>198</v>
      </c>
    </row>
    <row r="172" spans="1:6" ht="12.75" customHeight="1">
      <c r="A172" s="486" t="str">
        <f>IF(Fld_Menu_FR="x",Codes!$D172,IF(Fld_Menu_EN="x",Codes!$C172,IF(Fld_Menu_DE="x",Codes!$E172,"N/A")))</f>
        <v>Pérou</v>
      </c>
      <c r="B172" s="489" t="s">
        <v>1886</v>
      </c>
      <c r="C172" s="490" t="s">
        <v>1887</v>
      </c>
      <c r="D172" s="490" t="s">
        <v>1443</v>
      </c>
      <c r="E172" s="490" t="s">
        <v>1887</v>
      </c>
      <c r="F172" s="486">
        <v>199</v>
      </c>
    </row>
    <row r="173" spans="1:6" ht="12.75" customHeight="1">
      <c r="A173" s="486" t="str">
        <f>IF(Fld_Menu_FR="x",Codes!$D173,IF(Fld_Menu_EN="x",Codes!$C173,IF(Fld_Menu_DE="x",Codes!$E173,"N/A")))</f>
        <v>Polynésie Française</v>
      </c>
      <c r="B173" s="489" t="s">
        <v>1444</v>
      </c>
      <c r="C173" s="490" t="s">
        <v>1445</v>
      </c>
      <c r="D173" s="490" t="s">
        <v>672</v>
      </c>
      <c r="E173" s="490" t="s">
        <v>1446</v>
      </c>
      <c r="F173" s="486">
        <v>200</v>
      </c>
    </row>
    <row r="174" spans="1:6" ht="12.75" customHeight="1">
      <c r="A174" s="486" t="str">
        <f>IF(Fld_Menu_FR="x",Codes!$D174,IF(Fld_Menu_EN="x",Codes!$C174,IF(Fld_Menu_DE="x",Codes!$E174,"N/A")))</f>
        <v>Papouasie Nouvelle Guinée</v>
      </c>
      <c r="B174" s="489" t="s">
        <v>1447</v>
      </c>
      <c r="C174" s="490" t="s">
        <v>1448</v>
      </c>
      <c r="D174" s="490" t="s">
        <v>1449</v>
      </c>
      <c r="E174" s="490" t="s">
        <v>1450</v>
      </c>
      <c r="F174" s="486">
        <v>201</v>
      </c>
    </row>
    <row r="175" spans="1:6" ht="12.75" customHeight="1">
      <c r="A175" s="486" t="str">
        <f>IF(Fld_Menu_FR="x",Codes!$D175,IF(Fld_Menu_EN="x",Codes!$C175,IF(Fld_Menu_DE="x",Codes!$E175,"N/A")))</f>
        <v>Philipines</v>
      </c>
      <c r="B175" s="489" t="s">
        <v>1451</v>
      </c>
      <c r="C175" s="490" t="s">
        <v>1452</v>
      </c>
      <c r="D175" s="490" t="s">
        <v>1452</v>
      </c>
      <c r="E175" s="490" t="s">
        <v>1453</v>
      </c>
      <c r="F175" s="486">
        <v>202</v>
      </c>
    </row>
    <row r="176" spans="1:6" ht="12.75" customHeight="1">
      <c r="A176" s="486" t="str">
        <f>IF(Fld_Menu_FR="x",Codes!$D176,IF(Fld_Menu_EN="x",Codes!$C176,IF(Fld_Menu_DE="x",Codes!$E176,"N/A")))</f>
        <v>Pakistan</v>
      </c>
      <c r="B176" s="489" t="s">
        <v>1454</v>
      </c>
      <c r="C176" s="490" t="s">
        <v>1455</v>
      </c>
      <c r="D176" s="490" t="s">
        <v>1455</v>
      </c>
      <c r="E176" s="490" t="s">
        <v>1455</v>
      </c>
      <c r="F176" s="486">
        <v>203</v>
      </c>
    </row>
    <row r="177" spans="1:6" ht="12.75" customHeight="1">
      <c r="A177" s="486" t="str">
        <f>IF(Fld_Menu_FR="x",Codes!$D177,IF(Fld_Menu_EN="x",Codes!$C177,IF(Fld_Menu_DE="x",Codes!$E177,"N/A")))</f>
        <v>St. Pierre et Miquelon</v>
      </c>
      <c r="B177" s="489" t="s">
        <v>1460</v>
      </c>
      <c r="C177" s="490" t="s">
        <v>1461</v>
      </c>
      <c r="D177" s="490" t="s">
        <v>1462</v>
      </c>
      <c r="E177" s="490" t="s">
        <v>1463</v>
      </c>
      <c r="F177" s="486">
        <v>205</v>
      </c>
    </row>
    <row r="178" spans="1:6" ht="12.75" customHeight="1">
      <c r="A178" s="486" t="str">
        <f>IF(Fld_Menu_FR="x",Codes!$D178,IF(Fld_Menu_EN="x",Codes!$C178,IF(Fld_Menu_DE="x",Codes!$E178,"N/A")))</f>
        <v>Pitcairn</v>
      </c>
      <c r="B178" s="489" t="s">
        <v>1464</v>
      </c>
      <c r="C178" s="490" t="s">
        <v>1465</v>
      </c>
      <c r="D178" s="490" t="s">
        <v>1465</v>
      </c>
      <c r="E178" s="490" t="s">
        <v>1465</v>
      </c>
      <c r="F178" s="486">
        <v>206</v>
      </c>
    </row>
    <row r="179" spans="1:6" ht="12.75" customHeight="1">
      <c r="A179" s="486" t="str">
        <f>IF(Fld_Menu_FR="x",Codes!$D179,IF(Fld_Menu_EN="x",Codes!$C179,IF(Fld_Menu_DE="x",Codes!$E179,"N/A")))</f>
        <v>Puerto Rico</v>
      </c>
      <c r="B179" s="489" t="s">
        <v>1466</v>
      </c>
      <c r="C179" s="490" t="s">
        <v>232</v>
      </c>
      <c r="D179" s="490" t="s">
        <v>232</v>
      </c>
      <c r="E179" s="490" t="s">
        <v>232</v>
      </c>
      <c r="F179" s="486">
        <v>207</v>
      </c>
    </row>
    <row r="180" spans="1:6" ht="12.75" customHeight="1">
      <c r="A180" s="486" t="str">
        <f>IF(Fld_Menu_FR="x",Codes!$D180,IF(Fld_Menu_EN="x",Codes!$C180,IF(Fld_Menu_DE="x",Codes!$E180,"N/A")))</f>
        <v>Palau</v>
      </c>
      <c r="B180" s="489" t="s">
        <v>233</v>
      </c>
      <c r="C180" s="490" t="s">
        <v>234</v>
      </c>
      <c r="D180" s="490" t="s">
        <v>234</v>
      </c>
      <c r="E180" s="490" t="s">
        <v>234</v>
      </c>
      <c r="F180" s="486">
        <v>208</v>
      </c>
    </row>
    <row r="181" spans="1:6" ht="12.75" customHeight="1">
      <c r="A181" s="486" t="str">
        <f>IF(Fld_Menu_FR="x",Codes!$D181,IF(Fld_Menu_EN="x",Codes!$C181,IF(Fld_Menu_DE="x",Codes!$E181,"N/A")))</f>
        <v>Paraguay</v>
      </c>
      <c r="B181" s="489" t="s">
        <v>235</v>
      </c>
      <c r="C181" s="490" t="s">
        <v>236</v>
      </c>
      <c r="D181" s="490" t="s">
        <v>236</v>
      </c>
      <c r="E181" s="490" t="s">
        <v>236</v>
      </c>
      <c r="F181" s="486">
        <v>209</v>
      </c>
    </row>
    <row r="182" spans="1:6" ht="12.75" customHeight="1">
      <c r="A182" s="486" t="str">
        <f>IF(Fld_Menu_FR="x",Codes!$D182,IF(Fld_Menu_EN="x",Codes!$C182,IF(Fld_Menu_DE="x",Codes!$E182,"N/A")))</f>
        <v>Quatar</v>
      </c>
      <c r="B182" s="489" t="s">
        <v>237</v>
      </c>
      <c r="C182" s="490" t="s">
        <v>238</v>
      </c>
      <c r="D182" s="490" t="s">
        <v>238</v>
      </c>
      <c r="E182" s="490" t="s">
        <v>238</v>
      </c>
      <c r="F182" s="486">
        <v>210</v>
      </c>
    </row>
    <row r="183" spans="1:6" ht="12.75" customHeight="1">
      <c r="A183" s="486" t="str">
        <f>IF(Fld_Menu_FR="x",Codes!$D183,IF(Fld_Menu_EN="x",Codes!$C183,IF(Fld_Menu_DE="x",Codes!$E183,"N/A")))</f>
        <v>Réunion</v>
      </c>
      <c r="B183" s="489" t="s">
        <v>239</v>
      </c>
      <c r="C183" s="490" t="s">
        <v>240</v>
      </c>
      <c r="D183" s="490" t="s">
        <v>241</v>
      </c>
      <c r="E183" s="490" t="s">
        <v>240</v>
      </c>
      <c r="F183" s="486">
        <v>211</v>
      </c>
    </row>
    <row r="184" spans="1:6" ht="12.75" customHeight="1">
      <c r="A184" s="486" t="str">
        <f>IF(Fld_Menu_FR="x",Codes!$D184,IF(Fld_Menu_EN="x",Codes!$C184,IF(Fld_Menu_DE="x",Codes!$E184,"N/A")))</f>
        <v>Russie</v>
      </c>
      <c r="B184" s="489" t="s">
        <v>246</v>
      </c>
      <c r="C184" s="490" t="s">
        <v>1160</v>
      </c>
      <c r="D184" s="490" t="s">
        <v>247</v>
      </c>
      <c r="E184" s="490" t="s">
        <v>1155</v>
      </c>
      <c r="F184" s="486">
        <v>213</v>
      </c>
    </row>
    <row r="185" spans="1:6" ht="12.75" customHeight="1">
      <c r="A185" s="486" t="str">
        <f>IF(Fld_Menu_FR="x",Codes!$D185,IF(Fld_Menu_EN="x",Codes!$C185,IF(Fld_Menu_DE="x",Codes!$E185,"N/A")))</f>
        <v>Rwanda</v>
      </c>
      <c r="B185" s="489" t="s">
        <v>248</v>
      </c>
      <c r="C185" s="490" t="s">
        <v>249</v>
      </c>
      <c r="D185" s="490" t="s">
        <v>249</v>
      </c>
      <c r="E185" s="490" t="s">
        <v>250</v>
      </c>
      <c r="F185" s="486">
        <v>214</v>
      </c>
    </row>
    <row r="186" spans="1:6" ht="12.75" customHeight="1">
      <c r="A186" s="486" t="str">
        <f>IF(Fld_Menu_FR="x",Codes!$D186,IF(Fld_Menu_EN="x",Codes!$C186,IF(Fld_Menu_DE="x",Codes!$E186,"N/A")))</f>
        <v>Arabie Saoudite</v>
      </c>
      <c r="B186" s="489" t="s">
        <v>251</v>
      </c>
      <c r="C186" s="490" t="s">
        <v>252</v>
      </c>
      <c r="D186" s="490" t="s">
        <v>253</v>
      </c>
      <c r="E186" s="490" t="s">
        <v>254</v>
      </c>
      <c r="F186" s="486">
        <v>215</v>
      </c>
    </row>
    <row r="187" spans="1:6" ht="12.75" customHeight="1">
      <c r="A187" s="486" t="str">
        <f>IF(Fld_Menu_FR="x",Codes!$D187,IF(Fld_Menu_EN="x",Codes!$C187,IF(Fld_Menu_DE="x",Codes!$E187,"N/A")))</f>
        <v>Iles Salomon</v>
      </c>
      <c r="B187" s="489" t="s">
        <v>255</v>
      </c>
      <c r="C187" s="490" t="s">
        <v>1161</v>
      </c>
      <c r="D187" s="490" t="s">
        <v>256</v>
      </c>
      <c r="E187" s="490" t="s">
        <v>257</v>
      </c>
      <c r="F187" s="486">
        <v>216</v>
      </c>
    </row>
    <row r="188" spans="1:6" ht="12.75" customHeight="1">
      <c r="A188" s="486" t="str">
        <f>IF(Fld_Menu_FR="x",Codes!$D188,IF(Fld_Menu_EN="x",Codes!$C188,IF(Fld_Menu_DE="x",Codes!$E188,"N/A")))</f>
        <v>Seychelles</v>
      </c>
      <c r="B188" s="489" t="s">
        <v>258</v>
      </c>
      <c r="C188" s="490" t="s">
        <v>259</v>
      </c>
      <c r="D188" s="490" t="s">
        <v>259</v>
      </c>
      <c r="E188" s="490" t="s">
        <v>260</v>
      </c>
      <c r="F188" s="486">
        <v>217</v>
      </c>
    </row>
    <row r="189" spans="1:6" ht="12.75" customHeight="1">
      <c r="A189" s="486" t="str">
        <f>IF(Fld_Menu_FR="x",Codes!$D189,IF(Fld_Menu_EN="x",Codes!$C189,IF(Fld_Menu_DE="x",Codes!$E189,"N/A")))</f>
        <v>Soudan</v>
      </c>
      <c r="B189" s="489" t="s">
        <v>261</v>
      </c>
      <c r="C189" s="490" t="s">
        <v>262</v>
      </c>
      <c r="D189" s="490" t="s">
        <v>263</v>
      </c>
      <c r="E189" s="490" t="s">
        <v>262</v>
      </c>
      <c r="F189" s="486">
        <v>218</v>
      </c>
    </row>
    <row r="190" spans="1:6" ht="12.75" customHeight="1">
      <c r="A190" s="486" t="str">
        <f>IF(Fld_Menu_FR="x",Codes!$D190,IF(Fld_Menu_EN="x",Codes!$C190,IF(Fld_Menu_DE="x",Codes!$E190,"N/A")))</f>
        <v>Singapoure</v>
      </c>
      <c r="B190" s="489" t="s">
        <v>264</v>
      </c>
      <c r="C190" s="490" t="s">
        <v>265</v>
      </c>
      <c r="D190" s="490" t="s">
        <v>266</v>
      </c>
      <c r="E190" s="490" t="s">
        <v>267</v>
      </c>
      <c r="F190" s="486">
        <v>219</v>
      </c>
    </row>
    <row r="191" spans="1:6" ht="12.75" customHeight="1">
      <c r="A191" s="486" t="str">
        <f>IF(Fld_Menu_FR="x",Codes!$D191,IF(Fld_Menu_EN="x",Codes!$C191,IF(Fld_Menu_DE="x",Codes!$E191,"N/A")))</f>
        <v>Ste. Hélène</v>
      </c>
      <c r="B191" s="489" t="s">
        <v>268</v>
      </c>
      <c r="C191" s="490" t="s">
        <v>269</v>
      </c>
      <c r="D191" s="490" t="s">
        <v>270</v>
      </c>
      <c r="E191" s="490" t="s">
        <v>271</v>
      </c>
      <c r="F191" s="486">
        <v>220</v>
      </c>
    </row>
    <row r="192" spans="1:6" ht="12.75" customHeight="1">
      <c r="A192" s="486" t="str">
        <f>IF(Fld_Menu_FR="x",Codes!$D192,IF(Fld_Menu_EN="x",Codes!$C192,IF(Fld_Menu_DE="x",Codes!$E192,"N/A")))</f>
        <v>Iles Svalbard et Jan Mayen</v>
      </c>
      <c r="B192" s="489" t="s">
        <v>276</v>
      </c>
      <c r="C192" s="490" t="s">
        <v>1162</v>
      </c>
      <c r="D192" s="490" t="s">
        <v>277</v>
      </c>
      <c r="E192" s="490" t="s">
        <v>1156</v>
      </c>
      <c r="F192" s="486">
        <v>222</v>
      </c>
    </row>
    <row r="193" spans="1:6" ht="12.75" customHeight="1">
      <c r="A193" s="486" t="str">
        <f>IF(Fld_Menu_FR="x",Codes!$D193,IF(Fld_Menu_EN="x",Codes!$C193,IF(Fld_Menu_DE="x",Codes!$E193,"N/A")))</f>
        <v>Sierra Leone</v>
      </c>
      <c r="B193" s="489" t="s">
        <v>281</v>
      </c>
      <c r="C193" s="490" t="s">
        <v>282</v>
      </c>
      <c r="D193" s="490" t="s">
        <v>282</v>
      </c>
      <c r="E193" s="490" t="s">
        <v>282</v>
      </c>
      <c r="F193" s="486">
        <v>224</v>
      </c>
    </row>
    <row r="194" spans="1:6" ht="12.75" customHeight="1">
      <c r="A194" s="486" t="str">
        <f>IF(Fld_Menu_FR="x",Codes!$D194,IF(Fld_Menu_EN="x",Codes!$C194,IF(Fld_Menu_DE="x",Codes!$E194,"N/A")))</f>
        <v>Saint Marin</v>
      </c>
      <c r="B194" s="489" t="s">
        <v>283</v>
      </c>
      <c r="C194" s="490" t="s">
        <v>284</v>
      </c>
      <c r="D194" s="490" t="s">
        <v>285</v>
      </c>
      <c r="E194" s="490" t="s">
        <v>284</v>
      </c>
      <c r="F194" s="486">
        <v>225</v>
      </c>
    </row>
    <row r="195" spans="1:6" ht="12.75" customHeight="1">
      <c r="A195" s="486" t="str">
        <f>IF(Fld_Menu_FR="x",Codes!$D195,IF(Fld_Menu_EN="x",Codes!$C195,IF(Fld_Menu_DE="x",Codes!$E195,"N/A")))</f>
        <v>Sénégal</v>
      </c>
      <c r="B195" s="489" t="s">
        <v>286</v>
      </c>
      <c r="C195" s="490" t="s">
        <v>287</v>
      </c>
      <c r="D195" s="490" t="s">
        <v>288</v>
      </c>
      <c r="E195" s="490" t="s">
        <v>287</v>
      </c>
      <c r="F195" s="486">
        <v>226</v>
      </c>
    </row>
    <row r="196" spans="1:6" ht="12.75" customHeight="1">
      <c r="A196" s="486" t="str">
        <f>IF(Fld_Menu_FR="x",Codes!$D196,IF(Fld_Menu_EN="x",Codes!$C196,IF(Fld_Menu_DE="x",Codes!$E196,"N/A")))</f>
        <v>Somalie</v>
      </c>
      <c r="B196" s="489" t="s">
        <v>289</v>
      </c>
      <c r="C196" s="490" t="s">
        <v>290</v>
      </c>
      <c r="D196" s="490" t="s">
        <v>291</v>
      </c>
      <c r="E196" s="490" t="s">
        <v>290</v>
      </c>
      <c r="F196" s="486">
        <v>227</v>
      </c>
    </row>
    <row r="197" spans="1:6" ht="12.75" customHeight="1">
      <c r="A197" s="486" t="str">
        <f>IF(Fld_Menu_FR="x",Codes!$D197,IF(Fld_Menu_EN="x",Codes!$C197,IF(Fld_Menu_DE="x",Codes!$E197,"N/A")))</f>
        <v>Suriname</v>
      </c>
      <c r="B197" s="489" t="s">
        <v>292</v>
      </c>
      <c r="C197" s="490" t="s">
        <v>293</v>
      </c>
      <c r="D197" s="490" t="s">
        <v>293</v>
      </c>
      <c r="E197" s="490" t="s">
        <v>293</v>
      </c>
      <c r="F197" s="486">
        <v>228</v>
      </c>
    </row>
    <row r="198" spans="1:6" ht="12.75" customHeight="1">
      <c r="A198" s="486" t="str">
        <f>IF(Fld_Menu_FR="x",Codes!$D198,IF(Fld_Menu_EN="x",Codes!$C198,IF(Fld_Menu_DE="x",Codes!$E198,"N/A")))</f>
        <v>Sao Tome et Principe</v>
      </c>
      <c r="B198" s="489" t="s">
        <v>294</v>
      </c>
      <c r="C198" s="490" t="s">
        <v>1164</v>
      </c>
      <c r="D198" s="490" t="s">
        <v>295</v>
      </c>
      <c r="E198" s="490" t="s">
        <v>296</v>
      </c>
      <c r="F198" s="486">
        <v>229</v>
      </c>
    </row>
    <row r="199" spans="1:6" ht="12.75" customHeight="1">
      <c r="A199" s="486" t="str">
        <f>IF(Fld_Menu_FR="x",Codes!$D199,IF(Fld_Menu_EN="x",Codes!$C199,IF(Fld_Menu_DE="x",Codes!$E199,"N/A")))</f>
        <v>Salvador</v>
      </c>
      <c r="B199" s="489" t="s">
        <v>297</v>
      </c>
      <c r="C199" s="490" t="s">
        <v>298</v>
      </c>
      <c r="D199" s="490" t="s">
        <v>299</v>
      </c>
      <c r="E199" s="490" t="s">
        <v>300</v>
      </c>
      <c r="F199" s="486">
        <v>230</v>
      </c>
    </row>
    <row r="200" spans="1:6" ht="12.75" customHeight="1">
      <c r="A200" s="486" t="str">
        <f>IF(Fld_Menu_FR="x",Codes!$D200,IF(Fld_Menu_EN="x",Codes!$C200,IF(Fld_Menu_DE="x",Codes!$E200,"N/A")))</f>
        <v>Syrie (République Arabe de)</v>
      </c>
      <c r="B200" s="489" t="s">
        <v>301</v>
      </c>
      <c r="C200" s="490" t="s">
        <v>1165</v>
      </c>
      <c r="D200" s="490" t="s">
        <v>671</v>
      </c>
      <c r="E200" s="490" t="s">
        <v>1157</v>
      </c>
      <c r="F200" s="486">
        <v>231</v>
      </c>
    </row>
    <row r="201" spans="1:6" ht="12.75" customHeight="1">
      <c r="A201" s="486" t="str">
        <f>IF(Fld_Menu_FR="x",Codes!$D201,IF(Fld_Menu_EN="x",Codes!$C201,IF(Fld_Menu_DE="x",Codes!$E201,"N/A")))</f>
        <v>Swazilande</v>
      </c>
      <c r="B201" s="489" t="s">
        <v>302</v>
      </c>
      <c r="C201" s="490" t="s">
        <v>303</v>
      </c>
      <c r="D201" s="490" t="s">
        <v>304</v>
      </c>
      <c r="E201" s="490" t="s">
        <v>303</v>
      </c>
      <c r="F201" s="486">
        <v>232</v>
      </c>
    </row>
    <row r="202" spans="1:6" ht="12.75" customHeight="1">
      <c r="A202" s="486" t="str">
        <f>IF(Fld_Menu_FR="x",Codes!$D202,IF(Fld_Menu_EN="x",Codes!$C202,IF(Fld_Menu_DE="x",Codes!$E202,"N/A")))</f>
        <v>Iles Turques et Caïcos</v>
      </c>
      <c r="B202" s="489" t="s">
        <v>305</v>
      </c>
      <c r="C202" s="490" t="s">
        <v>1166</v>
      </c>
      <c r="D202" s="490" t="s">
        <v>670</v>
      </c>
      <c r="E202" s="490" t="s">
        <v>306</v>
      </c>
      <c r="F202" s="486">
        <v>233</v>
      </c>
    </row>
    <row r="203" spans="1:6" ht="12.75" customHeight="1">
      <c r="A203" s="486" t="str">
        <f>IF(Fld_Menu_FR="x",Codes!$D203,IF(Fld_Menu_EN="x",Codes!$C203,IF(Fld_Menu_DE="x",Codes!$E203,"N/A")))</f>
        <v>Tchad</v>
      </c>
      <c r="B203" s="489" t="s">
        <v>307</v>
      </c>
      <c r="C203" s="490" t="s">
        <v>308</v>
      </c>
      <c r="D203" s="490" t="s">
        <v>309</v>
      </c>
      <c r="E203" s="490" t="s">
        <v>310</v>
      </c>
      <c r="F203" s="486">
        <v>234</v>
      </c>
    </row>
    <row r="204" spans="1:6" ht="12.75" customHeight="1">
      <c r="A204" s="486" t="str">
        <f>IF(Fld_Menu_FR="x",Codes!$D204,IF(Fld_Menu_EN="x",Codes!$C204,IF(Fld_Menu_DE="x",Codes!$E204,"N/A")))</f>
        <v>Territoires Français du Sud</v>
      </c>
      <c r="B204" s="489" t="s">
        <v>311</v>
      </c>
      <c r="C204" s="490" t="s">
        <v>1167</v>
      </c>
      <c r="D204" s="490" t="s">
        <v>669</v>
      </c>
      <c r="E204" s="490" t="s">
        <v>656</v>
      </c>
      <c r="F204" s="486">
        <v>235</v>
      </c>
    </row>
    <row r="205" spans="1:6" ht="12.75" customHeight="1">
      <c r="A205" s="486" t="str">
        <f>IF(Fld_Menu_FR="x",Codes!$D205,IF(Fld_Menu_EN="x",Codes!$C205,IF(Fld_Menu_DE="x",Codes!$E205,"N/A")))</f>
        <v>Togo</v>
      </c>
      <c r="B205" s="489" t="s">
        <v>312</v>
      </c>
      <c r="C205" s="490" t="s">
        <v>313</v>
      </c>
      <c r="D205" s="490" t="s">
        <v>313</v>
      </c>
      <c r="E205" s="490" t="s">
        <v>313</v>
      </c>
      <c r="F205" s="486">
        <v>236</v>
      </c>
    </row>
    <row r="206" spans="1:6" ht="12.75" customHeight="1">
      <c r="A206" s="486" t="str">
        <f>IF(Fld_Menu_FR="x",Codes!$D206,IF(Fld_Menu_EN="x",Codes!$C206,IF(Fld_Menu_DE="x",Codes!$E206,"N/A")))</f>
        <v>Thaïlande</v>
      </c>
      <c r="B206" s="489" t="s">
        <v>314</v>
      </c>
      <c r="C206" s="490" t="s">
        <v>315</v>
      </c>
      <c r="D206" s="490" t="s">
        <v>316</v>
      </c>
      <c r="E206" s="490" t="s">
        <v>315</v>
      </c>
      <c r="F206" s="486">
        <v>237</v>
      </c>
    </row>
    <row r="207" spans="1:6" ht="12.75" customHeight="1">
      <c r="A207" s="486" t="str">
        <f>IF(Fld_Menu_FR="x",Codes!$D207,IF(Fld_Menu_EN="x",Codes!$C207,IF(Fld_Menu_DE="x",Codes!$E207,"N/A")))</f>
        <v>Tadjikistan</v>
      </c>
      <c r="B207" s="489" t="s">
        <v>317</v>
      </c>
      <c r="C207" s="490" t="s">
        <v>318</v>
      </c>
      <c r="D207" s="490" t="s">
        <v>319</v>
      </c>
      <c r="E207" s="490" t="s">
        <v>318</v>
      </c>
      <c r="F207" s="486">
        <v>238</v>
      </c>
    </row>
    <row r="208" spans="1:6" ht="12.75" customHeight="1">
      <c r="A208" s="486" t="str">
        <f>IF(Fld_Menu_FR="x",Codes!$D208,IF(Fld_Menu_EN="x",Codes!$C208,IF(Fld_Menu_DE="x",Codes!$E208,"N/A")))</f>
        <v>Tokelau</v>
      </c>
      <c r="B208" s="489" t="s">
        <v>320</v>
      </c>
      <c r="C208" s="490" t="s">
        <v>2097</v>
      </c>
      <c r="D208" s="490" t="s">
        <v>2097</v>
      </c>
      <c r="E208" s="490" t="s">
        <v>2097</v>
      </c>
      <c r="F208" s="486">
        <v>239</v>
      </c>
    </row>
    <row r="209" spans="1:6" ht="12.75" customHeight="1">
      <c r="A209" s="486" t="str">
        <f>IF(Fld_Menu_FR="x",Codes!$D209,IF(Fld_Menu_EN="x",Codes!$C209,IF(Fld_Menu_DE="x",Codes!$E209,"N/A")))</f>
        <v>Turkménistan</v>
      </c>
      <c r="B209" s="489" t="s">
        <v>2098</v>
      </c>
      <c r="C209" s="490" t="s">
        <v>2099</v>
      </c>
      <c r="D209" s="490" t="s">
        <v>2100</v>
      </c>
      <c r="E209" s="490" t="s">
        <v>2099</v>
      </c>
      <c r="F209" s="486">
        <v>240</v>
      </c>
    </row>
    <row r="210" spans="1:6" ht="12.75" customHeight="1">
      <c r="A210" s="486" t="str">
        <f>IF(Fld_Menu_FR="x",Codes!$D210,IF(Fld_Menu_EN="x",Codes!$C210,IF(Fld_Menu_DE="x",Codes!$E210,"N/A")))</f>
        <v>Tunisie</v>
      </c>
      <c r="B210" s="489" t="s">
        <v>2101</v>
      </c>
      <c r="C210" s="490" t="s">
        <v>2102</v>
      </c>
      <c r="D210" s="490" t="s">
        <v>2103</v>
      </c>
      <c r="E210" s="490" t="s">
        <v>2104</v>
      </c>
      <c r="F210" s="486">
        <v>241</v>
      </c>
    </row>
    <row r="211" spans="1:6" ht="12.75" customHeight="1">
      <c r="A211" s="486" t="str">
        <f>IF(Fld_Menu_FR="x",Codes!$D211,IF(Fld_Menu_EN="x",Codes!$C211,IF(Fld_Menu_DE="x",Codes!$E211,"N/A")))</f>
        <v>Tonga</v>
      </c>
      <c r="B211" s="489" t="s">
        <v>2105</v>
      </c>
      <c r="C211" s="490" t="s">
        <v>2106</v>
      </c>
      <c r="D211" s="490" t="s">
        <v>2106</v>
      </c>
      <c r="E211" s="490" t="s">
        <v>2106</v>
      </c>
      <c r="F211" s="486">
        <v>242</v>
      </c>
    </row>
    <row r="212" spans="1:6" ht="12.75" customHeight="1">
      <c r="A212" s="486" t="str">
        <f>IF(Fld_Menu_FR="x",Codes!$D212,IF(Fld_Menu_EN="x",Codes!$C212,IF(Fld_Menu_DE="x",Codes!$E212,"N/A")))</f>
        <v>Trinité et Tobago</v>
      </c>
      <c r="B212" s="489" t="s">
        <v>2110</v>
      </c>
      <c r="C212" s="490" t="s">
        <v>793</v>
      </c>
      <c r="D212" s="490" t="s">
        <v>958</v>
      </c>
      <c r="E212" s="490" t="s">
        <v>959</v>
      </c>
      <c r="F212" s="486">
        <v>244</v>
      </c>
    </row>
    <row r="213" spans="1:6" ht="12.75" customHeight="1">
      <c r="A213" s="486" t="str">
        <f>IF(Fld_Menu_FR="x",Codes!$D213,IF(Fld_Menu_EN="x",Codes!$C213,IF(Fld_Menu_DE="x",Codes!$E213,"N/A")))</f>
        <v>Tuvalu</v>
      </c>
      <c r="B213" s="489" t="s">
        <v>960</v>
      </c>
      <c r="C213" s="490" t="s">
        <v>961</v>
      </c>
      <c r="D213" s="490" t="s">
        <v>961</v>
      </c>
      <c r="E213" s="490" t="s">
        <v>961</v>
      </c>
      <c r="F213" s="486">
        <v>245</v>
      </c>
    </row>
    <row r="214" spans="1:6" ht="12.75" customHeight="1">
      <c r="A214" s="486" t="str">
        <f>IF(Fld_Menu_FR="x",Codes!$D214,IF(Fld_Menu_EN="x",Codes!$C214,IF(Fld_Menu_DE="x",Codes!$E214,"N/A")))</f>
        <v>Taïwan, Province de Chine</v>
      </c>
      <c r="B214" s="489" t="s">
        <v>962</v>
      </c>
      <c r="C214" s="490" t="s">
        <v>1168</v>
      </c>
      <c r="D214" s="490" t="s">
        <v>668</v>
      </c>
      <c r="E214" s="490" t="s">
        <v>657</v>
      </c>
      <c r="F214" s="486">
        <v>246</v>
      </c>
    </row>
    <row r="215" spans="1:6" ht="12.75" customHeight="1">
      <c r="A215" s="486" t="str">
        <f>IF(Fld_Menu_FR="x",Codes!$D215,IF(Fld_Menu_EN="x",Codes!$C215,IF(Fld_Menu_DE="x",Codes!$E215,"N/A")))</f>
        <v>Tanzanie, République Unie de</v>
      </c>
      <c r="B215" s="489" t="s">
        <v>963</v>
      </c>
      <c r="C215" s="490" t="s">
        <v>1169</v>
      </c>
      <c r="D215" s="490" t="s">
        <v>667</v>
      </c>
      <c r="E215" s="490" t="s">
        <v>658</v>
      </c>
      <c r="F215" s="486">
        <v>247</v>
      </c>
    </row>
    <row r="216" spans="1:6" ht="12.75" customHeight="1">
      <c r="A216" s="486" t="str">
        <f>IF(Fld_Menu_FR="x",Codes!$D216,IF(Fld_Menu_EN="x",Codes!$C216,IF(Fld_Menu_DE="x",Codes!$E216,"N/A")))</f>
        <v>Ukraine</v>
      </c>
      <c r="B216" s="489" t="s">
        <v>964</v>
      </c>
      <c r="C216" s="490" t="s">
        <v>965</v>
      </c>
      <c r="D216" s="490" t="s">
        <v>965</v>
      </c>
      <c r="E216" s="490" t="s">
        <v>965</v>
      </c>
      <c r="F216" s="486">
        <v>248</v>
      </c>
    </row>
    <row r="217" spans="1:6" ht="12.75" customHeight="1">
      <c r="A217" s="486" t="str">
        <f>IF(Fld_Menu_FR="x",Codes!$D217,IF(Fld_Menu_EN="x",Codes!$C217,IF(Fld_Menu_DE="x",Codes!$E217,"N/A")))</f>
        <v>Ouganda</v>
      </c>
      <c r="B217" s="489" t="s">
        <v>966</v>
      </c>
      <c r="C217" s="490" t="s">
        <v>967</v>
      </c>
      <c r="D217" s="490" t="s">
        <v>968</v>
      </c>
      <c r="E217" s="490" t="s">
        <v>967</v>
      </c>
      <c r="F217" s="486">
        <v>249</v>
      </c>
    </row>
    <row r="218" spans="1:6" ht="12.75" customHeight="1">
      <c r="A218" s="486" t="str">
        <f>IF(Fld_Menu_FR="x",Codes!$D218,IF(Fld_Menu_EN="x",Codes!$C218,IF(Fld_Menu_DE="x",Codes!$E218,"N/A")))</f>
        <v>Iles Périphériques Mineures Américaines des Etats-Unis</v>
      </c>
      <c r="B218" s="489" t="s">
        <v>969</v>
      </c>
      <c r="C218" s="490" t="s">
        <v>1170</v>
      </c>
      <c r="D218" s="490" t="s">
        <v>666</v>
      </c>
      <c r="E218" s="490" t="s">
        <v>659</v>
      </c>
      <c r="F218" s="486">
        <v>250</v>
      </c>
    </row>
    <row r="219" spans="1:6" ht="12.75" customHeight="1">
      <c r="A219" s="486" t="str">
        <f>IF(Fld_Menu_FR="x",Codes!$D219,IF(Fld_Menu_EN="x",Codes!$C219,IF(Fld_Menu_DE="x",Codes!$E219,"N/A")))</f>
        <v>Etats Unis</v>
      </c>
      <c r="B219" s="489" t="s">
        <v>970</v>
      </c>
      <c r="C219" s="490" t="s">
        <v>971</v>
      </c>
      <c r="D219" s="490" t="s">
        <v>972</v>
      </c>
      <c r="E219" s="490" t="s">
        <v>660</v>
      </c>
      <c r="F219" s="486">
        <v>251</v>
      </c>
    </row>
    <row r="220" spans="1:6" ht="12.75" customHeight="1">
      <c r="A220" s="486" t="str">
        <f>IF(Fld_Menu_FR="x",Codes!$D220,IF(Fld_Menu_EN="x",Codes!$C220,IF(Fld_Menu_DE="x",Codes!$E220,"N/A")))</f>
        <v>Uruguay</v>
      </c>
      <c r="B220" s="489" t="s">
        <v>973</v>
      </c>
      <c r="C220" s="490" t="s">
        <v>974</v>
      </c>
      <c r="D220" s="490" t="s">
        <v>974</v>
      </c>
      <c r="E220" s="490" t="s">
        <v>974</v>
      </c>
      <c r="F220" s="486">
        <v>252</v>
      </c>
    </row>
    <row r="221" spans="1:6" ht="12.75" customHeight="1">
      <c r="A221" s="486" t="str">
        <f>IF(Fld_Menu_FR="x",Codes!$D221,IF(Fld_Menu_EN="x",Codes!$C221,IF(Fld_Menu_DE="x",Codes!$E221,"N/A")))</f>
        <v>Ouzbekistan</v>
      </c>
      <c r="B221" s="489" t="s">
        <v>975</v>
      </c>
      <c r="C221" s="490" t="s">
        <v>976</v>
      </c>
      <c r="D221" s="490" t="s">
        <v>977</v>
      </c>
      <c r="E221" s="490" t="s">
        <v>978</v>
      </c>
      <c r="F221" s="486">
        <v>253</v>
      </c>
    </row>
    <row r="222" spans="1:6" ht="12.75" customHeight="1">
      <c r="A222" s="486" t="str">
        <f>IF(Fld_Menu_FR="x",Codes!$D222,IF(Fld_Menu_EN="x",Codes!$C222,IF(Fld_Menu_DE="x",Codes!$E222,"N/A")))</f>
        <v>Saint Vincent et Grenadines</v>
      </c>
      <c r="B222" s="489" t="s">
        <v>979</v>
      </c>
      <c r="C222" s="490" t="s">
        <v>980</v>
      </c>
      <c r="D222" s="490" t="s">
        <v>981</v>
      </c>
      <c r="E222" s="490" t="s">
        <v>982</v>
      </c>
      <c r="F222" s="486">
        <v>254</v>
      </c>
    </row>
    <row r="223" spans="1:6" ht="12.75" customHeight="1">
      <c r="A223" s="486" t="str">
        <f>IF(Fld_Menu_FR="x",Codes!$D223,IF(Fld_Menu_EN="x",Codes!$C223,IF(Fld_Menu_DE="x",Codes!$E223,"N/A")))</f>
        <v>Vénézuela</v>
      </c>
      <c r="B223" s="489" t="s">
        <v>983</v>
      </c>
      <c r="C223" s="490" t="s">
        <v>984</v>
      </c>
      <c r="D223" s="490" t="s">
        <v>985</v>
      </c>
      <c r="E223" s="490" t="s">
        <v>984</v>
      </c>
      <c r="F223" s="486">
        <v>255</v>
      </c>
    </row>
    <row r="224" spans="1:6" ht="12.75" customHeight="1">
      <c r="A224" s="486" t="str">
        <f>IF(Fld_Menu_FR="x",Codes!$D224,IF(Fld_Menu_EN="x",Codes!$C224,IF(Fld_Menu_DE="x",Codes!$E224,"N/A")))</f>
        <v>Iles Vierges (anglaises)</v>
      </c>
      <c r="B224" s="489" t="s">
        <v>986</v>
      </c>
      <c r="C224" s="490" t="s">
        <v>1171</v>
      </c>
      <c r="D224" s="490" t="s">
        <v>987</v>
      </c>
      <c r="E224" s="490" t="s">
        <v>661</v>
      </c>
      <c r="F224" s="486">
        <v>256</v>
      </c>
    </row>
    <row r="225" spans="1:6" ht="12.75" customHeight="1">
      <c r="A225" s="486" t="str">
        <f>IF(Fld_Menu_FR="x",Codes!$D225,IF(Fld_Menu_EN="x",Codes!$C225,IF(Fld_Menu_DE="x",Codes!$E225,"N/A")))</f>
        <v>Iles Vierges (US)</v>
      </c>
      <c r="B225" s="489" t="s">
        <v>988</v>
      </c>
      <c r="C225" s="490" t="s">
        <v>1172</v>
      </c>
      <c r="D225" s="490" t="s">
        <v>989</v>
      </c>
      <c r="E225" s="490" t="s">
        <v>662</v>
      </c>
      <c r="F225" s="486">
        <v>257</v>
      </c>
    </row>
    <row r="226" spans="1:6" ht="12.75" customHeight="1">
      <c r="A226" s="486" t="str">
        <f>IF(Fld_Menu_FR="x",Codes!$D226,IF(Fld_Menu_EN="x",Codes!$C226,IF(Fld_Menu_DE="x",Codes!$E226,"N/A")))</f>
        <v>Viet Nam</v>
      </c>
      <c r="B226" s="489" t="s">
        <v>990</v>
      </c>
      <c r="C226" s="490" t="s">
        <v>991</v>
      </c>
      <c r="D226" s="490" t="s">
        <v>991</v>
      </c>
      <c r="E226" s="490" t="s">
        <v>992</v>
      </c>
      <c r="F226" s="486">
        <v>258</v>
      </c>
    </row>
    <row r="227" spans="1:6" ht="12.75" customHeight="1">
      <c r="A227" s="486" t="str">
        <f>IF(Fld_Menu_FR="x",Codes!$D227,IF(Fld_Menu_EN="x",Codes!$C227,IF(Fld_Menu_DE="x",Codes!$E227,"N/A")))</f>
        <v>Vanuatu</v>
      </c>
      <c r="B227" s="489" t="s">
        <v>993</v>
      </c>
      <c r="C227" s="490" t="s">
        <v>994</v>
      </c>
      <c r="D227" s="490" t="s">
        <v>994</v>
      </c>
      <c r="E227" s="490" t="s">
        <v>994</v>
      </c>
      <c r="F227" s="486">
        <v>259</v>
      </c>
    </row>
    <row r="228" spans="1:6" ht="12.75" customHeight="1">
      <c r="A228" s="486" t="str">
        <f>IF(Fld_Menu_FR="x",Codes!$D228,IF(Fld_Menu_EN="x",Codes!$C228,IF(Fld_Menu_DE="x",Codes!$E228,"N/A")))</f>
        <v>Iles Wallis et Futuna</v>
      </c>
      <c r="B228" s="489" t="s">
        <v>995</v>
      </c>
      <c r="C228" s="490" t="s">
        <v>1173</v>
      </c>
      <c r="D228" s="490" t="s">
        <v>996</v>
      </c>
      <c r="E228" s="490" t="s">
        <v>663</v>
      </c>
      <c r="F228" s="486">
        <v>260</v>
      </c>
    </row>
    <row r="229" spans="1:6" ht="12.75" customHeight="1">
      <c r="A229" s="486" t="str">
        <f>IF(Fld_Menu_FR="x",Codes!$D229,IF(Fld_Menu_EN="x",Codes!$C229,IF(Fld_Menu_DE="x",Codes!$E229,"N/A")))</f>
        <v>Samoa Occidentales</v>
      </c>
      <c r="B229" s="489" t="s">
        <v>997</v>
      </c>
      <c r="C229" s="490" t="s">
        <v>998</v>
      </c>
      <c r="D229" s="490" t="s">
        <v>665</v>
      </c>
      <c r="E229" s="490" t="s">
        <v>664</v>
      </c>
      <c r="F229" s="486">
        <v>261</v>
      </c>
    </row>
    <row r="230" spans="1:6" ht="12.75" customHeight="1">
      <c r="A230" s="486" t="str">
        <f>IF(Fld_Menu_FR="x",Codes!$D230,IF(Fld_Menu_EN="x",Codes!$C230,IF(Fld_Menu_DE="x",Codes!$E230,"N/A")))</f>
        <v>Yemen</v>
      </c>
      <c r="B230" s="489" t="s">
        <v>999</v>
      </c>
      <c r="C230" s="490" t="s">
        <v>1000</v>
      </c>
      <c r="D230" s="490" t="s">
        <v>1000</v>
      </c>
      <c r="E230" s="490" t="s">
        <v>1000</v>
      </c>
      <c r="F230" s="486">
        <v>262</v>
      </c>
    </row>
    <row r="231" spans="1:6" ht="12.75" customHeight="1">
      <c r="A231" s="486" t="str">
        <f>IF(Fld_Menu_FR="x",Codes!$D231,IF(Fld_Menu_EN="x",Codes!$C231,IF(Fld_Menu_DE="x",Codes!$E231,"N/A")))</f>
        <v>Mayotte</v>
      </c>
      <c r="B231" s="489" t="s">
        <v>1001</v>
      </c>
      <c r="C231" s="490" t="s">
        <v>1002</v>
      </c>
      <c r="D231" s="490" t="s">
        <v>1002</v>
      </c>
      <c r="E231" s="490" t="s">
        <v>1002</v>
      </c>
      <c r="F231" s="486">
        <v>263</v>
      </c>
    </row>
    <row r="232" spans="1:6" ht="12.75" customHeight="1">
      <c r="A232" s="486" t="str">
        <f>IF(Fld_Menu_FR="x",Codes!$D232,IF(Fld_Menu_EN="x",Codes!$C232,IF(Fld_Menu_DE="x",Codes!$E232,"N/A")))</f>
        <v>Yougoslavie</v>
      </c>
      <c r="B232" s="489" t="s">
        <v>1003</v>
      </c>
      <c r="C232" s="490" t="s">
        <v>1004</v>
      </c>
      <c r="D232" s="490" t="s">
        <v>1005</v>
      </c>
      <c r="E232" s="490" t="s">
        <v>1006</v>
      </c>
      <c r="F232" s="486">
        <v>264</v>
      </c>
    </row>
    <row r="233" spans="1:6" ht="12.75" customHeight="1">
      <c r="A233" s="486" t="str">
        <f>IF(Fld_Menu_FR="x",Codes!$D233,IF(Fld_Menu_EN="x",Codes!$C233,IF(Fld_Menu_DE="x",Codes!$E233,"N/A")))</f>
        <v>Afrique de Sud</v>
      </c>
      <c r="B233" s="489" t="s">
        <v>1007</v>
      </c>
      <c r="C233" s="490" t="s">
        <v>1008</v>
      </c>
      <c r="D233" s="490" t="s">
        <v>1009</v>
      </c>
      <c r="E233" s="490" t="s">
        <v>1010</v>
      </c>
      <c r="F233" s="486">
        <v>265</v>
      </c>
    </row>
    <row r="234" spans="1:6" ht="12.75" customHeight="1">
      <c r="A234" s="486" t="str">
        <f>IF(Fld_Menu_FR="x",Codes!$D234,IF(Fld_Menu_EN="x",Codes!$C234,IF(Fld_Menu_DE="x",Codes!$E234,"N/A")))</f>
        <v>Zambie</v>
      </c>
      <c r="B234" s="489" t="s">
        <v>1011</v>
      </c>
      <c r="C234" s="490" t="s">
        <v>1012</v>
      </c>
      <c r="D234" s="490" t="s">
        <v>1013</v>
      </c>
      <c r="E234" s="490" t="s">
        <v>1014</v>
      </c>
      <c r="F234" s="486">
        <v>266</v>
      </c>
    </row>
    <row r="235" spans="1:6" ht="12.75" customHeight="1">
      <c r="A235" s="486" t="str">
        <f>IF(Fld_Menu_FR="x",Codes!$D235,IF(Fld_Menu_EN="x",Codes!$C235,IF(Fld_Menu_DE="x",Codes!$E235,"N/A")))</f>
        <v>Zaïre</v>
      </c>
      <c r="B235" s="489" t="s">
        <v>1015</v>
      </c>
      <c r="C235" s="490" t="s">
        <v>1016</v>
      </c>
      <c r="D235" s="490" t="s">
        <v>1016</v>
      </c>
      <c r="E235" s="490" t="s">
        <v>1016</v>
      </c>
      <c r="F235" s="486">
        <v>267</v>
      </c>
    </row>
    <row r="236" spans="1:6" ht="12.75">
      <c r="A236" s="486" t="str">
        <f>IF(Fld_Menu_FR="x",Codes!$D236,IF(Fld_Menu_EN="x",Codes!$C236,IF(Fld_Menu_DE="x",Codes!$E236,"N/A")))</f>
        <v>Zimbabwe</v>
      </c>
      <c r="B236" s="489" t="s">
        <v>1017</v>
      </c>
      <c r="C236" s="490" t="s">
        <v>1018</v>
      </c>
      <c r="D236" s="490" t="s">
        <v>1018</v>
      </c>
      <c r="E236" s="490" t="s">
        <v>1018</v>
      </c>
      <c r="F236" s="486">
        <v>268</v>
      </c>
    </row>
    <row r="237" spans="2:4" ht="12.75" customHeight="1">
      <c r="B237" s="492"/>
      <c r="D237" s="493"/>
    </row>
    <row r="238" spans="2:4" ht="12.75" customHeight="1">
      <c r="B238" s="492"/>
      <c r="D238" s="493"/>
    </row>
    <row r="239" spans="1:5" ht="12.75" customHeight="1">
      <c r="A239" s="484"/>
      <c r="B239" s="494"/>
      <c r="C239" s="485" t="s">
        <v>1019</v>
      </c>
      <c r="D239" s="485" t="s">
        <v>1020</v>
      </c>
      <c r="E239" s="485" t="s">
        <v>1021</v>
      </c>
    </row>
    <row r="240" spans="1:5" ht="12.75" customHeight="1">
      <c r="A240" s="486" t="str">
        <f>IF(Fld_Menu_FR="x",Codes!$D240,IF(Fld_Menu_EN="x",Codes!$C240,IF(Fld_Menu_DE="x",Codes!$E240,"N/A")))</f>
        <v>Dott.</v>
      </c>
      <c r="B240" s="492"/>
      <c r="C240" s="490" t="s">
        <v>1022</v>
      </c>
      <c r="D240" s="490" t="s">
        <v>1022</v>
      </c>
      <c r="E240" s="490" t="s">
        <v>1022</v>
      </c>
    </row>
    <row r="241" spans="1:5" ht="12.75" customHeight="1">
      <c r="A241" s="486" t="str">
        <f>IF(Fld_Menu_FR="x",Codes!$D241,IF(Fld_Menu_EN="x",Codes!$C241,IF(Fld_Menu_DE="x",Codes!$E241,"N/A")))</f>
        <v>Dott.ssa</v>
      </c>
      <c r="B241" s="492"/>
      <c r="C241" s="490" t="s">
        <v>1023</v>
      </c>
      <c r="D241" s="490" t="s">
        <v>1023</v>
      </c>
      <c r="E241" s="490" t="s">
        <v>1023</v>
      </c>
    </row>
    <row r="242" spans="1:5" ht="12.75">
      <c r="A242" s="486" t="str">
        <f>IF(Fld_Menu_FR="x",Codes!$D242,IF(Fld_Menu_EN="x",Codes!$C242,IF(Fld_Menu_DE="x",Codes!$E242,"N/A")))</f>
        <v>Dr.</v>
      </c>
      <c r="C242" s="490" t="s">
        <v>1024</v>
      </c>
      <c r="D242" s="490" t="s">
        <v>1024</v>
      </c>
      <c r="E242" s="490" t="s">
        <v>1024</v>
      </c>
    </row>
    <row r="243" spans="1:5" ht="12.75">
      <c r="A243" s="486" t="str">
        <f>IF(Fld_Menu_FR="x",Codes!$D243,IF(Fld_Menu_EN="x",Codes!$C243,IF(Fld_Menu_DE="x",Codes!$E243,"N/A")))</f>
        <v>Dr. Dra.</v>
      </c>
      <c r="C243" s="490" t="s">
        <v>1025</v>
      </c>
      <c r="D243" s="490" t="s">
        <v>1025</v>
      </c>
      <c r="E243" s="490" t="s">
        <v>1025</v>
      </c>
    </row>
    <row r="244" spans="1:5" ht="12.75">
      <c r="A244" s="486" t="str">
        <f>IF(Fld_Menu_FR="x",Codes!$D244,IF(Fld_Menu_EN="x",Codes!$C244,IF(Fld_Menu_DE="x",Codes!$E244,"N/A")))</f>
        <v>Exma. Senhora</v>
      </c>
      <c r="C244" s="490" t="s">
        <v>1026</v>
      </c>
      <c r="D244" s="490" t="s">
        <v>1026</v>
      </c>
      <c r="E244" s="490" t="s">
        <v>1026</v>
      </c>
    </row>
    <row r="245" spans="1:5" ht="12.75">
      <c r="A245" s="486" t="str">
        <f>IF(Fld_Menu_FR="x",Codes!$D245,IF(Fld_Menu_EN="x",Codes!$C245,IF(Fld_Menu_DE="x",Codes!$E245,"N/A")))</f>
        <v>Exmo. Senhor</v>
      </c>
      <c r="C245" s="490" t="s">
        <v>1027</v>
      </c>
      <c r="D245" s="490" t="s">
        <v>1027</v>
      </c>
      <c r="E245" s="490" t="s">
        <v>1027</v>
      </c>
    </row>
    <row r="246" spans="1:5" ht="12.75">
      <c r="A246" s="486" t="str">
        <f>IF(Fld_Menu_FR="x",Codes!$D246,IF(Fld_Menu_EN="x",Codes!$C246,IF(Fld_Menu_DE="x",Codes!$E246,"N/A")))</f>
        <v>Frau</v>
      </c>
      <c r="C246" s="490" t="s">
        <v>1028</v>
      </c>
      <c r="D246" s="490" t="s">
        <v>1028</v>
      </c>
      <c r="E246" s="490" t="s">
        <v>1028</v>
      </c>
    </row>
    <row r="247" spans="1:5" ht="12.75">
      <c r="A247" s="486" t="str">
        <f>IF(Fld_Menu_FR="x",Codes!$D247,IF(Fld_Menu_EN="x",Codes!$C247,IF(Fld_Menu_DE="x",Codes!$E247,"N/A")))</f>
        <v>Fru</v>
      </c>
      <c r="C247" s="490" t="s">
        <v>1029</v>
      </c>
      <c r="D247" s="490" t="s">
        <v>1029</v>
      </c>
      <c r="E247" s="490" t="s">
        <v>1029</v>
      </c>
    </row>
    <row r="248" spans="1:5" ht="12.75">
      <c r="A248" s="486" t="str">
        <f>IF(Fld_Menu_FR="x",Codes!$D248,IF(Fld_Menu_EN="x",Codes!$C248,IF(Fld_Menu_DE="x",Codes!$E248,"N/A")))</f>
        <v>Herr</v>
      </c>
      <c r="C248" s="490" t="s">
        <v>1030</v>
      </c>
      <c r="D248" s="490" t="s">
        <v>1030</v>
      </c>
      <c r="E248" s="490" t="s">
        <v>1030</v>
      </c>
    </row>
    <row r="249" spans="1:5" ht="12.75">
      <c r="A249" s="486" t="str">
        <f>IF(Fld_Menu_FR="x",Codes!$D249,IF(Fld_Menu_EN="x",Codes!$C249,IF(Fld_Menu_DE="x",Codes!$E249,"N/A")))</f>
        <v>M.</v>
      </c>
      <c r="C249" s="490" t="s">
        <v>1031</v>
      </c>
      <c r="D249" s="490" t="s">
        <v>1031</v>
      </c>
      <c r="E249" s="490" t="s">
        <v>1031</v>
      </c>
    </row>
    <row r="250" spans="1:5" ht="12.75">
      <c r="A250" s="486" t="str">
        <f>IF(Fld_Menu_FR="x",Codes!$D250,IF(Fld_Menu_EN="x",Codes!$C250,IF(Fld_Menu_DE="x",Codes!$E250,"N/A")))</f>
        <v>Madame</v>
      </c>
      <c r="C250" s="490" t="s">
        <v>1032</v>
      </c>
      <c r="D250" s="490" t="s">
        <v>1032</v>
      </c>
      <c r="E250" s="490" t="s">
        <v>1032</v>
      </c>
    </row>
    <row r="251" spans="1:5" ht="12.75">
      <c r="A251" s="486" t="str">
        <f>IF(Fld_Menu_FR="x",Codes!$D251,IF(Fld_Menu_EN="x",Codes!$C251,IF(Fld_Menu_DE="x",Codes!$E251,"N/A")))</f>
        <v>Mevrouw</v>
      </c>
      <c r="C251" s="490" t="s">
        <v>1033</v>
      </c>
      <c r="D251" s="490" t="s">
        <v>1033</v>
      </c>
      <c r="E251" s="490" t="s">
        <v>1033</v>
      </c>
    </row>
    <row r="252" spans="1:5" ht="12.75">
      <c r="A252" s="486" t="str">
        <f>IF(Fld_Menu_FR="x",Codes!$D252,IF(Fld_Menu_EN="x",Codes!$C252,IF(Fld_Menu_DE="x",Codes!$E252,"N/A")))</f>
        <v>Mijnheer</v>
      </c>
      <c r="C252" s="490" t="s">
        <v>1034</v>
      </c>
      <c r="D252" s="490" t="s">
        <v>1034</v>
      </c>
      <c r="E252" s="490" t="s">
        <v>1034</v>
      </c>
    </row>
    <row r="253" spans="1:5" ht="12.75">
      <c r="A253" s="486" t="str">
        <f>IF(Fld_Menu_FR="x",Codes!$D253,IF(Fld_Menu_EN="x",Codes!$C253,IF(Fld_Menu_DE="x",Codes!$E253,"N/A")))</f>
        <v>Mme</v>
      </c>
      <c r="C253" s="490" t="s">
        <v>206</v>
      </c>
      <c r="D253" s="490" t="s">
        <v>206</v>
      </c>
      <c r="E253" s="490" t="s">
        <v>206</v>
      </c>
    </row>
    <row r="254" spans="1:5" ht="12.75">
      <c r="A254" s="486" t="str">
        <f>IF(Fld_Menu_FR="x",Codes!$D254,IF(Fld_Menu_EN="x",Codes!$C254,IF(Fld_Menu_DE="x",Codes!$E254,"N/A")))</f>
        <v>Monsieur</v>
      </c>
      <c r="C254" s="490" t="s">
        <v>772</v>
      </c>
      <c r="D254" s="490" t="s">
        <v>772</v>
      </c>
      <c r="E254" s="490" t="s">
        <v>772</v>
      </c>
    </row>
    <row r="255" spans="1:5" ht="12.75">
      <c r="A255" s="486" t="str">
        <f>IF(Fld_Menu_FR="x",Codes!$D255,IF(Fld_Menu_EN="x",Codes!$C255,IF(Fld_Menu_DE="x",Codes!$E255,"N/A")))</f>
        <v>Mr.</v>
      </c>
      <c r="C255" s="490" t="s">
        <v>207</v>
      </c>
      <c r="D255" s="490" t="s">
        <v>207</v>
      </c>
      <c r="E255" s="490" t="s">
        <v>207</v>
      </c>
    </row>
    <row r="256" spans="1:5" ht="12.75">
      <c r="A256" s="486" t="str">
        <f>IF(Fld_Menu_FR="x",Codes!$D256,IF(Fld_Menu_EN="x",Codes!$C256,IF(Fld_Menu_DE="x",Codes!$E256,"N/A")))</f>
        <v>Ms.</v>
      </c>
      <c r="C256" s="490" t="s">
        <v>208</v>
      </c>
      <c r="D256" s="490" t="s">
        <v>208</v>
      </c>
      <c r="E256" s="490" t="s">
        <v>208</v>
      </c>
    </row>
    <row r="257" spans="1:5" ht="12.75">
      <c r="A257" s="486" t="str">
        <f>IF(Fld_Menu_FR="x",Codes!$D257,IF(Fld_Menu_EN="x",Codes!$C257,IF(Fld_Menu_DE="x",Codes!$E257,"N/A")))</f>
        <v>Pr. Dra.</v>
      </c>
      <c r="C257" s="490" t="s">
        <v>209</v>
      </c>
      <c r="D257" s="490" t="s">
        <v>209</v>
      </c>
      <c r="E257" s="490" t="s">
        <v>209</v>
      </c>
    </row>
    <row r="258" spans="1:5" ht="12.75">
      <c r="A258" s="486" t="str">
        <f>IF(Fld_Menu_FR="x",Codes!$D258,IF(Fld_Menu_EN="x",Codes!$C258,IF(Fld_Menu_DE="x",Codes!$E258,"N/A")))</f>
        <v>Prof.</v>
      </c>
      <c r="C258" s="490" t="s">
        <v>210</v>
      </c>
      <c r="D258" s="490" t="s">
        <v>210</v>
      </c>
      <c r="E258" s="490" t="s">
        <v>210</v>
      </c>
    </row>
    <row r="259" spans="1:5" ht="12.75">
      <c r="A259" s="486" t="str">
        <f>IF(Fld_Menu_FR="x",Codes!$D259,IF(Fld_Menu_EN="x",Codes!$C259,IF(Fld_Menu_DE="x",Codes!$E259,"N/A")))</f>
        <v>Prof.ssa</v>
      </c>
      <c r="C259" s="490" t="s">
        <v>211</v>
      </c>
      <c r="D259" s="490" t="s">
        <v>211</v>
      </c>
      <c r="E259" s="490" t="s">
        <v>211</v>
      </c>
    </row>
    <row r="260" spans="1:5" ht="12.75">
      <c r="A260" s="486" t="str">
        <f>IF(Fld_Menu_FR="x",Codes!$D260,IF(Fld_Menu_EN="x",Codes!$C260,IF(Fld_Menu_DE="x",Codes!$E260,"N/A")))</f>
        <v>Professor</v>
      </c>
      <c r="C260" s="490" t="s">
        <v>212</v>
      </c>
      <c r="D260" s="490" t="s">
        <v>212</v>
      </c>
      <c r="E260" s="490" t="s">
        <v>212</v>
      </c>
    </row>
    <row r="261" spans="1:5" ht="12.75">
      <c r="A261" s="486" t="str">
        <f>IF(Fld_Menu_FR="x",Codes!$D261,IF(Fld_Menu_EN="x",Codes!$C261,IF(Fld_Menu_DE="x",Codes!$E261,"N/A")))</f>
        <v>Professora</v>
      </c>
      <c r="C261" s="490" t="s">
        <v>213</v>
      </c>
      <c r="D261" s="490" t="s">
        <v>213</v>
      </c>
      <c r="E261" s="490" t="s">
        <v>213</v>
      </c>
    </row>
    <row r="262" spans="1:5" ht="12.75">
      <c r="A262" s="486" t="str">
        <f>IF(Fld_Menu_FR="x",Codes!$D262,IF(Fld_Menu_EN="x",Codes!$C262,IF(Fld_Menu_DE="x",Codes!$E262,"N/A")))</f>
        <v>Sig.</v>
      </c>
      <c r="C262" s="490" t="s">
        <v>214</v>
      </c>
      <c r="D262" s="490" t="s">
        <v>214</v>
      </c>
      <c r="E262" s="490" t="s">
        <v>214</v>
      </c>
    </row>
    <row r="263" spans="1:5" ht="12.75">
      <c r="A263" s="486" t="str">
        <f>IF(Fld_Menu_FR="x",Codes!$D263,IF(Fld_Menu_EN="x",Codes!$C263,IF(Fld_Menu_DE="x",Codes!$E263,"N/A")))</f>
        <v>Sig.ra</v>
      </c>
      <c r="C263" s="490" t="s">
        <v>215</v>
      </c>
      <c r="D263" s="490" t="s">
        <v>215</v>
      </c>
      <c r="E263" s="490" t="s">
        <v>215</v>
      </c>
    </row>
    <row r="264" spans="1:5" ht="12.75">
      <c r="A264" s="486" t="str">
        <f>IF(Fld_Menu_FR="x",Codes!$D264,IF(Fld_Menu_EN="x",Codes!$C264,IF(Fld_Menu_DE="x",Codes!$E264,"N/A")))</f>
        <v>Sr.</v>
      </c>
      <c r="C264" s="490" t="s">
        <v>216</v>
      </c>
      <c r="D264" s="490" t="s">
        <v>216</v>
      </c>
      <c r="E264" s="490" t="s">
        <v>216</v>
      </c>
    </row>
    <row r="265" spans="1:5" ht="12.75">
      <c r="A265" s="486" t="str">
        <f>IF(Fld_Menu_FR="x",Codes!$D265,IF(Fld_Menu_EN="x",Codes!$C265,IF(Fld_Menu_DE="x",Codes!$E265,"N/A")))</f>
        <v>Sra.</v>
      </c>
      <c r="C265" s="490" t="s">
        <v>217</v>
      </c>
      <c r="D265" s="490" t="s">
        <v>217</v>
      </c>
      <c r="E265" s="490" t="s">
        <v>217</v>
      </c>
    </row>
    <row r="266" spans="3:5" ht="12.75">
      <c r="C266" s="490"/>
      <c r="E266" s="490"/>
    </row>
    <row r="267" spans="3:5" ht="12.75">
      <c r="C267" s="490"/>
      <c r="E267" s="490"/>
    </row>
    <row r="268" spans="3:5" ht="12.75">
      <c r="C268" s="490"/>
      <c r="E268" s="490"/>
    </row>
    <row r="269" spans="3:5" ht="12.75">
      <c r="C269" s="490"/>
      <c r="E269" s="490"/>
    </row>
    <row r="270" spans="3:5" ht="12.75">
      <c r="C270" s="490"/>
      <c r="E270" s="490"/>
    </row>
    <row r="271" spans="3:5" ht="12.75">
      <c r="C271" s="490"/>
      <c r="E271" s="490"/>
    </row>
    <row r="272" spans="3:5" ht="12.75">
      <c r="C272" s="490"/>
      <c r="E272" s="490"/>
    </row>
    <row r="273" spans="3:5" ht="12.75">
      <c r="C273" s="490"/>
      <c r="E273" s="490"/>
    </row>
    <row r="274" spans="3:5" ht="12.75">
      <c r="C274" s="490"/>
      <c r="E274" s="490"/>
    </row>
    <row r="275" spans="3:5" ht="12.75">
      <c r="C275" s="490"/>
      <c r="E275" s="490"/>
    </row>
    <row r="277" spans="1:5" ht="12.75">
      <c r="A277" s="484"/>
      <c r="B277" s="496"/>
      <c r="C277" s="485" t="s">
        <v>221</v>
      </c>
      <c r="D277" s="485" t="s">
        <v>222</v>
      </c>
      <c r="E277" s="485" t="s">
        <v>223</v>
      </c>
    </row>
    <row r="278" spans="1:5" ht="12.75">
      <c r="A278" s="486" t="str">
        <f>IF(Fld_Menu_FR="x",Codes!$D278,IF(Fld_Menu_EN="x",Codes!$C278,IF(Fld_Menu_DE="x",Codes!$E278,"N/A")))</f>
        <v>Masculin</v>
      </c>
      <c r="B278" s="495" t="s">
        <v>686</v>
      </c>
      <c r="C278" s="490" t="s">
        <v>1709</v>
      </c>
      <c r="D278" s="490" t="s">
        <v>1711</v>
      </c>
      <c r="E278" s="490" t="s">
        <v>1713</v>
      </c>
    </row>
    <row r="279" spans="1:5" ht="12.75">
      <c r="A279" s="486" t="str">
        <f>IF(Fld_Menu_FR="x",Codes!$D279,IF(Fld_Menu_EN="x",Codes!$C279,IF(Fld_Menu_DE="x",Codes!$E279,"N/A")))</f>
        <v>Féminin</v>
      </c>
      <c r="B279" s="495" t="s">
        <v>687</v>
      </c>
      <c r="C279" s="490" t="s">
        <v>1710</v>
      </c>
      <c r="D279" s="490" t="s">
        <v>1712</v>
      </c>
      <c r="E279" s="490" t="s">
        <v>1714</v>
      </c>
    </row>
    <row r="281" spans="3:5" ht="12.75">
      <c r="C281" s="490"/>
      <c r="D281" s="490"/>
      <c r="E281" s="490"/>
    </row>
    <row r="283" spans="1:5" ht="12.75">
      <c r="A283" s="484"/>
      <c r="B283" s="485" t="s">
        <v>225</v>
      </c>
      <c r="C283" s="497" t="s">
        <v>226</v>
      </c>
      <c r="D283" s="497" t="s">
        <v>227</v>
      </c>
      <c r="E283" s="497" t="s">
        <v>228</v>
      </c>
    </row>
    <row r="284" spans="1:5" ht="12.75" customHeight="1">
      <c r="A284" s="486" t="str">
        <f>IF(Fld_Menu_FR="x",Codes!$D284,IF(Fld_Menu_EN="x",Codes!$C284,IF(Fld_Menu_DE="x",Codes!$E284,"N/A")))</f>
        <v>Organisation Non Gouvernementale</v>
      </c>
      <c r="B284" s="498" t="s">
        <v>229</v>
      </c>
      <c r="C284" s="499" t="s">
        <v>1715</v>
      </c>
      <c r="D284" s="500" t="s">
        <v>1736</v>
      </c>
      <c r="E284" s="499" t="s">
        <v>1517</v>
      </c>
    </row>
    <row r="285" spans="1:5" ht="12.75" customHeight="1">
      <c r="A285" s="486" t="str">
        <f>IF(Fld_Menu_FR="x",Codes!$D285,IF(Fld_Menu_EN="x",Codes!$C285,IF(Fld_Menu_DE="x",Codes!$E285,"N/A")))</f>
        <v>Organisation Européenne Non Gouvernementale</v>
      </c>
      <c r="B285" s="498" t="s">
        <v>1059</v>
      </c>
      <c r="C285" s="499" t="s">
        <v>1716</v>
      </c>
      <c r="D285" s="500" t="s">
        <v>1737</v>
      </c>
      <c r="E285" s="499" t="s">
        <v>1518</v>
      </c>
    </row>
    <row r="286" spans="1:5" ht="12.75" customHeight="1">
      <c r="A286" s="486" t="str">
        <f>IF(Fld_Menu_FR="x",Codes!$D286,IF(Fld_Menu_EN="x",Codes!$C286,IF(Fld_Menu_DE="x",Codes!$E286,"N/A")))</f>
        <v>Organisation patronale</v>
      </c>
      <c r="B286" s="498" t="s">
        <v>1060</v>
      </c>
      <c r="C286" s="499" t="s">
        <v>1717</v>
      </c>
      <c r="D286" s="500" t="s">
        <v>1735</v>
      </c>
      <c r="E286" s="499" t="s">
        <v>1519</v>
      </c>
    </row>
    <row r="287" spans="1:5" ht="12.75" customHeight="1">
      <c r="A287" s="486" t="str">
        <f>IF(Fld_Menu_FR="x",Codes!$D287,IF(Fld_Menu_EN="x",Codes!$C287,IF(Fld_Menu_DE="x",Codes!$E287,"N/A")))</f>
        <v>Organisation syndicale</v>
      </c>
      <c r="B287" s="498" t="s">
        <v>1061</v>
      </c>
      <c r="C287" s="499" t="s">
        <v>1718</v>
      </c>
      <c r="D287" s="500" t="s">
        <v>1734</v>
      </c>
      <c r="E287" s="499" t="s">
        <v>1520</v>
      </c>
    </row>
    <row r="288" spans="1:5" ht="12.75" customHeight="1">
      <c r="A288" s="486" t="str">
        <f>IF(Fld_Menu_FR="x",Codes!$D288,IF(Fld_Menu_EN="x",Codes!$C288,IF(Fld_Menu_DE="x",Codes!$E288,"N/A")))</f>
        <v>Société publique</v>
      </c>
      <c r="B288" s="498" t="s">
        <v>1062</v>
      </c>
      <c r="C288" s="499" t="s">
        <v>1719</v>
      </c>
      <c r="D288" s="499" t="s">
        <v>1733</v>
      </c>
      <c r="E288" s="499" t="s">
        <v>1744</v>
      </c>
    </row>
    <row r="289" spans="1:5" ht="12.75" customHeight="1">
      <c r="A289" s="486" t="str">
        <f>IF(Fld_Menu_FR="x",Codes!$D289,IF(Fld_Menu_EN="x",Codes!$C289,IF(Fld_Menu_DE="x",Codes!$E289,"N/A")))</f>
        <v>Société privée à but lucratif</v>
      </c>
      <c r="B289" s="498" t="s">
        <v>1698</v>
      </c>
      <c r="C289" s="500" t="s">
        <v>1720</v>
      </c>
      <c r="D289" s="499" t="s">
        <v>1732</v>
      </c>
      <c r="E289" s="499" t="s">
        <v>1743</v>
      </c>
    </row>
    <row r="290" spans="1:5" ht="12.75" customHeight="1">
      <c r="A290" s="486" t="str">
        <f>IF(Fld_Menu_FR="x",Codes!$D290,IF(Fld_Menu_EN="x",Codes!$C290,IF(Fld_Menu_DE="x",Codes!$E290,"N/A")))</f>
        <v>Société privée à but non lucratif</v>
      </c>
      <c r="B290" s="498" t="s">
        <v>1699</v>
      </c>
      <c r="C290" s="500" t="s">
        <v>1721</v>
      </c>
      <c r="D290" s="499" t="s">
        <v>1731</v>
      </c>
      <c r="E290" s="499" t="s">
        <v>1742</v>
      </c>
    </row>
    <row r="291" spans="1:5" ht="12.75" customHeight="1">
      <c r="A291" s="486" t="str">
        <f>IF(Fld_Menu_FR="x",Codes!$D291,IF(Fld_Menu_EN="x",Codes!$C291,IF(Fld_Menu_DE="x",Codes!$E291,"N/A")))</f>
        <v>Autorité régionale</v>
      </c>
      <c r="B291" s="498" t="s">
        <v>1063</v>
      </c>
      <c r="C291" s="500" t="s">
        <v>1722</v>
      </c>
      <c r="D291" s="499" t="s">
        <v>781</v>
      </c>
      <c r="E291" s="499" t="s">
        <v>1741</v>
      </c>
    </row>
    <row r="292" spans="1:5" ht="12.75" customHeight="1">
      <c r="A292" s="486" t="str">
        <f>IF(Fld_Menu_FR="x",Codes!$D292,IF(Fld_Menu_EN="x",Codes!$C292,IF(Fld_Menu_DE="x",Codes!$E292,"N/A")))</f>
        <v>Autorité nationale</v>
      </c>
      <c r="B292" s="498" t="s">
        <v>1064</v>
      </c>
      <c r="C292" s="500" t="s">
        <v>1723</v>
      </c>
      <c r="D292" s="499" t="s">
        <v>782</v>
      </c>
      <c r="E292" s="499" t="s">
        <v>1740</v>
      </c>
    </row>
    <row r="293" spans="1:5" ht="12.75" customHeight="1">
      <c r="A293" s="486" t="str">
        <f>IF(Fld_Menu_FR="x",Codes!$D293,IF(Fld_Menu_EN="x",Codes!$C293,IF(Fld_Menu_DE="x",Codes!$E293,"N/A")))</f>
        <v>Autorité locale</v>
      </c>
      <c r="B293" s="498" t="s">
        <v>1697</v>
      </c>
      <c r="C293" s="500" t="s">
        <v>1724</v>
      </c>
      <c r="D293" s="499" t="s">
        <v>1474</v>
      </c>
      <c r="E293" s="499" t="s">
        <v>1739</v>
      </c>
    </row>
    <row r="294" spans="1:5" ht="12.75" customHeight="1">
      <c r="A294" s="486" t="str">
        <f>IF(Fld_Menu_FR="x",Codes!$D294,IF(Fld_Menu_EN="x",Codes!$C294,IF(Fld_Menu_DE="x",Codes!$E294,"N/A")))</f>
        <v>Organisation internationale</v>
      </c>
      <c r="B294" s="498" t="s">
        <v>1065</v>
      </c>
      <c r="C294" s="499" t="s">
        <v>1725</v>
      </c>
      <c r="D294" s="499" t="s">
        <v>1730</v>
      </c>
      <c r="E294" s="499" t="s">
        <v>1738</v>
      </c>
    </row>
    <row r="295" spans="1:5" ht="12.75" customHeight="1">
      <c r="A295" s="486" t="str">
        <f>IF(Fld_Menu_FR="x",Codes!$D295,IF(Fld_Menu_EN="x",Codes!$C295,IF(Fld_Menu_DE="x",Codes!$E295,"N/A")))</f>
        <v>Institution financière</v>
      </c>
      <c r="B295" s="498" t="s">
        <v>1696</v>
      </c>
      <c r="C295" s="501" t="s">
        <v>1726</v>
      </c>
      <c r="D295" s="501" t="s">
        <v>1475</v>
      </c>
      <c r="E295" s="501" t="s">
        <v>1530</v>
      </c>
    </row>
    <row r="296" spans="1:5" ht="12.75" customHeight="1">
      <c r="A296" s="486" t="str">
        <f>IF(Fld_Menu_FR="x",Codes!$D296,IF(Fld_Menu_EN="x",Codes!$C296,IF(Fld_Menu_DE="x",Codes!$E296,"N/A")))</f>
        <v>Chambre de commerce/d'industrie/métier….</v>
      </c>
      <c r="B296" s="498" t="s">
        <v>1695</v>
      </c>
      <c r="C296" s="501" t="s">
        <v>1727</v>
      </c>
      <c r="D296" s="501" t="s">
        <v>1684</v>
      </c>
      <c r="E296" s="501" t="s">
        <v>1521</v>
      </c>
    </row>
    <row r="297" spans="1:5" ht="12.75" customHeight="1">
      <c r="A297" s="486" t="str">
        <f>IF(Fld_Menu_FR="x",Codes!$D297,IF(Fld_Menu_EN="x",Codes!$C297,IF(Fld_Menu_DE="x",Codes!$E297,"N/A")))</f>
        <v>Organisme d'enseignement/de formation</v>
      </c>
      <c r="B297" s="498" t="s">
        <v>1694</v>
      </c>
      <c r="C297" s="501" t="s">
        <v>1728</v>
      </c>
      <c r="D297" s="501" t="s">
        <v>1476</v>
      </c>
      <c r="E297" s="501" t="s">
        <v>1522</v>
      </c>
    </row>
    <row r="298" spans="1:5" ht="12.75" customHeight="1">
      <c r="A298" s="486" t="str">
        <f>IF(Fld_Menu_FR="x",Codes!$D298,IF(Fld_Menu_EN="x",Codes!$C298,IF(Fld_Menu_DE="x",Codes!$E298,"N/A")))</f>
        <v>Université</v>
      </c>
      <c r="B298" s="498" t="s">
        <v>1693</v>
      </c>
      <c r="C298" s="501" t="s">
        <v>1477</v>
      </c>
      <c r="D298" s="501" t="s">
        <v>1478</v>
      </c>
      <c r="E298" s="501" t="s">
        <v>1523</v>
      </c>
    </row>
    <row r="299" spans="1:5" ht="12.75" customHeight="1">
      <c r="A299" s="486" t="str">
        <f>IF(Fld_Menu_FR="x",Codes!$D299,IF(Fld_Menu_EN="x",Codes!$C299,IF(Fld_Menu_DE="x",Codes!$E299,"N/A")))</f>
        <v>Institut de recherche</v>
      </c>
      <c r="B299" s="498" t="s">
        <v>1692</v>
      </c>
      <c r="C299" s="499" t="s">
        <v>1729</v>
      </c>
      <c r="D299" s="499" t="s">
        <v>1685</v>
      </c>
      <c r="E299" s="499" t="s">
        <v>1686</v>
      </c>
    </row>
    <row r="300" spans="1:5" ht="12.75" customHeight="1">
      <c r="A300" s="486" t="str">
        <f>IF(Fld_Menu_FR="x",Codes!$D300,IF(Fld_Menu_EN="x",Codes!$C300,IF(Fld_Menu_DE="x",Codes!$E300,"N/A")))</f>
        <v>Autres</v>
      </c>
      <c r="B300" s="498" t="s">
        <v>1691</v>
      </c>
      <c r="C300" s="499" t="s">
        <v>1100</v>
      </c>
      <c r="D300" s="499" t="s">
        <v>1552</v>
      </c>
      <c r="E300" s="499" t="s">
        <v>416</v>
      </c>
    </row>
    <row r="301" spans="1:5" ht="12.75" customHeight="1">
      <c r="A301" s="486" t="str">
        <f>IF(Fld_Menu_FR="x",Codes!$D301,IF(Fld_Menu_EN="x",Codes!$C301,IF(Fld_Menu_DE="x",Codes!$E301,"N/A")))</f>
        <v>A compléter si nécessaire</v>
      </c>
      <c r="B301" s="490"/>
      <c r="C301" s="502" t="s">
        <v>218</v>
      </c>
      <c r="D301" s="486" t="s">
        <v>219</v>
      </c>
      <c r="E301" s="502" t="s">
        <v>220</v>
      </c>
    </row>
    <row r="302" spans="1:5" ht="12.75" customHeight="1">
      <c r="A302" s="486" t="str">
        <f>IF(Fld_Menu_FR="x",Codes!$D302,IF(Fld_Menu_EN="x",Codes!$C302,IF(Fld_Menu_DE="x",Codes!$E302,"N/A")))</f>
        <v>A compléter si nécessaire</v>
      </c>
      <c r="B302" s="490"/>
      <c r="C302" s="490" t="s">
        <v>218</v>
      </c>
      <c r="D302" s="486" t="s">
        <v>219</v>
      </c>
      <c r="E302" s="490" t="s">
        <v>220</v>
      </c>
    </row>
    <row r="303" spans="1:5" ht="12.75" customHeight="1">
      <c r="A303" s="486" t="str">
        <f>IF(Fld_Menu_FR="x",Codes!$D303,IF(Fld_Menu_EN="x",Codes!$C303,IF(Fld_Menu_DE="x",Codes!$E303,"N/A")))</f>
        <v>A compléter si nécessaire</v>
      </c>
      <c r="B303" s="490"/>
      <c r="C303" s="490" t="s">
        <v>218</v>
      </c>
      <c r="D303" s="486" t="s">
        <v>219</v>
      </c>
      <c r="E303" s="490" t="s">
        <v>220</v>
      </c>
    </row>
    <row r="304" spans="1:5" ht="12.75" customHeight="1">
      <c r="A304" s="486" t="str">
        <f>IF(Fld_Menu_FR="x",Codes!$D304,IF(Fld_Menu_EN="x",Codes!$C304,IF(Fld_Menu_DE="x",Codes!$E304,"N/A")))</f>
        <v>A compléter si nécessaire</v>
      </c>
      <c r="B304" s="490"/>
      <c r="C304" s="490" t="s">
        <v>218</v>
      </c>
      <c r="D304" s="486" t="s">
        <v>219</v>
      </c>
      <c r="E304" s="490" t="s">
        <v>220</v>
      </c>
    </row>
    <row r="305" spans="1:5" ht="12.75" customHeight="1">
      <c r="A305" s="486" t="str">
        <f>IF(Fld_Menu_FR="x",Codes!$D305,IF(Fld_Menu_EN="x",Codes!$C305,IF(Fld_Menu_DE="x",Codes!$E305,"N/A")))</f>
        <v>A compléter si nécessaire</v>
      </c>
      <c r="B305" s="490"/>
      <c r="C305" s="490" t="s">
        <v>218</v>
      </c>
      <c r="D305" s="486" t="s">
        <v>219</v>
      </c>
      <c r="E305" s="490" t="s">
        <v>220</v>
      </c>
    </row>
    <row r="306" spans="1:5" ht="12.75" customHeight="1">
      <c r="A306" s="486" t="str">
        <f>IF(Fld_Menu_FR="x",Codes!$D306,IF(Fld_Menu_EN="x",Codes!$C306,IF(Fld_Menu_DE="x",Codes!$E306,"N/A")))</f>
        <v>A compléter si nécessaire</v>
      </c>
      <c r="B306" s="490"/>
      <c r="C306" s="490" t="s">
        <v>218</v>
      </c>
      <c r="D306" s="486" t="s">
        <v>219</v>
      </c>
      <c r="E306" s="490" t="s">
        <v>220</v>
      </c>
    </row>
    <row r="307" spans="1:5" ht="12.75">
      <c r="A307" s="486" t="str">
        <f>IF(Fld_Menu_FR="x",Codes!$D307,IF(Fld_Menu_EN="x",Codes!$C307,IF(Fld_Menu_DE="x",Codes!$E307,"N/A")))</f>
        <v>A compléter si nécessaire</v>
      </c>
      <c r="C307" s="490" t="s">
        <v>218</v>
      </c>
      <c r="D307" s="486" t="s">
        <v>219</v>
      </c>
      <c r="E307" s="490" t="s">
        <v>220</v>
      </c>
    </row>
    <row r="308" spans="1:5" ht="12.75">
      <c r="A308" s="486" t="str">
        <f>IF(Fld_Menu_FR="x",Codes!$D308,IF(Fld_Menu_EN="x",Codes!$C308,IF(Fld_Menu_DE="x",Codes!$E308,"N/A")))</f>
        <v>A compléter si nécessaire</v>
      </c>
      <c r="C308" s="490" t="s">
        <v>218</v>
      </c>
      <c r="D308" s="486" t="s">
        <v>219</v>
      </c>
      <c r="E308" s="490" t="s">
        <v>220</v>
      </c>
    </row>
    <row r="309" spans="1:5" ht="12.75">
      <c r="A309" s="486" t="str">
        <f>IF(Fld_Menu_FR="x",Codes!$D309,IF(Fld_Menu_EN="x",Codes!$C309,IF(Fld_Menu_DE="x",Codes!$E309,"N/A")))</f>
        <v>A compléter si nécessaire</v>
      </c>
      <c r="C309" s="490" t="s">
        <v>218</v>
      </c>
      <c r="D309" s="486" t="s">
        <v>219</v>
      </c>
      <c r="E309" s="490" t="s">
        <v>220</v>
      </c>
    </row>
    <row r="310" spans="1:5" ht="12.75">
      <c r="A310" s="486" t="str">
        <f>IF(Fld_Menu_FR="x",Codes!$D310,IF(Fld_Menu_EN="x",Codes!$C310,IF(Fld_Menu_DE="x",Codes!$E310,"N/A")))</f>
        <v>A compléter si nécessaire</v>
      </c>
      <c r="C310" s="490" t="s">
        <v>218</v>
      </c>
      <c r="D310" s="486" t="s">
        <v>219</v>
      </c>
      <c r="E310" s="490" t="s">
        <v>220</v>
      </c>
    </row>
    <row r="311" spans="1:5" ht="12.75">
      <c r="A311" s="486" t="str">
        <f>IF(Fld_Menu_FR="x",Codes!$D311,IF(Fld_Menu_EN="x",Codes!$C311,IF(Fld_Menu_DE="x",Codes!$E311,"N/A")))</f>
        <v>A compléter si nécessaire</v>
      </c>
      <c r="C311" s="490" t="s">
        <v>218</v>
      </c>
      <c r="D311" s="486" t="s">
        <v>219</v>
      </c>
      <c r="E311" s="490" t="s">
        <v>220</v>
      </c>
    </row>
    <row r="312" spans="1:5" ht="12.75">
      <c r="A312" s="486" t="str">
        <f>IF(Fld_Menu_FR="x",Codes!$D312,IF(Fld_Menu_EN="x",Codes!$C312,IF(Fld_Menu_DE="x",Codes!$E312,"N/A")))</f>
        <v>A compléter si nécessaire</v>
      </c>
      <c r="C312" s="490" t="s">
        <v>218</v>
      </c>
      <c r="D312" s="486" t="s">
        <v>219</v>
      </c>
      <c r="E312" s="490" t="s">
        <v>220</v>
      </c>
    </row>
    <row r="313" spans="1:5" ht="12.75">
      <c r="A313" s="486" t="str">
        <f>IF(Fld_Menu_FR="x",Codes!$D313,IF(Fld_Menu_EN="x",Codes!$C313,IF(Fld_Menu_DE="x",Codes!$E313,"N/A")))</f>
        <v>A compléter si nécessaire</v>
      </c>
      <c r="C313" s="490" t="s">
        <v>218</v>
      </c>
      <c r="D313" s="486" t="s">
        <v>219</v>
      </c>
      <c r="E313" s="490" t="s">
        <v>220</v>
      </c>
    </row>
    <row r="314" spans="1:5" ht="12.75">
      <c r="A314" s="486" t="str">
        <f>IF(Fld_Menu_FR="x",Codes!$D314,IF(Fld_Menu_EN="x",Codes!$C314,IF(Fld_Menu_DE="x",Codes!$E314,"N/A")))</f>
        <v>A compléter si nécessaire</v>
      </c>
      <c r="C314" s="490" t="s">
        <v>218</v>
      </c>
      <c r="D314" s="486" t="s">
        <v>219</v>
      </c>
      <c r="E314" s="490" t="s">
        <v>220</v>
      </c>
    </row>
    <row r="315" spans="1:5" ht="12.75">
      <c r="A315" s="486" t="str">
        <f>IF(Fld_Menu_FR="x",Codes!$D315,IF(Fld_Menu_EN="x",Codes!$C315,IF(Fld_Menu_DE="x",Codes!$E315,"N/A")))</f>
        <v>A compléter si nécessaire</v>
      </c>
      <c r="C315" s="490" t="s">
        <v>218</v>
      </c>
      <c r="D315" s="486" t="s">
        <v>219</v>
      </c>
      <c r="E315" s="490" t="s">
        <v>220</v>
      </c>
    </row>
    <row r="316" spans="1:5" ht="12.75">
      <c r="A316" s="486" t="str">
        <f>IF(Fld_Menu_FR="x",Codes!$D316,IF(Fld_Menu_EN="x",Codes!$C316,IF(Fld_Menu_DE="x",Codes!$E316,"N/A")))</f>
        <v>A compléter si nécessaire</v>
      </c>
      <c r="C316" s="490" t="s">
        <v>218</v>
      </c>
      <c r="D316" s="486" t="s">
        <v>219</v>
      </c>
      <c r="E316" s="490" t="s">
        <v>220</v>
      </c>
    </row>
    <row r="317" spans="1:5" ht="12.75">
      <c r="A317" s="486" t="str">
        <f>IF(Fld_Menu_FR="x",Codes!$D317,IF(Fld_Menu_EN="x",Codes!$C317,IF(Fld_Menu_DE="x",Codes!$E317,"N/A")))</f>
        <v>A compléter si nécessaire</v>
      </c>
      <c r="C317" s="490" t="s">
        <v>218</v>
      </c>
      <c r="D317" s="486" t="s">
        <v>219</v>
      </c>
      <c r="E317" s="490" t="s">
        <v>220</v>
      </c>
    </row>
    <row r="318" spans="1:5" ht="12.75">
      <c r="A318" s="486" t="str">
        <f>IF(Fld_Menu_FR="x",Codes!$D318,IF(Fld_Menu_EN="x",Codes!$C318,IF(Fld_Menu_DE="x",Codes!$E318,"N/A")))</f>
        <v>A compléter si nécessaire</v>
      </c>
      <c r="C318" s="490" t="s">
        <v>218</v>
      </c>
      <c r="D318" s="486" t="s">
        <v>219</v>
      </c>
      <c r="E318" s="490" t="s">
        <v>220</v>
      </c>
    </row>
    <row r="319" spans="1:5" ht="12.75">
      <c r="A319" s="486" t="str">
        <f>IF(Fld_Menu_FR="x",Codes!$D319,IF(Fld_Menu_EN="x",Codes!$C319,IF(Fld_Menu_DE="x",Codes!$E319,"N/A")))</f>
        <v>A compléter si nécessaire</v>
      </c>
      <c r="C319" s="490" t="s">
        <v>218</v>
      </c>
      <c r="D319" s="486" t="s">
        <v>219</v>
      </c>
      <c r="E319" s="490" t="s">
        <v>220</v>
      </c>
    </row>
    <row r="320" spans="1:5" ht="12.75">
      <c r="A320" s="486" t="str">
        <f>IF(Fld_Menu_FR="x",Codes!$D320,IF(Fld_Menu_EN="x",Codes!$C320,IF(Fld_Menu_DE="x",Codes!$E320,"N/A")))</f>
        <v>A compléter si nécessaire</v>
      </c>
      <c r="C320" s="490" t="s">
        <v>218</v>
      </c>
      <c r="D320" s="486" t="s">
        <v>219</v>
      </c>
      <c r="E320" s="490" t="s">
        <v>220</v>
      </c>
    </row>
    <row r="321" spans="1:5" ht="12.75">
      <c r="A321" s="486" t="str">
        <f>IF(Fld_Menu_FR="x",Codes!$D321,IF(Fld_Menu_EN="x",Codes!$C321,IF(Fld_Menu_DE="x",Codes!$E321,"N/A")))</f>
        <v>A compléter si nécessaire</v>
      </c>
      <c r="C321" s="490" t="s">
        <v>218</v>
      </c>
      <c r="D321" s="486" t="s">
        <v>219</v>
      </c>
      <c r="E321" s="490" t="s">
        <v>220</v>
      </c>
    </row>
    <row r="322" spans="1:5" ht="12.75">
      <c r="A322" s="486" t="str">
        <f>IF(Fld_Menu_FR="x",Codes!$D322,IF(Fld_Menu_EN="x",Codes!$C322,IF(Fld_Menu_DE="x",Codes!$E322,"N/A")))</f>
        <v>A compléter si nécessaire</v>
      </c>
      <c r="C322" s="490" t="s">
        <v>218</v>
      </c>
      <c r="D322" s="486" t="s">
        <v>219</v>
      </c>
      <c r="E322" s="490" t="s">
        <v>220</v>
      </c>
    </row>
    <row r="323" spans="1:5" ht="12.75">
      <c r="A323" s="486" t="str">
        <f>IF(Fld_Menu_FR="x",Codes!$D323,IF(Fld_Menu_EN="x",Codes!$C323,IF(Fld_Menu_DE="x",Codes!$E323,"N/A")))</f>
        <v>A compléter si nécessaire</v>
      </c>
      <c r="C323" s="490" t="s">
        <v>218</v>
      </c>
      <c r="D323" s="486" t="s">
        <v>219</v>
      </c>
      <c r="E323" s="490" t="s">
        <v>220</v>
      </c>
    </row>
    <row r="324" spans="1:5" ht="12.75">
      <c r="A324" s="486" t="str">
        <f>IF(Fld_Menu_FR="x",Codes!$D324,IF(Fld_Menu_EN="x",Codes!$C324,IF(Fld_Menu_DE="x",Codes!$E324,"N/A")))</f>
        <v>A compléter si nécessaire</v>
      </c>
      <c r="C324" s="490" t="s">
        <v>218</v>
      </c>
      <c r="D324" s="486" t="s">
        <v>219</v>
      </c>
      <c r="E324" s="490" t="s">
        <v>220</v>
      </c>
    </row>
    <row r="325" spans="1:5" ht="12.75">
      <c r="A325" s="486" t="str">
        <f>IF(Fld_Menu_FR="x",Codes!$D325,IF(Fld_Menu_EN="x",Codes!$C325,IF(Fld_Menu_DE="x",Codes!$E325,"N/A")))</f>
        <v>A compléter si nécessaire</v>
      </c>
      <c r="C325" s="490" t="s">
        <v>218</v>
      </c>
      <c r="D325" s="486" t="s">
        <v>219</v>
      </c>
      <c r="E325" s="490" t="s">
        <v>220</v>
      </c>
    </row>
    <row r="326" spans="1:5" ht="12.75">
      <c r="A326" s="486" t="str">
        <f>IF(Fld_Menu_FR="x",Codes!$D326,IF(Fld_Menu_EN="x",Codes!$C326,IF(Fld_Menu_DE="x",Codes!$E326,"N/A")))</f>
        <v>A compléter si nécessaire</v>
      </c>
      <c r="C326" s="490" t="s">
        <v>218</v>
      </c>
      <c r="D326" s="486" t="s">
        <v>219</v>
      </c>
      <c r="E326" s="490" t="s">
        <v>220</v>
      </c>
    </row>
    <row r="328" spans="1:5" ht="12.75">
      <c r="A328" s="484"/>
      <c r="B328" s="485" t="s">
        <v>1066</v>
      </c>
      <c r="C328" s="485" t="s">
        <v>1067</v>
      </c>
      <c r="D328" s="485" t="s">
        <v>1068</v>
      </c>
      <c r="E328" s="485" t="s">
        <v>952</v>
      </c>
    </row>
    <row r="329" spans="1:5" ht="12.75">
      <c r="A329" s="486" t="str">
        <f>IF(Fld_Menu_FR="x",Codes!$D329,IF(Fld_Menu_EN="x",Codes!$C329,IF(Fld_Menu_DE="x",Codes!$E329,"N/A")))</f>
        <v>Espagnol</v>
      </c>
      <c r="B329" s="490" t="s">
        <v>953</v>
      </c>
      <c r="C329" s="490" t="s">
        <v>1753</v>
      </c>
      <c r="D329" s="490" t="s">
        <v>2051</v>
      </c>
      <c r="E329" s="490" t="s">
        <v>1745</v>
      </c>
    </row>
    <row r="330" spans="1:5" ht="12.75">
      <c r="A330" s="486" t="str">
        <f>IF(Fld_Menu_FR="x",Codes!$D330,IF(Fld_Menu_EN="x",Codes!$C330,IF(Fld_Menu_DE="x",Codes!$E330,"N/A")))</f>
        <v>Français</v>
      </c>
      <c r="B330" s="490" t="s">
        <v>29</v>
      </c>
      <c r="C330" s="490" t="s">
        <v>1577</v>
      </c>
      <c r="D330" s="490" t="s">
        <v>1189</v>
      </c>
      <c r="E330" s="490" t="s">
        <v>1376</v>
      </c>
    </row>
    <row r="331" spans="1:5" ht="12.75">
      <c r="A331" s="486" t="str">
        <f>IF(Fld_Menu_FR="x",Codes!$D331,IF(Fld_Menu_EN="x",Codes!$C331,IF(Fld_Menu_DE="x",Codes!$E331,"N/A")))</f>
        <v>Grec</v>
      </c>
      <c r="B331" s="490" t="s">
        <v>954</v>
      </c>
      <c r="C331" s="490" t="s">
        <v>2047</v>
      </c>
      <c r="D331" s="490" t="s">
        <v>2048</v>
      </c>
      <c r="E331" s="490" t="s">
        <v>1746</v>
      </c>
    </row>
    <row r="332" spans="1:5" ht="12.75">
      <c r="A332" s="486" t="str">
        <f>IF(Fld_Menu_FR="x",Codes!$D332,IF(Fld_Menu_EN="x",Codes!$C332,IF(Fld_Menu_DE="x",Codes!$E332,"N/A")))</f>
        <v>Italien</v>
      </c>
      <c r="B332" s="490" t="s">
        <v>955</v>
      </c>
      <c r="C332" s="490" t="s">
        <v>2058</v>
      </c>
      <c r="D332" s="490" t="s">
        <v>429</v>
      </c>
      <c r="E332" s="490" t="s">
        <v>1747</v>
      </c>
    </row>
    <row r="333" spans="1:5" ht="12.75">
      <c r="A333" s="486" t="str">
        <f>IF(Fld_Menu_FR="x",Codes!$D333,IF(Fld_Menu_EN="x",Codes!$C333,IF(Fld_Menu_DE="x",Codes!$E333,"N/A")))</f>
        <v>Néerlandais</v>
      </c>
      <c r="B333" s="490" t="s">
        <v>433</v>
      </c>
      <c r="C333" s="490" t="s">
        <v>1754</v>
      </c>
      <c r="D333" s="490" t="s">
        <v>2127</v>
      </c>
      <c r="E333" s="490" t="s">
        <v>2073</v>
      </c>
    </row>
    <row r="334" spans="1:5" ht="12.75">
      <c r="A334" s="486" t="str">
        <f>IF(Fld_Menu_FR="x",Codes!$D334,IF(Fld_Menu_EN="x",Codes!$C334,IF(Fld_Menu_DE="x",Codes!$E334,"N/A")))</f>
        <v>Portugais</v>
      </c>
      <c r="B334" s="490" t="s">
        <v>956</v>
      </c>
      <c r="C334" s="490" t="s">
        <v>527</v>
      </c>
      <c r="D334" s="490" t="s">
        <v>528</v>
      </c>
      <c r="E334" s="490" t="s">
        <v>1748</v>
      </c>
    </row>
    <row r="335" spans="1:5" ht="12.75">
      <c r="A335" s="486" t="str">
        <f>IF(Fld_Menu_FR="x",Codes!$D335,IF(Fld_Menu_EN="x",Codes!$C335,IF(Fld_Menu_DE="x",Codes!$E335,"N/A")))</f>
        <v>Suédois</v>
      </c>
      <c r="B335" s="490" t="s">
        <v>297</v>
      </c>
      <c r="C335" s="490" t="s">
        <v>1755</v>
      </c>
      <c r="D335" s="490" t="s">
        <v>534</v>
      </c>
      <c r="E335" s="490" t="s">
        <v>1749</v>
      </c>
    </row>
    <row r="336" spans="1:5" ht="12.75">
      <c r="A336" s="486" t="str">
        <f>IF(Fld_Menu_FR="x",Codes!$D336,IF(Fld_Menu_EN="x",Codes!$C336,IF(Fld_Menu_DE="x",Codes!$E336,"N/A")))</f>
        <v>Finnois</v>
      </c>
      <c r="B336" s="490" t="s">
        <v>1363</v>
      </c>
      <c r="C336" s="490" t="s">
        <v>1756</v>
      </c>
      <c r="D336" s="490" t="s">
        <v>1752</v>
      </c>
      <c r="E336" s="490" t="s">
        <v>1750</v>
      </c>
    </row>
    <row r="337" spans="1:5" ht="12.75">
      <c r="A337" s="486" t="str">
        <f>IF(Fld_Menu_FR="x",Codes!$D337,IF(Fld_Menu_EN="x",Codes!$C337,IF(Fld_Menu_DE="x",Codes!$E337,"N/A")))</f>
        <v>Danois</v>
      </c>
      <c r="B337" s="490" t="s">
        <v>1364</v>
      </c>
      <c r="C337" s="490" t="s">
        <v>1757</v>
      </c>
      <c r="D337" s="490" t="s">
        <v>2044</v>
      </c>
      <c r="E337" s="490" t="s">
        <v>1751</v>
      </c>
    </row>
    <row r="338" spans="1:5" ht="12.75">
      <c r="A338" s="486" t="str">
        <f>IF(Fld_Menu_FR="x",Codes!$D338,IF(Fld_Menu_EN="x",Codes!$C338,IF(Fld_Menu_DE="x",Codes!$E338,"N/A")))</f>
        <v>Allemand</v>
      </c>
      <c r="B338" s="490" t="s">
        <v>27</v>
      </c>
      <c r="C338" s="490" t="s">
        <v>1576</v>
      </c>
      <c r="D338" s="490" t="s">
        <v>688</v>
      </c>
      <c r="E338" s="490" t="s">
        <v>1187</v>
      </c>
    </row>
    <row r="339" spans="1:5" ht="12.75">
      <c r="A339" s="486" t="str">
        <f>IF(Fld_Menu_FR="x",Codes!$D339,IF(Fld_Menu_EN="x",Codes!$C339,IF(Fld_Menu_DE="x",Codes!$E339,"N/A")))</f>
        <v>Anglais</v>
      </c>
      <c r="B339" s="490" t="s">
        <v>28</v>
      </c>
      <c r="C339" s="490" t="s">
        <v>1188</v>
      </c>
      <c r="D339" s="490" t="s">
        <v>689</v>
      </c>
      <c r="E339" s="490" t="s">
        <v>2117</v>
      </c>
    </row>
    <row r="341" spans="1:5" ht="12.75">
      <c r="A341" s="484"/>
      <c r="B341" s="496"/>
      <c r="C341" s="497" t="s">
        <v>1118</v>
      </c>
      <c r="D341" s="497" t="s">
        <v>1119</v>
      </c>
      <c r="E341" s="497" t="s">
        <v>1120</v>
      </c>
    </row>
    <row r="342" spans="1:5" ht="12.75">
      <c r="A342" s="486" t="str">
        <f>IF(Fld_Menu_FR="x",Codes!$D342,IF(Fld_Menu_EN="x",Codes!$C342,IF(Fld_Menu_DE="x",Codes!$E342,"N/A")))</f>
        <v>Organisme public</v>
      </c>
      <c r="C342" s="499" t="s">
        <v>1758</v>
      </c>
      <c r="D342" s="499" t="s">
        <v>1479</v>
      </c>
      <c r="E342" s="499" t="s">
        <v>1761</v>
      </c>
    </row>
    <row r="343" spans="1:5" ht="26.25">
      <c r="A343" s="486" t="str">
        <f>IF(Fld_Menu_FR="x",Codes!$D343,IF(Fld_Menu_EN="x",Codes!$C343,IF(Fld_Menu_DE="x",Codes!$E343,"N/A")))</f>
        <v>Organisme privé sans but lucratif (notamment ONG)</v>
      </c>
      <c r="C343" s="499" t="s">
        <v>2074</v>
      </c>
      <c r="D343" s="499" t="s">
        <v>1480</v>
      </c>
      <c r="E343" s="499" t="s">
        <v>1762</v>
      </c>
    </row>
    <row r="344" spans="1:5" ht="12.75">
      <c r="A344" s="486" t="str">
        <f>IF(Fld_Menu_FR="x",Codes!$D344,IF(Fld_Menu_EN="x",Codes!$C344,IF(Fld_Menu_DE="x",Codes!$E344,"N/A")))</f>
        <v>Organisme parapublic</v>
      </c>
      <c r="C344" s="501" t="s">
        <v>1763</v>
      </c>
      <c r="D344" s="501" t="s">
        <v>1481</v>
      </c>
      <c r="E344" s="501" t="s">
        <v>1689</v>
      </c>
    </row>
    <row r="345" spans="1:5" ht="12.75">
      <c r="A345" s="486" t="str">
        <f>IF(Fld_Menu_FR="x",Codes!$D345,IF(Fld_Menu_EN="x",Codes!$C345,IF(Fld_Menu_DE="x",Codes!$E345,"N/A")))</f>
        <v>Confédération</v>
      </c>
      <c r="C345" s="501" t="s">
        <v>1759</v>
      </c>
      <c r="D345" s="501" t="s">
        <v>1760</v>
      </c>
      <c r="E345" s="501" t="s">
        <v>1687</v>
      </c>
    </row>
    <row r="346" spans="1:5" ht="12.75">
      <c r="A346" s="486" t="str">
        <f>IF(Fld_Menu_FR="x",Codes!$D346,IF(Fld_Menu_EN="x",Codes!$C346,IF(Fld_Menu_DE="x",Codes!$E346,"N/A")))</f>
        <v>Coopérative</v>
      </c>
      <c r="C346" s="501" t="s">
        <v>1485</v>
      </c>
      <c r="D346" s="501" t="s">
        <v>1482</v>
      </c>
      <c r="E346" s="501" t="s">
        <v>1524</v>
      </c>
    </row>
    <row r="347" spans="1:5" ht="12.75">
      <c r="A347" s="486" t="str">
        <f>IF(Fld_Menu_FR="x",Codes!$D347,IF(Fld_Menu_EN="x",Codes!$C347,IF(Fld_Menu_DE="x",Codes!$E347,"N/A")))</f>
        <v>Privé</v>
      </c>
      <c r="C347" s="501" t="s">
        <v>1486</v>
      </c>
      <c r="D347" s="501" t="s">
        <v>1483</v>
      </c>
      <c r="E347" s="501" t="s">
        <v>1486</v>
      </c>
    </row>
    <row r="348" spans="1:5" ht="12.75">
      <c r="A348" s="486" t="str">
        <f>IF(Fld_Menu_FR="x",Codes!$D348,IF(Fld_Menu_EN="x",Codes!$C348,IF(Fld_Menu_DE="x",Codes!$E348,"N/A")))</f>
        <v>Sans statut juridique</v>
      </c>
      <c r="C348" s="501" t="s">
        <v>1688</v>
      </c>
      <c r="D348" s="501" t="s">
        <v>1484</v>
      </c>
      <c r="E348" s="501" t="s">
        <v>1525</v>
      </c>
    </row>
    <row r="349" spans="1:5" ht="12.75">
      <c r="A349" s="486" t="str">
        <f>IF(Fld_Menu_FR="x",Codes!$D349,IF(Fld_Menu_EN="x",Codes!$C349,IF(Fld_Menu_DE="x",Codes!$E349,"N/A")))</f>
        <v>A compléter si nécessaire</v>
      </c>
      <c r="C349" s="502" t="s">
        <v>218</v>
      </c>
      <c r="D349" s="486" t="s">
        <v>219</v>
      </c>
      <c r="E349" s="502" t="s">
        <v>220</v>
      </c>
    </row>
    <row r="350" spans="1:5" ht="12.75">
      <c r="A350" s="486" t="str">
        <f>IF(Fld_Menu_FR="x",Codes!$D350,IF(Fld_Menu_EN="x",Codes!$C350,IF(Fld_Menu_DE="x",Codes!$E350,"N/A")))</f>
        <v>A compléter si nécessaire</v>
      </c>
      <c r="C350" s="490" t="s">
        <v>218</v>
      </c>
      <c r="D350" s="486" t="s">
        <v>219</v>
      </c>
      <c r="E350" s="490" t="s">
        <v>220</v>
      </c>
    </row>
    <row r="351" spans="1:5" ht="12.75">
      <c r="A351" s="486" t="str">
        <f>IF(Fld_Menu_FR="x",Codes!$D351,IF(Fld_Menu_EN="x",Codes!$C351,IF(Fld_Menu_DE="x",Codes!$E351,"N/A")))</f>
        <v>A compléter si nécessaire</v>
      </c>
      <c r="C351" s="490" t="s">
        <v>218</v>
      </c>
      <c r="D351" s="486" t="s">
        <v>219</v>
      </c>
      <c r="E351" s="490" t="s">
        <v>220</v>
      </c>
    </row>
    <row r="352" spans="1:5" ht="12.75">
      <c r="A352" s="486" t="str">
        <f>IF(Fld_Menu_FR="x",Codes!$D352,IF(Fld_Menu_EN="x",Codes!$C352,IF(Fld_Menu_DE="x",Codes!$E352,"N/A")))</f>
        <v>A compléter si nécessaire</v>
      </c>
      <c r="C352" s="490" t="s">
        <v>218</v>
      </c>
      <c r="D352" s="486" t="s">
        <v>219</v>
      </c>
      <c r="E352" s="490" t="s">
        <v>220</v>
      </c>
    </row>
    <row r="353" spans="1:5" ht="12.75">
      <c r="A353" s="486" t="str">
        <f>IF(Fld_Menu_FR="x",Codes!$D353,IF(Fld_Menu_EN="x",Codes!$C353,IF(Fld_Menu_DE="x",Codes!$E353,"N/A")))</f>
        <v>A compléter si nécessaire</v>
      </c>
      <c r="C353" s="490" t="s">
        <v>218</v>
      </c>
      <c r="D353" s="486" t="s">
        <v>219</v>
      </c>
      <c r="E353" s="490" t="s">
        <v>220</v>
      </c>
    </row>
    <row r="354" spans="1:5" ht="12.75">
      <c r="A354" s="486" t="str">
        <f>IF(Fld_Menu_FR="x",Codes!$D354,IF(Fld_Menu_EN="x",Codes!$C354,IF(Fld_Menu_DE="x",Codes!$E354,"N/A")))</f>
        <v>A compléter si nécessaire</v>
      </c>
      <c r="C354" s="490" t="s">
        <v>218</v>
      </c>
      <c r="D354" s="486" t="s">
        <v>219</v>
      </c>
      <c r="E354" s="490" t="s">
        <v>220</v>
      </c>
    </row>
    <row r="355" spans="1:5" ht="12.75">
      <c r="A355" s="486" t="str">
        <f>IF(Fld_Menu_FR="x",Codes!$D355,IF(Fld_Menu_EN="x",Codes!$C355,IF(Fld_Menu_DE="x",Codes!$E355,"N/A")))</f>
        <v>A compléter si nécessaire</v>
      </c>
      <c r="C355" s="490" t="s">
        <v>218</v>
      </c>
      <c r="D355" s="486" t="s">
        <v>219</v>
      </c>
      <c r="E355" s="490" t="s">
        <v>220</v>
      </c>
    </row>
    <row r="356" spans="1:5" ht="12.75">
      <c r="A356" s="486" t="str">
        <f>IF(Fld_Menu_FR="x",Codes!$D356,IF(Fld_Menu_EN="x",Codes!$C356,IF(Fld_Menu_DE="x",Codes!$E356,"N/A")))</f>
        <v>A compléter si nécessaire</v>
      </c>
      <c r="C356" s="490" t="s">
        <v>218</v>
      </c>
      <c r="D356" s="486" t="s">
        <v>219</v>
      </c>
      <c r="E356" s="490" t="s">
        <v>220</v>
      </c>
    </row>
    <row r="357" spans="1:5" ht="12.75">
      <c r="A357" s="486" t="str">
        <f>IF(Fld_Menu_FR="x",Codes!$D357,IF(Fld_Menu_EN="x",Codes!$C357,IF(Fld_Menu_DE="x",Codes!$E357,"N/A")))</f>
        <v>A compléter si nécessaire</v>
      </c>
      <c r="C357" s="490" t="s">
        <v>218</v>
      </c>
      <c r="D357" s="486" t="s">
        <v>219</v>
      </c>
      <c r="E357" s="490" t="s">
        <v>220</v>
      </c>
    </row>
    <row r="358" spans="1:5" ht="12.75">
      <c r="A358" s="486" t="str">
        <f>IF(Fld_Menu_FR="x",Codes!$D358,IF(Fld_Menu_EN="x",Codes!$C358,IF(Fld_Menu_DE="x",Codes!$E358,"N/A")))</f>
        <v>A compléter si nécessaire</v>
      </c>
      <c r="C358" s="490" t="s">
        <v>218</v>
      </c>
      <c r="D358" s="486" t="s">
        <v>219</v>
      </c>
      <c r="E358" s="490" t="s">
        <v>220</v>
      </c>
    </row>
    <row r="359" spans="1:5" ht="12.75">
      <c r="A359" s="486" t="str">
        <f>IF(Fld_Menu_FR="x",Codes!$D359,IF(Fld_Menu_EN="x",Codes!$C359,IF(Fld_Menu_DE="x",Codes!$E359,"N/A")))</f>
        <v>A compléter si nécessaire</v>
      </c>
      <c r="C359" s="490" t="s">
        <v>218</v>
      </c>
      <c r="D359" s="486" t="s">
        <v>219</v>
      </c>
      <c r="E359" s="490" t="s">
        <v>220</v>
      </c>
    </row>
    <row r="360" spans="1:5" ht="12.75">
      <c r="A360" s="486" t="str">
        <f>IF(Fld_Menu_FR="x",Codes!$D360,IF(Fld_Menu_EN="x",Codes!$C360,IF(Fld_Menu_DE="x",Codes!$E360,"N/A")))</f>
        <v>A compléter si nécessaire</v>
      </c>
      <c r="C360" s="490" t="s">
        <v>218</v>
      </c>
      <c r="D360" s="486" t="s">
        <v>219</v>
      </c>
      <c r="E360" s="490" t="s">
        <v>220</v>
      </c>
    </row>
    <row r="361" spans="1:5" ht="12.75">
      <c r="A361" s="486" t="str">
        <f>IF(Fld_Menu_FR="x",Codes!$D361,IF(Fld_Menu_EN="x",Codes!$C361,IF(Fld_Menu_DE="x",Codes!$E361,"N/A")))</f>
        <v>A compléter si nécessaire</v>
      </c>
      <c r="C361" s="490" t="s">
        <v>218</v>
      </c>
      <c r="D361" s="486" t="s">
        <v>219</v>
      </c>
      <c r="E361" s="490" t="s">
        <v>220</v>
      </c>
    </row>
    <row r="362" spans="1:5" ht="12.75">
      <c r="A362" s="486" t="str">
        <f>IF(Fld_Menu_FR="x",Codes!$D362,IF(Fld_Menu_EN="x",Codes!$C362,IF(Fld_Menu_DE="x",Codes!$E362,"N/A")))</f>
        <v>A compléter si nécessaire</v>
      </c>
      <c r="C362" s="490" t="s">
        <v>218</v>
      </c>
      <c r="D362" s="486" t="s">
        <v>219</v>
      </c>
      <c r="E362" s="490" t="s">
        <v>220</v>
      </c>
    </row>
    <row r="363" spans="1:5" ht="12.75">
      <c r="A363" s="486" t="str">
        <f>IF(Fld_Menu_FR="x",Codes!$D363,IF(Fld_Menu_EN="x",Codes!$C363,IF(Fld_Menu_DE="x",Codes!$E363,"N/A")))</f>
        <v>A compléter si nécessaire</v>
      </c>
      <c r="C363" s="490" t="s">
        <v>218</v>
      </c>
      <c r="D363" s="486" t="s">
        <v>219</v>
      </c>
      <c r="E363" s="490" t="s">
        <v>220</v>
      </c>
    </row>
    <row r="365" spans="1:5" ht="12.75">
      <c r="A365" s="484"/>
      <c r="B365" s="485" t="s">
        <v>1121</v>
      </c>
      <c r="C365" s="497" t="s">
        <v>1122</v>
      </c>
      <c r="D365" s="497" t="s">
        <v>1123</v>
      </c>
      <c r="E365" s="497" t="s">
        <v>931</v>
      </c>
    </row>
    <row r="366" spans="1:5" ht="12.75">
      <c r="A366" s="486" t="str">
        <f>IF(Fld_Menu_FR="x",Codes!$D366,IF(Fld_Menu_EN="x",Codes!$C366,IF(Fld_Menu_DE="x",Codes!$E366,"N/A")))</f>
        <v>Gestionnaire de projet</v>
      </c>
      <c r="B366" s="503" t="s">
        <v>932</v>
      </c>
      <c r="C366" s="499" t="s">
        <v>1767</v>
      </c>
      <c r="D366" s="499" t="s">
        <v>1779</v>
      </c>
      <c r="E366" s="499" t="s">
        <v>1997</v>
      </c>
    </row>
    <row r="367" spans="1:5" ht="12.75">
      <c r="A367" s="486" t="str">
        <f>IF(Fld_Menu_FR="x",Codes!$D367,IF(Fld_Menu_EN="x",Codes!$C367,IF(Fld_Menu_DE="x",Codes!$E367,"N/A")))</f>
        <v>Conseiller</v>
      </c>
      <c r="B367" s="503" t="s">
        <v>2027</v>
      </c>
      <c r="C367" s="499" t="s">
        <v>1768</v>
      </c>
      <c r="D367" s="499" t="s">
        <v>1780</v>
      </c>
      <c r="E367" s="499" t="s">
        <v>1487</v>
      </c>
    </row>
    <row r="368" spans="1:5" ht="12.75">
      <c r="A368" s="486" t="str">
        <f>IF(Fld_Menu_FR="x",Codes!$D368,IF(Fld_Menu_EN="x",Codes!$C368,IF(Fld_Menu_DE="x",Codes!$E368,"N/A")))</f>
        <v>Consultant</v>
      </c>
      <c r="B368" s="503" t="s">
        <v>2028</v>
      </c>
      <c r="C368" s="499" t="s">
        <v>1769</v>
      </c>
      <c r="D368" s="499" t="s">
        <v>1769</v>
      </c>
      <c r="E368" s="499" t="s">
        <v>1487</v>
      </c>
    </row>
    <row r="369" spans="1:5" ht="12.75">
      <c r="A369" s="486" t="str">
        <f>IF(Fld_Menu_FR="x",Codes!$D369,IF(Fld_Menu_EN="x",Codes!$C369,IF(Fld_Menu_DE="x",Codes!$E369,"N/A")))</f>
        <v>Président</v>
      </c>
      <c r="B369" s="503" t="s">
        <v>2029</v>
      </c>
      <c r="C369" s="499" t="s">
        <v>1770</v>
      </c>
      <c r="D369" s="499" t="s">
        <v>1781</v>
      </c>
      <c r="E369" s="499" t="s">
        <v>1488</v>
      </c>
    </row>
    <row r="370" spans="1:5" ht="12.75">
      <c r="A370" s="486" t="str">
        <f>IF(Fld_Menu_FR="x",Codes!$D370,IF(Fld_Menu_EN="x",Codes!$C370,IF(Fld_Menu_DE="x",Codes!$E370,"N/A")))</f>
        <v>Secrétaire</v>
      </c>
      <c r="B370" s="503" t="s">
        <v>2030</v>
      </c>
      <c r="C370" s="499" t="s">
        <v>1771</v>
      </c>
      <c r="D370" s="499" t="s">
        <v>1782</v>
      </c>
      <c r="E370" s="499" t="s">
        <v>1526</v>
      </c>
    </row>
    <row r="371" spans="1:5" ht="12.75">
      <c r="A371" s="486" t="str">
        <f>IF(Fld_Menu_FR="x",Codes!$D371,IF(Fld_Menu_EN="x",Codes!$C371,IF(Fld_Menu_DE="x",Codes!$E371,"N/A")))</f>
        <v>Secrétaire Général</v>
      </c>
      <c r="B371" s="503" t="s">
        <v>2031</v>
      </c>
      <c r="C371" s="499" t="s">
        <v>1772</v>
      </c>
      <c r="D371" s="499" t="s">
        <v>1783</v>
      </c>
      <c r="E371" s="499" t="s">
        <v>1527</v>
      </c>
    </row>
    <row r="372" spans="1:5" ht="12.75">
      <c r="A372" s="486" t="str">
        <f>IF(Fld_Menu_FR="x",Codes!$D372,IF(Fld_Menu_EN="x",Codes!$C372,IF(Fld_Menu_DE="x",Codes!$E372,"N/A")))</f>
        <v>Vice-Président</v>
      </c>
      <c r="B372" s="503" t="s">
        <v>2032</v>
      </c>
      <c r="C372" s="499" t="s">
        <v>1773</v>
      </c>
      <c r="D372" s="499" t="s">
        <v>1784</v>
      </c>
      <c r="E372" s="499" t="s">
        <v>761</v>
      </c>
    </row>
    <row r="373" spans="1:5" ht="12.75">
      <c r="A373" s="486" t="str">
        <f>IF(Fld_Menu_FR="x",Codes!$D373,IF(Fld_Menu_EN="x",Codes!$C373,IF(Fld_Menu_DE="x",Codes!$E373,"N/A")))</f>
        <v>Coordinateur</v>
      </c>
      <c r="B373" s="503" t="s">
        <v>2033</v>
      </c>
      <c r="C373" s="499" t="s">
        <v>1774</v>
      </c>
      <c r="D373" s="499" t="s">
        <v>754</v>
      </c>
      <c r="E373" s="499" t="s">
        <v>1489</v>
      </c>
    </row>
    <row r="374" spans="1:5" ht="12.75">
      <c r="A374" s="486" t="str">
        <f>IF(Fld_Menu_FR="x",Codes!$D374,IF(Fld_Menu_EN="x",Codes!$C374,IF(Fld_Menu_DE="x",Codes!$E374,"N/A")))</f>
        <v>Directeur</v>
      </c>
      <c r="B374" s="503" t="s">
        <v>2034</v>
      </c>
      <c r="C374" s="499" t="s">
        <v>1775</v>
      </c>
      <c r="D374" s="499" t="s">
        <v>755</v>
      </c>
      <c r="E374" s="499" t="s">
        <v>1491</v>
      </c>
    </row>
    <row r="375" spans="1:5" ht="12.75">
      <c r="A375" s="486" t="str">
        <f>IF(Fld_Menu_FR="x",Codes!$D375,IF(Fld_Menu_EN="x",Codes!$C375,IF(Fld_Menu_DE="x",Codes!$E375,"N/A")))</f>
        <v>Chef d'Unité</v>
      </c>
      <c r="B375" s="503" t="s">
        <v>2035</v>
      </c>
      <c r="C375" s="499" t="s">
        <v>1776</v>
      </c>
      <c r="D375" s="499" t="s">
        <v>756</v>
      </c>
      <c r="E375" s="499" t="s">
        <v>1528</v>
      </c>
    </row>
    <row r="376" spans="1:5" ht="12.75">
      <c r="A376" s="486" t="str">
        <f>IF(Fld_Menu_FR="x",Codes!$D376,IF(Fld_Menu_EN="x",Codes!$C376,IF(Fld_Menu_DE="x",Codes!$E376,"N/A")))</f>
        <v>Employé</v>
      </c>
      <c r="B376" s="504" t="s">
        <v>1490</v>
      </c>
      <c r="C376" s="501" t="s">
        <v>1777</v>
      </c>
      <c r="D376" s="501" t="s">
        <v>757</v>
      </c>
      <c r="E376" s="501" t="s">
        <v>1529</v>
      </c>
    </row>
    <row r="377" spans="1:5" ht="12.75">
      <c r="A377" s="486" t="str">
        <f>IF(Fld_Menu_FR="x",Codes!$D377,IF(Fld_Menu_EN="x",Codes!$C377,IF(Fld_Menu_DE="x",Codes!$E377,"N/A")))</f>
        <v>Intérimaire</v>
      </c>
      <c r="B377" s="504" t="s">
        <v>1690</v>
      </c>
      <c r="C377" s="501" t="s">
        <v>1778</v>
      </c>
      <c r="D377" s="501" t="s">
        <v>758</v>
      </c>
      <c r="E377" s="501" t="s">
        <v>760</v>
      </c>
    </row>
    <row r="378" spans="1:5" ht="12.75">
      <c r="A378" s="486" t="str">
        <f>IF(Fld_Menu_FR="x",Codes!$D378,IF(Fld_Menu_EN="x",Codes!$C378,IF(Fld_Menu_DE="x",Codes!$E378,"N/A")))</f>
        <v>Autre</v>
      </c>
      <c r="B378" s="504" t="s">
        <v>1691</v>
      </c>
      <c r="C378" s="501" t="s">
        <v>898</v>
      </c>
      <c r="D378" s="501" t="s">
        <v>759</v>
      </c>
      <c r="E378" s="501" t="s">
        <v>416</v>
      </c>
    </row>
    <row r="379" spans="1:5" ht="12.75">
      <c r="A379" s="486" t="str">
        <f>IF(Fld_Menu_FR="x",Codes!$D379,IF(Fld_Menu_EN="x",Codes!$C379,IF(Fld_Menu_DE="x",Codes!$E379,"N/A")))</f>
        <v>A compléter si nécessaire</v>
      </c>
      <c r="C379" s="502" t="s">
        <v>218</v>
      </c>
      <c r="D379" s="486" t="s">
        <v>219</v>
      </c>
      <c r="E379" s="502" t="s">
        <v>220</v>
      </c>
    </row>
    <row r="380" spans="1:5" ht="12.75">
      <c r="A380" s="486" t="str">
        <f>IF(Fld_Menu_FR="x",Codes!$D380,IF(Fld_Menu_EN="x",Codes!$C380,IF(Fld_Menu_DE="x",Codes!$E380,"N/A")))</f>
        <v>A compléter si nécessaire</v>
      </c>
      <c r="C380" s="490" t="s">
        <v>218</v>
      </c>
      <c r="D380" s="486" t="s">
        <v>219</v>
      </c>
      <c r="E380" s="490" t="s">
        <v>220</v>
      </c>
    </row>
    <row r="381" spans="1:5" ht="12.75">
      <c r="A381" s="486" t="str">
        <f>IF(Fld_Menu_FR="x",Codes!$D381,IF(Fld_Menu_EN="x",Codes!$C381,IF(Fld_Menu_DE="x",Codes!$E381,"N/A")))</f>
        <v>A compléter si nécessaire</v>
      </c>
      <c r="C381" s="490" t="s">
        <v>218</v>
      </c>
      <c r="D381" s="486" t="s">
        <v>219</v>
      </c>
      <c r="E381" s="490" t="s">
        <v>220</v>
      </c>
    </row>
    <row r="382" spans="1:5" ht="12.75">
      <c r="A382" s="486" t="str">
        <f>IF(Fld_Menu_FR="x",Codes!$D382,IF(Fld_Menu_EN="x",Codes!$C382,IF(Fld_Menu_DE="x",Codes!$E382,"N/A")))</f>
        <v>A compléter si nécessaire</v>
      </c>
      <c r="C382" s="490" t="s">
        <v>218</v>
      </c>
      <c r="D382" s="486" t="s">
        <v>219</v>
      </c>
      <c r="E382" s="490" t="s">
        <v>220</v>
      </c>
    </row>
    <row r="383" spans="1:5" ht="12.75">
      <c r="A383" s="486" t="str">
        <f>IF(Fld_Menu_FR="x",Codes!$D383,IF(Fld_Menu_EN="x",Codes!$C383,IF(Fld_Menu_DE="x",Codes!$E383,"N/A")))</f>
        <v>A compléter si nécessaire</v>
      </c>
      <c r="C383" s="490" t="s">
        <v>218</v>
      </c>
      <c r="D383" s="486" t="s">
        <v>219</v>
      </c>
      <c r="E383" s="490" t="s">
        <v>220</v>
      </c>
    </row>
    <row r="384" spans="1:5" ht="12.75">
      <c r="A384" s="486" t="str">
        <f>IF(Fld_Menu_FR="x",Codes!$D384,IF(Fld_Menu_EN="x",Codes!$C384,IF(Fld_Menu_DE="x",Codes!$E384,"N/A")))</f>
        <v>A compléter si nécessaire</v>
      </c>
      <c r="C384" s="490" t="s">
        <v>218</v>
      </c>
      <c r="D384" s="486" t="s">
        <v>219</v>
      </c>
      <c r="E384" s="490" t="s">
        <v>220</v>
      </c>
    </row>
    <row r="385" spans="1:5" ht="12.75">
      <c r="A385" s="486" t="str">
        <f>IF(Fld_Menu_FR="x",Codes!$D385,IF(Fld_Menu_EN="x",Codes!$C385,IF(Fld_Menu_DE="x",Codes!$E385,"N/A")))</f>
        <v>A compléter si nécessaire</v>
      </c>
      <c r="C385" s="490" t="s">
        <v>218</v>
      </c>
      <c r="D385" s="486" t="s">
        <v>219</v>
      </c>
      <c r="E385" s="490" t="s">
        <v>220</v>
      </c>
    </row>
    <row r="386" spans="1:5" ht="12.75">
      <c r="A386" s="486" t="str">
        <f>IF(Fld_Menu_FR="x",Codes!$D386,IF(Fld_Menu_EN="x",Codes!$C386,IF(Fld_Menu_DE="x",Codes!$E386,"N/A")))</f>
        <v>A compléter si nécessaire</v>
      </c>
      <c r="C386" s="490" t="s">
        <v>218</v>
      </c>
      <c r="D386" s="486" t="s">
        <v>219</v>
      </c>
      <c r="E386" s="490" t="s">
        <v>220</v>
      </c>
    </row>
    <row r="387" spans="1:5" ht="12.75">
      <c r="A387" s="486" t="str">
        <f>IF(Fld_Menu_FR="x",Codes!$D387,IF(Fld_Menu_EN="x",Codes!$C387,IF(Fld_Menu_DE="x",Codes!$E387,"N/A")))</f>
        <v>A compléter si nécessaire</v>
      </c>
      <c r="C387" s="490" t="s">
        <v>218</v>
      </c>
      <c r="D387" s="486" t="s">
        <v>219</v>
      </c>
      <c r="E387" s="490" t="s">
        <v>220</v>
      </c>
    </row>
    <row r="388" spans="1:5" ht="12.75">
      <c r="A388" s="486" t="str">
        <f>IF(Fld_Menu_FR="x",Codes!$D388,IF(Fld_Menu_EN="x",Codes!$C388,IF(Fld_Menu_DE="x",Codes!$E388,"N/A")))</f>
        <v>A compléter si nécessaire</v>
      </c>
      <c r="C388" s="490" t="s">
        <v>218</v>
      </c>
      <c r="D388" s="486" t="s">
        <v>219</v>
      </c>
      <c r="E388" s="490" t="s">
        <v>220</v>
      </c>
    </row>
    <row r="389" spans="1:5" ht="12.75">
      <c r="A389" s="486" t="str">
        <f>IF(Fld_Menu_FR="x",Codes!$D389,IF(Fld_Menu_EN="x",Codes!$C389,IF(Fld_Menu_DE="x",Codes!$E389,"N/A")))</f>
        <v>A compléter si nécessaire</v>
      </c>
      <c r="C389" s="490" t="s">
        <v>218</v>
      </c>
      <c r="D389" s="486" t="s">
        <v>219</v>
      </c>
      <c r="E389" s="490" t="s">
        <v>220</v>
      </c>
    </row>
    <row r="390" spans="1:5" ht="12.75">
      <c r="A390" s="486" t="str">
        <f>IF(Fld_Menu_FR="x",Codes!$D390,IF(Fld_Menu_EN="x",Codes!$C390,IF(Fld_Menu_DE="x",Codes!$E390,"N/A")))</f>
        <v>A compléter si nécessaire</v>
      </c>
      <c r="C390" s="490" t="s">
        <v>218</v>
      </c>
      <c r="D390" s="486" t="s">
        <v>219</v>
      </c>
      <c r="E390" s="490" t="s">
        <v>220</v>
      </c>
    </row>
    <row r="391" spans="1:5" ht="12.75">
      <c r="A391" s="486" t="str">
        <f>IF(Fld_Menu_FR="x",Codes!$D391,IF(Fld_Menu_EN="x",Codes!$C391,IF(Fld_Menu_DE="x",Codes!$E391,"N/A")))</f>
        <v>A compléter si nécessaire</v>
      </c>
      <c r="C391" s="490" t="s">
        <v>218</v>
      </c>
      <c r="D391" s="486" t="s">
        <v>219</v>
      </c>
      <c r="E391" s="490" t="s">
        <v>220</v>
      </c>
    </row>
    <row r="392" spans="1:5" ht="12.75">
      <c r="A392" s="486" t="str">
        <f>IF(Fld_Menu_FR="x",Codes!$D392,IF(Fld_Menu_EN="x",Codes!$C392,IF(Fld_Menu_DE="x",Codes!$E392,"N/A")))</f>
        <v>A compléter si nécessaire</v>
      </c>
      <c r="C392" s="490" t="s">
        <v>218</v>
      </c>
      <c r="D392" s="486" t="s">
        <v>219</v>
      </c>
      <c r="E392" s="490" t="s">
        <v>220</v>
      </c>
    </row>
    <row r="393" spans="1:5" ht="12.75">
      <c r="A393" s="486" t="str">
        <f>IF(Fld_Menu_FR="x",Codes!$D393,IF(Fld_Menu_EN="x",Codes!$C393,IF(Fld_Menu_DE="x",Codes!$E393,"N/A")))</f>
        <v>A compléter si nécessaire</v>
      </c>
      <c r="C393" s="490" t="s">
        <v>218</v>
      </c>
      <c r="D393" s="486" t="s">
        <v>219</v>
      </c>
      <c r="E393" s="490" t="s">
        <v>220</v>
      </c>
    </row>
    <row r="394" spans="1:5" ht="12.75">
      <c r="A394" s="486" t="str">
        <f>IF(Fld_Menu_FR="x",Codes!$D394,IF(Fld_Menu_EN="x",Codes!$C394,IF(Fld_Menu_DE="x",Codes!$E394,"N/A")))</f>
        <v>A compléter si nécessaire</v>
      </c>
      <c r="C394" s="490" t="s">
        <v>218</v>
      </c>
      <c r="D394" s="486" t="s">
        <v>219</v>
      </c>
      <c r="E394" s="490" t="s">
        <v>220</v>
      </c>
    </row>
    <row r="395" spans="1:5" ht="12.75">
      <c r="A395" s="486" t="str">
        <f>IF(Fld_Menu_FR="x",Codes!$D395,IF(Fld_Menu_EN="x",Codes!$C395,IF(Fld_Menu_DE="x",Codes!$E395,"N/A")))</f>
        <v>A compléter si nécessaire</v>
      </c>
      <c r="C395" s="490" t="s">
        <v>218</v>
      </c>
      <c r="D395" s="486" t="s">
        <v>219</v>
      </c>
      <c r="E395" s="490" t="s">
        <v>220</v>
      </c>
    </row>
    <row r="396" spans="1:5" ht="12.75">
      <c r="A396" s="486" t="str">
        <f>IF(Fld_Menu_FR="x",Codes!$D396,IF(Fld_Menu_EN="x",Codes!$C396,IF(Fld_Menu_DE="x",Codes!$E396,"N/A")))</f>
        <v>A compléter si nécessaire</v>
      </c>
      <c r="C396" s="490" t="s">
        <v>218</v>
      </c>
      <c r="D396" s="486" t="s">
        <v>219</v>
      </c>
      <c r="E396" s="490" t="s">
        <v>220</v>
      </c>
    </row>
    <row r="397" spans="1:5" ht="12.75">
      <c r="A397" s="486" t="str">
        <f>IF(Fld_Menu_FR="x",Codes!$D397,IF(Fld_Menu_EN="x",Codes!$C397,IF(Fld_Menu_DE="x",Codes!$E397,"N/A")))</f>
        <v>A compléter si nécessaire</v>
      </c>
      <c r="C397" s="490" t="s">
        <v>218</v>
      </c>
      <c r="D397" s="486" t="s">
        <v>219</v>
      </c>
      <c r="E397" s="490" t="s">
        <v>220</v>
      </c>
    </row>
    <row r="398" spans="1:5" ht="12.75">
      <c r="A398" s="486" t="str">
        <f>IF(Fld_Menu_FR="x",Codes!$D398,IF(Fld_Menu_EN="x",Codes!$C398,IF(Fld_Menu_DE="x",Codes!$E398,"N/A")))</f>
        <v>A compléter si nécessaire</v>
      </c>
      <c r="C398" s="490" t="s">
        <v>218</v>
      </c>
      <c r="D398" s="486" t="s">
        <v>219</v>
      </c>
      <c r="E398" s="490" t="s">
        <v>220</v>
      </c>
    </row>
    <row r="399" spans="1:5" ht="12.75">
      <c r="A399" s="486" t="str">
        <f>IF(Fld_Menu_FR="x",Codes!$D399,IF(Fld_Menu_EN="x",Codes!$C399,IF(Fld_Menu_DE="x",Codes!$E399,"N/A")))</f>
        <v>A compléter si nécessaire</v>
      </c>
      <c r="C399" s="490" t="s">
        <v>218</v>
      </c>
      <c r="D399" s="486" t="s">
        <v>219</v>
      </c>
      <c r="E399" s="490" t="s">
        <v>220</v>
      </c>
    </row>
    <row r="400" spans="1:5" ht="12.75">
      <c r="A400" s="486" t="str">
        <f>IF(Fld_Menu_FR="x",Codes!$D400,IF(Fld_Menu_EN="x",Codes!$C400,IF(Fld_Menu_DE="x",Codes!$E400,"N/A")))</f>
        <v>A compléter si nécessaire</v>
      </c>
      <c r="C400" s="490" t="s">
        <v>218</v>
      </c>
      <c r="D400" s="486" t="s">
        <v>219</v>
      </c>
      <c r="E400" s="490" t="s">
        <v>220</v>
      </c>
    </row>
    <row r="401" spans="1:5" ht="12.75">
      <c r="A401" s="486" t="str">
        <f>IF(Fld_Menu_FR="x",Codes!$D401,IF(Fld_Menu_EN="x",Codes!$C401,IF(Fld_Menu_DE="x",Codes!$E401,"N/A")))</f>
        <v>A compléter si nécessaire</v>
      </c>
      <c r="C401" s="490" t="s">
        <v>218</v>
      </c>
      <c r="D401" s="486" t="s">
        <v>219</v>
      </c>
      <c r="E401" s="490" t="s">
        <v>220</v>
      </c>
    </row>
    <row r="402" spans="1:5" ht="12.75">
      <c r="A402" s="486" t="str">
        <f>IF(Fld_Menu_FR="x",Codes!$D402,IF(Fld_Menu_EN="x",Codes!$C402,IF(Fld_Menu_DE="x",Codes!$E402,"N/A")))</f>
        <v>A compléter si nécessaire</v>
      </c>
      <c r="C402" s="490" t="s">
        <v>218</v>
      </c>
      <c r="D402" s="486" t="s">
        <v>219</v>
      </c>
      <c r="E402" s="490" t="s">
        <v>220</v>
      </c>
    </row>
    <row r="403" spans="1:5" ht="12.75">
      <c r="A403" s="486" t="str">
        <f>IF(Fld_Menu_FR="x",Codes!$D403,IF(Fld_Menu_EN="x",Codes!$C403,IF(Fld_Menu_DE="x",Codes!$E403,"N/A")))</f>
        <v>A compléter si nécessaire</v>
      </c>
      <c r="C403" s="490" t="s">
        <v>218</v>
      </c>
      <c r="D403" s="486" t="s">
        <v>219</v>
      </c>
      <c r="E403" s="490" t="s">
        <v>220</v>
      </c>
    </row>
    <row r="404" spans="1:5" ht="12.75">
      <c r="A404" s="486" t="str">
        <f>IF(Fld_Menu_FR="x",Codes!$D404,IF(Fld_Menu_EN="x",Codes!$C404,IF(Fld_Menu_DE="x",Codes!$E404,"N/A")))</f>
        <v>A compléter si nécessaire</v>
      </c>
      <c r="C404" s="490" t="s">
        <v>218</v>
      </c>
      <c r="D404" s="486" t="s">
        <v>219</v>
      </c>
      <c r="E404" s="490" t="s">
        <v>220</v>
      </c>
    </row>
    <row r="405" spans="1:5" ht="12.75">
      <c r="A405" s="486" t="str">
        <f>IF(Fld_Menu_FR="x",Codes!$D405,IF(Fld_Menu_EN="x",Codes!$C405,IF(Fld_Menu_DE="x",Codes!$E405,"N/A")))</f>
        <v>A compléter si nécessaire</v>
      </c>
      <c r="C405" s="490" t="s">
        <v>218</v>
      </c>
      <c r="D405" s="486" t="s">
        <v>219</v>
      </c>
      <c r="E405" s="490" t="s">
        <v>220</v>
      </c>
    </row>
    <row r="407" spans="1:5" ht="12.75">
      <c r="A407" s="484"/>
      <c r="B407" s="485" t="s">
        <v>2036</v>
      </c>
      <c r="C407" s="485" t="s">
        <v>2037</v>
      </c>
      <c r="D407" s="485" t="s">
        <v>2038</v>
      </c>
      <c r="E407" s="485" t="s">
        <v>2039</v>
      </c>
    </row>
    <row r="408" spans="1:5" ht="12.75">
      <c r="A408" s="486" t="str">
        <f>IF(Fld_Menu_FR="x",Codes!$D408,IF(Fld_Menu_EN="x",Codes!$C408,IF(Fld_Menu_DE="x",Codes!$E408,"N/A")))</f>
        <v>Belge</v>
      </c>
      <c r="B408" s="495" t="s">
        <v>885</v>
      </c>
      <c r="C408" s="486" t="s">
        <v>2040</v>
      </c>
      <c r="D408" s="486" t="s">
        <v>2041</v>
      </c>
      <c r="E408" s="505" t="s">
        <v>2042</v>
      </c>
    </row>
    <row r="409" spans="1:5" ht="12.75">
      <c r="A409" s="486" t="str">
        <f>IF(Fld_Menu_FR="x",Codes!$D409,IF(Fld_Menu_EN="x",Codes!$C409,IF(Fld_Menu_DE="x",Codes!$E409,"N/A")))</f>
        <v>Danois</v>
      </c>
      <c r="B409" s="495" t="s">
        <v>887</v>
      </c>
      <c r="C409" s="486" t="s">
        <v>2043</v>
      </c>
      <c r="D409" s="486" t="s">
        <v>2044</v>
      </c>
      <c r="E409" s="493" t="s">
        <v>2045</v>
      </c>
    </row>
    <row r="410" spans="1:5" ht="12.75">
      <c r="A410" s="486" t="str">
        <f>IF(Fld_Menu_FR="x",Codes!$D410,IF(Fld_Menu_EN="x",Codes!$C410,IF(Fld_Menu_DE="x",Codes!$E410,"N/A")))</f>
        <v>Allemand</v>
      </c>
      <c r="B410" s="495" t="s">
        <v>889</v>
      </c>
      <c r="C410" s="486" t="s">
        <v>1576</v>
      </c>
      <c r="D410" s="486" t="s">
        <v>688</v>
      </c>
      <c r="E410" s="493" t="s">
        <v>2046</v>
      </c>
    </row>
    <row r="411" spans="1:5" ht="12.75">
      <c r="A411" s="486" t="str">
        <f>IF(Fld_Menu_FR="x",Codes!$D411,IF(Fld_Menu_EN="x",Codes!$C411,IF(Fld_Menu_DE="x",Codes!$E411,"N/A")))</f>
        <v>Grec</v>
      </c>
      <c r="B411" s="495" t="s">
        <v>892</v>
      </c>
      <c r="C411" s="486" t="s">
        <v>2047</v>
      </c>
      <c r="D411" s="486" t="s">
        <v>2048</v>
      </c>
      <c r="E411" s="493" t="s">
        <v>2049</v>
      </c>
    </row>
    <row r="412" spans="1:5" ht="12.75">
      <c r="A412" s="486" t="str">
        <f>IF(Fld_Menu_FR="x",Codes!$D412,IF(Fld_Menu_EN="x",Codes!$C412,IF(Fld_Menu_DE="x",Codes!$E412,"N/A")))</f>
        <v>Espagnol</v>
      </c>
      <c r="B412" s="495" t="s">
        <v>895</v>
      </c>
      <c r="C412" s="486" t="s">
        <v>2050</v>
      </c>
      <c r="D412" s="486" t="s">
        <v>2051</v>
      </c>
      <c r="E412" s="493" t="s">
        <v>2052</v>
      </c>
    </row>
    <row r="413" spans="1:5" ht="12.75">
      <c r="A413" s="486" t="str">
        <f>IF(Fld_Menu_FR="x",Codes!$D413,IF(Fld_Menu_EN="x",Codes!$C413,IF(Fld_Menu_DE="x",Codes!$E413,"N/A")))</f>
        <v>Français</v>
      </c>
      <c r="B413" s="495" t="s">
        <v>687</v>
      </c>
      <c r="C413" s="486" t="s">
        <v>2053</v>
      </c>
      <c r="D413" s="486" t="s">
        <v>1189</v>
      </c>
      <c r="E413" s="493" t="s">
        <v>2054</v>
      </c>
    </row>
    <row r="414" spans="1:5" ht="12.75">
      <c r="A414" s="486" t="str">
        <f>IF(Fld_Menu_FR="x",Codes!$D414,IF(Fld_Menu_EN="x",Codes!$C414,IF(Fld_Menu_DE="x",Codes!$E414,"N/A")))</f>
        <v>Irlandais</v>
      </c>
      <c r="B414" s="495" t="s">
        <v>908</v>
      </c>
      <c r="C414" s="486" t="s">
        <v>2055</v>
      </c>
      <c r="D414" s="486" t="s">
        <v>2056</v>
      </c>
      <c r="E414" s="493" t="s">
        <v>2057</v>
      </c>
    </row>
    <row r="415" spans="1:5" ht="12.75">
      <c r="A415" s="486" t="str">
        <f>IF(Fld_Menu_FR="x",Codes!$D415,IF(Fld_Menu_EN="x",Codes!$C415,IF(Fld_Menu_DE="x",Codes!$E415,"N/A")))</f>
        <v>Italien</v>
      </c>
      <c r="B415" s="495" t="s">
        <v>912</v>
      </c>
      <c r="C415" s="486" t="s">
        <v>2058</v>
      </c>
      <c r="D415" s="486" t="s">
        <v>429</v>
      </c>
      <c r="E415" s="493" t="s">
        <v>2059</v>
      </c>
    </row>
    <row r="416" spans="1:5" ht="12.75">
      <c r="A416" s="486" t="str">
        <f>IF(Fld_Menu_FR="x",Codes!$D416,IF(Fld_Menu_EN="x",Codes!$C416,IF(Fld_Menu_DE="x",Codes!$E416,"N/A")))</f>
        <v>Luxembourgeois</v>
      </c>
      <c r="B416" s="495" t="s">
        <v>430</v>
      </c>
      <c r="C416" s="486" t="s">
        <v>2060</v>
      </c>
      <c r="D416" s="486" t="s">
        <v>2061</v>
      </c>
      <c r="E416" s="493" t="s">
        <v>2062</v>
      </c>
    </row>
    <row r="417" spans="1:5" ht="12.75">
      <c r="A417" s="486" t="str">
        <f>IF(Fld_Menu_FR="x",Codes!$D417,IF(Fld_Menu_EN="x",Codes!$C417,IF(Fld_Menu_DE="x",Codes!$E417,"N/A")))</f>
        <v>Néerlandais</v>
      </c>
      <c r="B417" s="495" t="s">
        <v>433</v>
      </c>
      <c r="C417" s="486" t="s">
        <v>2126</v>
      </c>
      <c r="D417" s="486" t="s">
        <v>2127</v>
      </c>
      <c r="E417" s="493" t="s">
        <v>2128</v>
      </c>
    </row>
    <row r="418" spans="1:5" ht="12.75">
      <c r="A418" s="486" t="str">
        <f>IF(Fld_Menu_FR="x",Codes!$D418,IF(Fld_Menu_EN="x",Codes!$C418,IF(Fld_Menu_DE="x",Codes!$E418,"N/A")))</f>
        <v>Autrichien</v>
      </c>
      <c r="B418" s="495" t="s">
        <v>437</v>
      </c>
      <c r="C418" s="486" t="s">
        <v>2129</v>
      </c>
      <c r="D418" s="486" t="s">
        <v>525</v>
      </c>
      <c r="E418" s="493" t="s">
        <v>526</v>
      </c>
    </row>
    <row r="419" spans="1:5" ht="12.75">
      <c r="A419" s="486" t="str">
        <f>IF(Fld_Menu_FR="x",Codes!$D419,IF(Fld_Menu_EN="x",Codes!$C419,IF(Fld_Menu_DE="x",Codes!$E419,"N/A")))</f>
        <v>Portugais</v>
      </c>
      <c r="B419" s="495" t="s">
        <v>440</v>
      </c>
      <c r="C419" s="486" t="s">
        <v>527</v>
      </c>
      <c r="D419" s="486" t="s">
        <v>528</v>
      </c>
      <c r="E419" s="493" t="s">
        <v>529</v>
      </c>
    </row>
    <row r="420" spans="1:5" ht="12.75">
      <c r="A420" s="486" t="str">
        <f>IF(Fld_Menu_FR="x",Codes!$D420,IF(Fld_Menu_EN="x",Codes!$C420,IF(Fld_Menu_DE="x",Codes!$E420,"N/A")))</f>
        <v>Finlandais</v>
      </c>
      <c r="B420" s="495" t="s">
        <v>442</v>
      </c>
      <c r="C420" s="486" t="s">
        <v>530</v>
      </c>
      <c r="D420" s="486" t="s">
        <v>531</v>
      </c>
      <c r="E420" s="493" t="s">
        <v>532</v>
      </c>
    </row>
    <row r="421" spans="1:5" ht="12.75">
      <c r="A421" s="486" t="str">
        <f>IF(Fld_Menu_FR="x",Codes!$D421,IF(Fld_Menu_EN="x",Codes!$C421,IF(Fld_Menu_DE="x",Codes!$E421,"N/A")))</f>
        <v>Suédois</v>
      </c>
      <c r="B421" s="495" t="s">
        <v>446</v>
      </c>
      <c r="C421" s="486" t="s">
        <v>533</v>
      </c>
      <c r="D421" s="486" t="s">
        <v>534</v>
      </c>
      <c r="E421" s="493" t="s">
        <v>535</v>
      </c>
    </row>
    <row r="422" spans="1:5" ht="12.75">
      <c r="A422" s="486" t="str">
        <f>IF(Fld_Menu_FR="x",Codes!$D422,IF(Fld_Menu_EN="x",Codes!$C422,IF(Fld_Menu_DE="x",Codes!$E422,"N/A")))</f>
        <v>Anglais</v>
      </c>
      <c r="B422" s="495" t="s">
        <v>450</v>
      </c>
      <c r="C422" s="486" t="s">
        <v>536</v>
      </c>
      <c r="D422" s="486" t="s">
        <v>689</v>
      </c>
      <c r="E422" s="493" t="s">
        <v>537</v>
      </c>
    </row>
    <row r="424" spans="1:5" ht="12.75">
      <c r="A424" s="484"/>
      <c r="B424" s="485" t="s">
        <v>538</v>
      </c>
      <c r="C424" s="497" t="s">
        <v>539</v>
      </c>
      <c r="D424" s="497" t="s">
        <v>540</v>
      </c>
      <c r="E424" s="497" t="s">
        <v>541</v>
      </c>
    </row>
    <row r="425" spans="1:5" ht="12.75">
      <c r="A425" s="486" t="str">
        <f>IF(Fld_Menu_FR="x",Codes!$D425,IF(Fld_Menu_EN="x",Codes!$C425,IF(Fld_Menu_DE="x",Codes!$E425,"N/A")))</f>
        <v>EUR</v>
      </c>
      <c r="C425" s="501" t="s">
        <v>1131</v>
      </c>
      <c r="D425" s="501" t="s">
        <v>1131</v>
      </c>
      <c r="E425" s="501" t="s">
        <v>1131</v>
      </c>
    </row>
    <row r="426" spans="1:5" ht="12.75">
      <c r="A426" s="486" t="str">
        <f>IF(Fld_Menu_FR="x",Codes!$D426,IF(Fld_Menu_EN="x",Codes!$C426,IF(Fld_Menu_DE="x",Codes!$E426,"N/A")))</f>
        <v>ATS</v>
      </c>
      <c r="C426" s="501" t="s">
        <v>1498</v>
      </c>
      <c r="D426" s="501" t="s">
        <v>1498</v>
      </c>
      <c r="E426" s="501" t="s">
        <v>1498</v>
      </c>
    </row>
    <row r="427" spans="1:5" ht="12.75">
      <c r="A427" s="486" t="str">
        <f>IF(Fld_Menu_FR="x",Codes!$D427,IF(Fld_Menu_EN="x",Codes!$C427,IF(Fld_Menu_DE="x",Codes!$E427,"N/A")))</f>
        <v>BEF</v>
      </c>
      <c r="C427" s="501" t="s">
        <v>543</v>
      </c>
      <c r="D427" s="501" t="s">
        <v>543</v>
      </c>
      <c r="E427" s="501" t="s">
        <v>543</v>
      </c>
    </row>
    <row r="428" spans="1:5" ht="12.75">
      <c r="A428" s="486" t="str">
        <f>IF(Fld_Menu_FR="x",Codes!$D428,IF(Fld_Menu_EN="x",Codes!$C428,IF(Fld_Menu_DE="x",Codes!$E428,"N/A")))</f>
        <v>DEM</v>
      </c>
      <c r="C428" s="501" t="s">
        <v>1492</v>
      </c>
      <c r="D428" s="501" t="s">
        <v>1492</v>
      </c>
      <c r="E428" s="501" t="s">
        <v>1492</v>
      </c>
    </row>
    <row r="429" spans="1:5" ht="12.75">
      <c r="A429" s="486" t="str">
        <f>IF(Fld_Menu_FR="x",Codes!$D429,IF(Fld_Menu_EN="x",Codes!$C429,IF(Fld_Menu_DE="x",Codes!$E429,"N/A")))</f>
        <v>DKK</v>
      </c>
      <c r="C429" s="501" t="s">
        <v>1501</v>
      </c>
      <c r="D429" s="501" t="s">
        <v>1501</v>
      </c>
      <c r="E429" s="501" t="s">
        <v>1501</v>
      </c>
    </row>
    <row r="430" spans="1:5" ht="12.75">
      <c r="A430" s="486" t="str">
        <f>IF(Fld_Menu_FR="x",Codes!$D430,IF(Fld_Menu_EN="x",Codes!$C430,IF(Fld_Menu_DE="x",Codes!$E430,"N/A")))</f>
        <v>ESP</v>
      </c>
      <c r="C430" s="501" t="s">
        <v>1494</v>
      </c>
      <c r="D430" s="501" t="s">
        <v>1494</v>
      </c>
      <c r="E430" s="501" t="s">
        <v>1494</v>
      </c>
    </row>
    <row r="431" spans="1:5" ht="12.75">
      <c r="A431" s="486" t="str">
        <f>IF(Fld_Menu_FR="x",Codes!$D431,IF(Fld_Menu_EN="x",Codes!$C431,IF(Fld_Menu_DE="x",Codes!$E431,"N/A")))</f>
        <v>FIM</v>
      </c>
      <c r="C431" s="501" t="s">
        <v>1500</v>
      </c>
      <c r="D431" s="501" t="s">
        <v>1500</v>
      </c>
      <c r="E431" s="501" t="s">
        <v>1500</v>
      </c>
    </row>
    <row r="432" spans="1:5" ht="12.75">
      <c r="A432" s="486" t="str">
        <f>IF(Fld_Menu_FR="x",Codes!$D432,IF(Fld_Menu_EN="x",Codes!$C432,IF(Fld_Menu_DE="x",Codes!$E432,"N/A")))</f>
        <v>FRF</v>
      </c>
      <c r="C432" s="501" t="s">
        <v>544</v>
      </c>
      <c r="D432" s="501" t="s">
        <v>544</v>
      </c>
      <c r="E432" s="501" t="s">
        <v>544</v>
      </c>
    </row>
    <row r="433" spans="1:5" ht="12.75">
      <c r="A433" s="486" t="str">
        <f>IF(Fld_Menu_FR="x",Codes!$D433,IF(Fld_Menu_EN="x",Codes!$C433,IF(Fld_Menu_DE="x",Codes!$E433,"N/A")))</f>
        <v>GBP</v>
      </c>
      <c r="C433" s="501" t="s">
        <v>1503</v>
      </c>
      <c r="D433" s="501" t="s">
        <v>1503</v>
      </c>
      <c r="E433" s="501" t="s">
        <v>1503</v>
      </c>
    </row>
    <row r="434" spans="1:5" ht="12.75">
      <c r="A434" s="486" t="str">
        <f>IF(Fld_Menu_FR="x",Codes!$D434,IF(Fld_Menu_EN="x",Codes!$C434,IF(Fld_Menu_DE="x",Codes!$E434,"N/A")))</f>
        <v>GRD</v>
      </c>
      <c r="C434" s="501" t="s">
        <v>1493</v>
      </c>
      <c r="D434" s="501" t="s">
        <v>1493</v>
      </c>
      <c r="E434" s="501" t="s">
        <v>1493</v>
      </c>
    </row>
    <row r="435" spans="1:5" ht="12.75">
      <c r="A435" s="486" t="str">
        <f>IF(Fld_Menu_FR="x",Codes!$D435,IF(Fld_Menu_EN="x",Codes!$C435,IF(Fld_Menu_DE="x",Codes!$E435,"N/A")))</f>
        <v>IEP</v>
      </c>
      <c r="C435" s="501" t="s">
        <v>1495</v>
      </c>
      <c r="D435" s="501" t="s">
        <v>1495</v>
      </c>
      <c r="E435" s="501" t="s">
        <v>1495</v>
      </c>
    </row>
    <row r="436" spans="1:5" ht="12.75">
      <c r="A436" s="486" t="str">
        <f>IF(Fld_Menu_FR="x",Codes!$D436,IF(Fld_Menu_EN="x",Codes!$C436,IF(Fld_Menu_DE="x",Codes!$E436,"N/A")))</f>
        <v>ITL</v>
      </c>
      <c r="C436" s="501" t="s">
        <v>1496</v>
      </c>
      <c r="D436" s="501" t="s">
        <v>1496</v>
      </c>
      <c r="E436" s="501" t="s">
        <v>1496</v>
      </c>
    </row>
    <row r="437" spans="1:5" ht="12.75">
      <c r="A437" s="486" t="str">
        <f>IF(Fld_Menu_FR="x",Codes!$D437,IF(Fld_Menu_EN="x",Codes!$C437,IF(Fld_Menu_DE="x",Codes!$E437,"N/A")))</f>
        <v>LUF</v>
      </c>
      <c r="C437" s="501" t="s">
        <v>542</v>
      </c>
      <c r="D437" s="501" t="s">
        <v>542</v>
      </c>
      <c r="E437" s="501" t="s">
        <v>542</v>
      </c>
    </row>
    <row r="438" spans="1:5" ht="12.75">
      <c r="A438" s="486" t="str">
        <f>IF(Fld_Menu_FR="x",Codes!$D438,IF(Fld_Menu_EN="x",Codes!$C438,IF(Fld_Menu_DE="x",Codes!$E438,"N/A")))</f>
        <v>NLG</v>
      </c>
      <c r="C438" s="501" t="s">
        <v>1497</v>
      </c>
      <c r="D438" s="501" t="s">
        <v>1497</v>
      </c>
      <c r="E438" s="501" t="s">
        <v>1497</v>
      </c>
    </row>
    <row r="439" spans="1:5" ht="12.75">
      <c r="A439" s="486" t="str">
        <f>IF(Fld_Menu_FR="x",Codes!$D439,IF(Fld_Menu_EN="x",Codes!$C439,IF(Fld_Menu_DE="x",Codes!$E439,"N/A")))</f>
        <v>PTE</v>
      </c>
      <c r="C439" s="501" t="s">
        <v>1499</v>
      </c>
      <c r="D439" s="501" t="s">
        <v>1499</v>
      </c>
      <c r="E439" s="501" t="s">
        <v>1499</v>
      </c>
    </row>
    <row r="440" spans="1:5" ht="12.75">
      <c r="A440" s="486" t="str">
        <f>IF(Fld_Menu_FR="x",Codes!$D440,IF(Fld_Menu_EN="x",Codes!$C440,IF(Fld_Menu_DE="x",Codes!$E440,"N/A")))</f>
        <v>SEK</v>
      </c>
      <c r="C440" s="501" t="s">
        <v>1502</v>
      </c>
      <c r="D440" s="501" t="s">
        <v>1502</v>
      </c>
      <c r="E440" s="501" t="s">
        <v>1502</v>
      </c>
    </row>
    <row r="441" spans="1:5" ht="12.75">
      <c r="A441" s="486" t="str">
        <f>IF(Fld_Menu_FR="x",Codes!$D441,IF(Fld_Menu_EN="x",Codes!$C441,IF(Fld_Menu_DE="x",Codes!$E441,"N/A")))</f>
        <v>TRL</v>
      </c>
      <c r="C441" s="501" t="s">
        <v>399</v>
      </c>
      <c r="D441" s="501" t="s">
        <v>399</v>
      </c>
      <c r="E441" s="501" t="s">
        <v>399</v>
      </c>
    </row>
    <row r="442" spans="1:5" ht="12.75">
      <c r="A442" s="486" t="str">
        <f>IF(Fld_Menu_FR="x",Codes!$D442,IF(Fld_Menu_EN="x",Codes!$C442,IF(Fld_Menu_DE="x",Codes!$E442,"N/A")))</f>
        <v>BGN</v>
      </c>
      <c r="C442" s="506" t="s">
        <v>398</v>
      </c>
      <c r="D442" s="486" t="s">
        <v>398</v>
      </c>
      <c r="E442" s="506" t="s">
        <v>398</v>
      </c>
    </row>
    <row r="443" spans="1:5" ht="12.75">
      <c r="A443" s="486" t="str">
        <f>IF(Fld_Menu_FR="x",Codes!$D443,IF(Fld_Menu_EN="x",Codes!$C443,IF(Fld_Menu_DE="x",Codes!$E443,"N/A")))</f>
        <v>CHF</v>
      </c>
      <c r="C443" s="501" t="s">
        <v>1504</v>
      </c>
      <c r="D443" s="501" t="s">
        <v>1504</v>
      </c>
      <c r="E443" s="501" t="s">
        <v>1504</v>
      </c>
    </row>
    <row r="444" spans="1:5" ht="12.75">
      <c r="A444" s="486" t="str">
        <f>IF(Fld_Menu_FR="x",Codes!$D444,IF(Fld_Menu_EN="x",Codes!$C444,IF(Fld_Menu_DE="x",Codes!$E444,"N/A")))</f>
        <v>CYP</v>
      </c>
      <c r="C444" s="501" t="s">
        <v>1507</v>
      </c>
      <c r="D444" s="501" t="s">
        <v>1507</v>
      </c>
      <c r="E444" s="501" t="s">
        <v>1507</v>
      </c>
    </row>
    <row r="445" spans="1:5" ht="12.75">
      <c r="A445" s="486" t="str">
        <f>IF(Fld_Menu_FR="x",Codes!$D445,IF(Fld_Menu_EN="x",Codes!$C445,IF(Fld_Menu_DE="x",Codes!$E445,"N/A")))</f>
        <v>CZK</v>
      </c>
      <c r="C445" s="501" t="s">
        <v>1510</v>
      </c>
      <c r="D445" s="501" t="s">
        <v>1510</v>
      </c>
      <c r="E445" s="501" t="s">
        <v>1510</v>
      </c>
    </row>
    <row r="446" spans="1:5" ht="12.75">
      <c r="A446" s="486" t="str">
        <f>IF(Fld_Menu_FR="x",Codes!$D446,IF(Fld_Menu_EN="x",Codes!$C446,IF(Fld_Menu_DE="x",Codes!$E446,"N/A")))</f>
        <v>EEK</v>
      </c>
      <c r="C446" s="501" t="s">
        <v>1511</v>
      </c>
      <c r="D446" s="501" t="s">
        <v>1511</v>
      </c>
      <c r="E446" s="501" t="s">
        <v>1511</v>
      </c>
    </row>
    <row r="447" spans="1:5" ht="12.75">
      <c r="A447" s="486" t="str">
        <f>IF(Fld_Menu_FR="x",Codes!$D447,IF(Fld_Menu_EN="x",Codes!$C447,IF(Fld_Menu_DE="x",Codes!$E447,"N/A")))</f>
        <v>HUF</v>
      </c>
      <c r="C447" s="501" t="s">
        <v>1508</v>
      </c>
      <c r="D447" s="501" t="s">
        <v>1508</v>
      </c>
      <c r="E447" s="501" t="s">
        <v>1508</v>
      </c>
    </row>
    <row r="448" spans="1:5" ht="12.75">
      <c r="A448" s="486" t="str">
        <f>IF(Fld_Menu_FR="x",Codes!$D448,IF(Fld_Menu_EN="x",Codes!$C448,IF(Fld_Menu_DE="x",Codes!$E448,"N/A")))</f>
        <v>ISK</v>
      </c>
      <c r="C448" s="501" t="s">
        <v>1506</v>
      </c>
      <c r="D448" s="501" t="s">
        <v>1506</v>
      </c>
      <c r="E448" s="501" t="s">
        <v>1506</v>
      </c>
    </row>
    <row r="449" spans="1:5" ht="12.75">
      <c r="A449" s="486" t="str">
        <f>IF(Fld_Menu_FR="x",Codes!$D449,IF(Fld_Menu_EN="x",Codes!$C449,IF(Fld_Menu_DE="x",Codes!$E449,"N/A")))</f>
        <v>LTL</v>
      </c>
      <c r="B449" s="487"/>
      <c r="C449" s="501" t="s">
        <v>1513</v>
      </c>
      <c r="D449" s="501" t="s">
        <v>1513</v>
      </c>
      <c r="E449" s="501" t="s">
        <v>1513</v>
      </c>
    </row>
    <row r="450" spans="1:5" ht="12.75">
      <c r="A450" s="486" t="str">
        <f>IF(Fld_Menu_FR="x",Codes!$D450,IF(Fld_Menu_EN="x",Codes!$C450,IF(Fld_Menu_DE="x",Codes!$E450,"N/A")))</f>
        <v>LVL</v>
      </c>
      <c r="C450" s="501" t="s">
        <v>1512</v>
      </c>
      <c r="D450" s="501" t="s">
        <v>1512</v>
      </c>
      <c r="E450" s="501" t="s">
        <v>1512</v>
      </c>
    </row>
    <row r="451" spans="1:5" ht="12.75">
      <c r="A451" s="486" t="str">
        <f>IF(Fld_Menu_FR="x",Codes!$D451,IF(Fld_Menu_EN="x",Codes!$C451,IF(Fld_Menu_DE="x",Codes!$E451,"N/A")))</f>
        <v>MTL</v>
      </c>
      <c r="C451" s="501" t="s">
        <v>1514</v>
      </c>
      <c r="D451" s="501" t="s">
        <v>1514</v>
      </c>
      <c r="E451" s="501" t="s">
        <v>1514</v>
      </c>
    </row>
    <row r="452" spans="1:5" ht="12.75">
      <c r="A452" s="486" t="str">
        <f>IF(Fld_Menu_FR="x",Codes!$D452,IF(Fld_Menu_EN="x",Codes!$C452,IF(Fld_Menu_DE="x",Codes!$E452,"N/A")))</f>
        <v>NOK</v>
      </c>
      <c r="C452" s="501" t="s">
        <v>1505</v>
      </c>
      <c r="D452" s="501" t="s">
        <v>1505</v>
      </c>
      <c r="E452" s="501" t="s">
        <v>1505</v>
      </c>
    </row>
    <row r="453" spans="1:5" ht="12.75">
      <c r="A453" s="486" t="str">
        <f>IF(Fld_Menu_FR="x",Codes!$D453,IF(Fld_Menu_EN="x",Codes!$C453,IF(Fld_Menu_DE="x",Codes!$E453,"N/A")))</f>
        <v>PLN</v>
      </c>
      <c r="C453" s="506" t="s">
        <v>397</v>
      </c>
      <c r="D453" s="486" t="s">
        <v>397</v>
      </c>
      <c r="E453" s="506" t="s">
        <v>397</v>
      </c>
    </row>
    <row r="454" spans="1:5" ht="12.75">
      <c r="A454" s="486" t="str">
        <f>IF(Fld_Menu_FR="x",Codes!$D454,IF(Fld_Menu_EN="x",Codes!$C454,IF(Fld_Menu_DE="x",Codes!$E454,"N/A")))</f>
        <v>ROL</v>
      </c>
      <c r="C454" s="501" t="s">
        <v>1515</v>
      </c>
      <c r="D454" s="501" t="s">
        <v>1515</v>
      </c>
      <c r="E454" s="501" t="s">
        <v>1515</v>
      </c>
    </row>
    <row r="455" spans="1:5" ht="12.75">
      <c r="A455" s="486" t="str">
        <f>IF(Fld_Menu_FR="x",Codes!$D455,IF(Fld_Menu_EN="x",Codes!$C455,IF(Fld_Menu_DE="x",Codes!$E455,"N/A")))</f>
        <v>SIT</v>
      </c>
      <c r="C455" s="507" t="s">
        <v>1509</v>
      </c>
      <c r="D455" s="501" t="s">
        <v>1509</v>
      </c>
      <c r="E455" s="507" t="s">
        <v>1509</v>
      </c>
    </row>
    <row r="456" spans="1:5" ht="12.75">
      <c r="A456" s="486" t="str">
        <f>IF(Fld_Menu_FR="x",Codes!$D456,IF(Fld_Menu_EN="x",Codes!$C456,IF(Fld_Menu_DE="x",Codes!$E456,"N/A")))</f>
        <v>SKK</v>
      </c>
      <c r="C456" s="508" t="s">
        <v>1516</v>
      </c>
      <c r="D456" s="501" t="s">
        <v>1516</v>
      </c>
      <c r="E456" s="508" t="s">
        <v>1516</v>
      </c>
    </row>
    <row r="457" spans="1:5" ht="12.75">
      <c r="A457" s="486" t="str">
        <f>IF(Fld_Menu_FR="x",Codes!$D457,IF(Fld_Menu_EN="x",Codes!$C457,IF(Fld_Menu_DE="x",Codes!$E457,"N/A")))</f>
        <v>A compléter si nécessaire</v>
      </c>
      <c r="C457" s="490" t="s">
        <v>218</v>
      </c>
      <c r="D457" s="486" t="s">
        <v>219</v>
      </c>
      <c r="E457" s="490" t="s">
        <v>220</v>
      </c>
    </row>
    <row r="458" spans="1:5" ht="12.75">
      <c r="A458" s="486" t="str">
        <f>IF(Fld_Menu_FR="x",Codes!$D458,IF(Fld_Menu_EN="x",Codes!$C458,IF(Fld_Menu_DE="x",Codes!$E458,"N/A")))</f>
        <v>A compléter si nécessaire</v>
      </c>
      <c r="C458" s="490" t="s">
        <v>218</v>
      </c>
      <c r="D458" s="486" t="s">
        <v>219</v>
      </c>
      <c r="E458" s="490" t="s">
        <v>220</v>
      </c>
    </row>
    <row r="459" spans="1:5" ht="12.75">
      <c r="A459" s="486" t="str">
        <f>IF(Fld_Menu_FR="x",Codes!$D459,IF(Fld_Menu_EN="x",Codes!$C459,IF(Fld_Menu_DE="x",Codes!$E459,"N/A")))</f>
        <v>A compléter si nécessaire</v>
      </c>
      <c r="C459" s="490" t="s">
        <v>218</v>
      </c>
      <c r="D459" s="486" t="s">
        <v>219</v>
      </c>
      <c r="E459" s="490" t="s">
        <v>220</v>
      </c>
    </row>
    <row r="460" spans="1:5" ht="12.75">
      <c r="A460" s="486" t="str">
        <f>IF(Fld_Menu_FR="x",Codes!$D460,IF(Fld_Menu_EN="x",Codes!$C460,IF(Fld_Menu_DE="x",Codes!$E460,"N/A")))</f>
        <v>A compléter si nécessaire</v>
      </c>
      <c r="C460" s="490" t="s">
        <v>218</v>
      </c>
      <c r="D460" s="486" t="s">
        <v>219</v>
      </c>
      <c r="E460" s="490" t="s">
        <v>220</v>
      </c>
    </row>
    <row r="461" spans="1:5" ht="12.75">
      <c r="A461" s="486" t="str">
        <f>IF(Fld_Menu_FR="x",Codes!$D461,IF(Fld_Menu_EN="x",Codes!$C461,IF(Fld_Menu_DE="x",Codes!$E461,"N/A")))</f>
        <v>A compléter si nécessaire</v>
      </c>
      <c r="C461" s="490" t="s">
        <v>218</v>
      </c>
      <c r="D461" s="486" t="s">
        <v>219</v>
      </c>
      <c r="E461" s="490" t="s">
        <v>220</v>
      </c>
    </row>
    <row r="462" spans="1:5" ht="12.75">
      <c r="A462" s="486" t="str">
        <f>IF(Fld_Menu_FR="x",Codes!$D462,IF(Fld_Menu_EN="x",Codes!$C462,IF(Fld_Menu_DE="x",Codes!$E462,"N/A")))</f>
        <v>A compléter si nécessaire</v>
      </c>
      <c r="C462" s="490" t="s">
        <v>218</v>
      </c>
      <c r="D462" s="486" t="s">
        <v>219</v>
      </c>
      <c r="E462" s="490" t="s">
        <v>220</v>
      </c>
    </row>
    <row r="463" spans="1:5" ht="12.75">
      <c r="A463" s="486" t="str">
        <f>IF(Fld_Menu_FR="x",Codes!$D463,IF(Fld_Menu_EN="x",Codes!$C463,IF(Fld_Menu_DE="x",Codes!$E463,"N/A")))</f>
        <v>A compléter si nécessaire</v>
      </c>
      <c r="C463" s="490" t="s">
        <v>218</v>
      </c>
      <c r="D463" s="486" t="s">
        <v>219</v>
      </c>
      <c r="E463" s="490" t="s">
        <v>220</v>
      </c>
    </row>
    <row r="464" spans="1:5" ht="12.75">
      <c r="A464" s="486" t="str">
        <f>IF(Fld_Menu_FR="x",Codes!$D464,IF(Fld_Menu_EN="x",Codes!$C464,IF(Fld_Menu_DE="x",Codes!$E464,"N/A")))</f>
        <v>A compléter si nécessaire</v>
      </c>
      <c r="C464" s="490" t="s">
        <v>218</v>
      </c>
      <c r="D464" s="486" t="s">
        <v>219</v>
      </c>
      <c r="E464" s="490" t="s">
        <v>220</v>
      </c>
    </row>
    <row r="466" spans="1:5" ht="12.75">
      <c r="A466" s="484"/>
      <c r="B466" s="485" t="s">
        <v>549</v>
      </c>
      <c r="C466" s="485" t="s">
        <v>550</v>
      </c>
      <c r="D466" s="485" t="s">
        <v>551</v>
      </c>
      <c r="E466" s="485" t="s">
        <v>552</v>
      </c>
    </row>
    <row r="467" spans="1:5" ht="12.75">
      <c r="A467" s="486" t="str">
        <f>IF(Fld_Menu_FR="x",Codes!$D467,IF(Fld_Menu_EN="x",Codes!$C467,IF(Fld_Menu_DE="x",Codes!$E467,"N/A")))</f>
        <v>VP/2002/010</v>
      </c>
      <c r="B467" s="495" t="s">
        <v>712</v>
      </c>
      <c r="C467" s="486" t="s">
        <v>712</v>
      </c>
      <c r="D467" s="486" t="s">
        <v>712</v>
      </c>
      <c r="E467" s="486" t="s">
        <v>712</v>
      </c>
    </row>
    <row r="468" ht="12.75">
      <c r="A468" s="486">
        <f>IF(Fld_Menu_FR="x",Codes!$D468,IF(Fld_Menu_EN="x",Codes!$C468,IF(Fld_Menu_DE="x",Codes!$E468,"N/A")))</f>
        <v>0</v>
      </c>
    </row>
    <row r="469" ht="12.75">
      <c r="A469" s="486">
        <f>IF(Fld_Menu_FR="x",Codes!$D469,IF(Fld_Menu_EN="x",Codes!$C469,IF(Fld_Menu_DE="x",Codes!$E469,"N/A")))</f>
        <v>0</v>
      </c>
    </row>
    <row r="470" spans="1:5" ht="12.75">
      <c r="A470" s="486">
        <f>IF(Fld_Menu_FR="x",Codes!$D470,IF(Fld_Menu_EN="x",Codes!$C470,IF(Fld_Menu_DE="x",Codes!$E470,"N/A")))</f>
        <v>0</v>
      </c>
      <c r="C470" s="490"/>
      <c r="E470" s="490"/>
    </row>
    <row r="471" spans="1:5" ht="12.75">
      <c r="A471" s="486">
        <f>IF(Fld_Menu_FR="x",Codes!$D471,IF(Fld_Menu_EN="x",Codes!$C471,IF(Fld_Menu_DE="x",Codes!$E471,"N/A")))</f>
        <v>0</v>
      </c>
      <c r="C471" s="490"/>
      <c r="E471" s="490"/>
    </row>
    <row r="472" spans="1:5" ht="12.75">
      <c r="A472" s="486">
        <f>IF(Fld_Menu_FR="x",Codes!$D472,IF(Fld_Menu_EN="x",Codes!$C472,IF(Fld_Menu_DE="x",Codes!$E472,"N/A")))</f>
        <v>0</v>
      </c>
      <c r="C472" s="490"/>
      <c r="E472" s="490"/>
    </row>
    <row r="473" spans="1:5" ht="12.75">
      <c r="A473" s="486">
        <f>IF(Fld_Menu_FR="x",Codes!$D473,IF(Fld_Menu_EN="x",Codes!$C473,IF(Fld_Menu_DE="x",Codes!$E473,"N/A")))</f>
        <v>0</v>
      </c>
      <c r="C473" s="490"/>
      <c r="E473" s="490"/>
    </row>
    <row r="474" spans="1:5" ht="12.75">
      <c r="A474" s="486">
        <f>IF(Fld_Menu_FR="x",Codes!$D474,IF(Fld_Menu_EN="x",Codes!$C474,IF(Fld_Menu_DE="x",Codes!$E474,"N/A")))</f>
        <v>0</v>
      </c>
      <c r="C474" s="490"/>
      <c r="E474" s="490"/>
    </row>
    <row r="475" spans="1:5" ht="12.75">
      <c r="A475" s="486">
        <f>IF(Fld_Menu_FR="x",Codes!$D475,IF(Fld_Menu_EN="x",Codes!$C475,IF(Fld_Menu_DE="x",Codes!$E475,"N/A")))</f>
        <v>0</v>
      </c>
      <c r="C475" s="490"/>
      <c r="E475" s="490"/>
    </row>
    <row r="476" spans="1:5" ht="12.75">
      <c r="A476" s="486">
        <f>IF(Fld_Menu_FR="x",Codes!$D476,IF(Fld_Menu_EN="x",Codes!$C476,IF(Fld_Menu_DE="x",Codes!$E476,"N/A")))</f>
        <v>0</v>
      </c>
      <c r="C476" s="490"/>
      <c r="E476" s="490"/>
    </row>
    <row r="477" spans="1:5" ht="12.75">
      <c r="A477" s="486">
        <f>IF(Fld_Menu_FR="x",Codes!$D477,IF(Fld_Menu_EN="x",Codes!$C477,IF(Fld_Menu_DE="x",Codes!$E477,"N/A")))</f>
        <v>0</v>
      </c>
      <c r="C477" s="490"/>
      <c r="E477" s="490"/>
    </row>
    <row r="478" spans="1:5" ht="12.75">
      <c r="A478" s="486">
        <f>IF(Fld_Menu_FR="x",Codes!$D478,IF(Fld_Menu_EN="x",Codes!$C478,IF(Fld_Menu_DE="x",Codes!$E478,"N/A")))</f>
        <v>0</v>
      </c>
      <c r="C478" s="490"/>
      <c r="E478" s="490"/>
    </row>
    <row r="479" spans="1:5" ht="12.75">
      <c r="A479" s="486">
        <f>IF(Fld_Menu_FR="x",Codes!$D479,IF(Fld_Menu_EN="x",Codes!$C479,IF(Fld_Menu_DE="x",Codes!$E479,"N/A")))</f>
        <v>0</v>
      </c>
      <c r="C479" s="490"/>
      <c r="E479" s="490"/>
    </row>
    <row r="480" spans="1:5" ht="12.75">
      <c r="A480" s="486">
        <f>IF(Fld_Menu_FR="x",Codes!$D480,IF(Fld_Menu_EN="x",Codes!$C480,IF(Fld_Menu_DE="x",Codes!$E480,"N/A")))</f>
        <v>0</v>
      </c>
      <c r="C480" s="490"/>
      <c r="E480" s="490"/>
    </row>
    <row r="482" spans="1:5" ht="12.75">
      <c r="A482" s="484"/>
      <c r="B482" s="485" t="s">
        <v>553</v>
      </c>
      <c r="C482" s="485" t="s">
        <v>554</v>
      </c>
      <c r="D482" s="485" t="s">
        <v>555</v>
      </c>
      <c r="E482" s="485" t="s">
        <v>556</v>
      </c>
    </row>
    <row r="483" spans="1:5" ht="12.75" customHeight="1">
      <c r="A483" s="486" t="str">
        <f>IF(Fld_Menu_FR="x",Codes!$D483,IF(Fld_Menu_EN="x",Codes!$C483,IF(Fld_Menu_DE="x",Codes!$E483,"N/A")))</f>
        <v>1) Réalisation et dissémination de recherches permettant de mieux comprendre l'exclusion sociale</v>
      </c>
      <c r="B483" s="495" t="s">
        <v>437</v>
      </c>
      <c r="C483" s="486" t="s">
        <v>1070</v>
      </c>
      <c r="D483" s="486" t="s">
        <v>948</v>
      </c>
      <c r="E483" s="486" t="s">
        <v>1679</v>
      </c>
    </row>
    <row r="484" spans="1:5" ht="12.75">
      <c r="A484" s="486" t="str">
        <f>IF(Fld_Menu_FR="x",Codes!$D484,IF(Fld_Menu_EN="x",Codes!$C484,IF(Fld_Menu_DE="x",Codes!$E484,"N/A")))</f>
        <v>2) Agir pour les plus vulnérables</v>
      </c>
      <c r="B484" s="495" t="s">
        <v>885</v>
      </c>
      <c r="C484" s="486" t="s">
        <v>1069</v>
      </c>
      <c r="D484" s="486" t="s">
        <v>949</v>
      </c>
      <c r="E484" s="486" t="s">
        <v>1680</v>
      </c>
    </row>
    <row r="485" spans="1:5" ht="12.75">
      <c r="A485" s="486" t="str">
        <f>IF(Fld_Menu_FR="x",Codes!$D485,IF(Fld_Menu_EN="x",Codes!$C485,IF(Fld_Menu_DE="x",Codes!$E485,"N/A")))</f>
        <v>3) Promotion d'approches novatrices dans les politiques de lutte contre l'exclusion par l'échange de bonnes pratiques</v>
      </c>
      <c r="B485" s="495" t="s">
        <v>224</v>
      </c>
      <c r="C485" s="486" t="s">
        <v>1190</v>
      </c>
      <c r="D485" s="486" t="s">
        <v>950</v>
      </c>
      <c r="E485" s="486" t="s">
        <v>951</v>
      </c>
    </row>
    <row r="486" spans="1:5" ht="12.75" customHeight="1">
      <c r="A486" s="486">
        <f>IF(Fld_Menu_FR="x",Codes!$D486,IF(Fld_Menu_EN="x",Codes!$C486,IF(Fld_Menu_DE="x",Codes!$E486,"N/A")))</f>
        <v>0</v>
      </c>
      <c r="E486" s="490"/>
    </row>
    <row r="487" spans="3:5" ht="12.75">
      <c r="C487" s="490"/>
      <c r="E487" s="490" t="s">
        <v>220</v>
      </c>
    </row>
    <row r="488" spans="3:5" ht="12.75">
      <c r="C488" s="490"/>
      <c r="E488" s="490" t="s">
        <v>220</v>
      </c>
    </row>
    <row r="489" spans="3:5" ht="12.75">
      <c r="C489" s="490"/>
      <c r="E489" s="490" t="s">
        <v>220</v>
      </c>
    </row>
    <row r="490" spans="3:5" ht="12.75">
      <c r="C490" s="490"/>
      <c r="E490" s="490" t="s">
        <v>220</v>
      </c>
    </row>
    <row r="491" spans="3:5" ht="12.75">
      <c r="C491" s="490"/>
      <c r="E491" s="490" t="s">
        <v>220</v>
      </c>
    </row>
    <row r="492" spans="3:5" ht="12.75">
      <c r="C492" s="490"/>
      <c r="E492" s="490" t="s">
        <v>220</v>
      </c>
    </row>
    <row r="493" spans="3:5" ht="12.75">
      <c r="C493" s="490"/>
      <c r="E493" s="490" t="s">
        <v>220</v>
      </c>
    </row>
    <row r="494" spans="3:5" ht="12.75">
      <c r="C494" s="490"/>
      <c r="E494" s="490" t="s">
        <v>220</v>
      </c>
    </row>
    <row r="495" spans="3:5" ht="12.75">
      <c r="C495" s="490"/>
      <c r="E495" s="490" t="s">
        <v>220</v>
      </c>
    </row>
    <row r="496" spans="3:5" ht="12.75">
      <c r="C496" s="490"/>
      <c r="E496" s="490" t="s">
        <v>220</v>
      </c>
    </row>
    <row r="498" spans="1:5" ht="12.75">
      <c r="A498" s="484"/>
      <c r="B498" s="485" t="s">
        <v>557</v>
      </c>
      <c r="C498" s="485" t="s">
        <v>558</v>
      </c>
      <c r="D498" s="485" t="s">
        <v>559</v>
      </c>
      <c r="E498" s="485" t="s">
        <v>560</v>
      </c>
    </row>
    <row r="499" spans="1:5" ht="12.75">
      <c r="A499" s="486" t="str">
        <f>IF(Fld_Menu_FR="x",Codes!$D499,IF(Fld_Menu_EN="x",Codes!$C499,IF(Fld_Menu_DE="x",Codes!$E499,"N/A")))</f>
        <v>Sous-Domaine 1 du domaine A</v>
      </c>
      <c r="B499" s="495">
        <v>1</v>
      </c>
      <c r="C499" s="486" t="s">
        <v>561</v>
      </c>
      <c r="D499" s="486" t="s">
        <v>561</v>
      </c>
      <c r="E499" s="486" t="s">
        <v>561</v>
      </c>
    </row>
    <row r="500" spans="1:5" ht="12.75">
      <c r="A500" s="486" t="str">
        <f>IF(Fld_Menu_FR="x",Codes!$D500,IF(Fld_Menu_EN="x",Codes!$C500,IF(Fld_Menu_DE="x",Codes!$E500,"N/A")))</f>
        <v>Sous-Domaine 2 du domaine A</v>
      </c>
      <c r="B500" s="495">
        <v>2</v>
      </c>
      <c r="C500" s="486" t="s">
        <v>1323</v>
      </c>
      <c r="D500" s="486" t="s">
        <v>1323</v>
      </c>
      <c r="E500" s="486" t="s">
        <v>1323</v>
      </c>
    </row>
    <row r="501" spans="1:5" ht="12.75">
      <c r="A501" s="486" t="str">
        <f>IF(Fld_Menu_FR="x",Codes!$D501,IF(Fld_Menu_EN="x",Codes!$C501,IF(Fld_Menu_DE="x",Codes!$E501,"N/A")))</f>
        <v>Sous-Domaine 1 du domaine B</v>
      </c>
      <c r="B501" s="495">
        <v>3</v>
      </c>
      <c r="C501" s="486" t="s">
        <v>562</v>
      </c>
      <c r="D501" s="486" t="s">
        <v>562</v>
      </c>
      <c r="E501" s="486" t="s">
        <v>562</v>
      </c>
    </row>
    <row r="502" spans="3:5" ht="12.75">
      <c r="C502" s="490"/>
      <c r="E502" s="490" t="s">
        <v>220</v>
      </c>
    </row>
    <row r="503" spans="3:5" ht="12.75">
      <c r="C503" s="490"/>
      <c r="E503" s="490" t="s">
        <v>220</v>
      </c>
    </row>
    <row r="504" spans="3:5" ht="12.75">
      <c r="C504" s="490"/>
      <c r="E504" s="490" t="s">
        <v>220</v>
      </c>
    </row>
    <row r="505" spans="3:5" ht="12.75">
      <c r="C505" s="490"/>
      <c r="E505" s="490" t="s">
        <v>220</v>
      </c>
    </row>
    <row r="506" spans="3:5" ht="12.75">
      <c r="C506" s="490"/>
      <c r="E506" s="490" t="s">
        <v>220</v>
      </c>
    </row>
    <row r="507" spans="3:5" ht="12.75">
      <c r="C507" s="490"/>
      <c r="E507" s="490" t="s">
        <v>220</v>
      </c>
    </row>
    <row r="508" spans="3:5" ht="12.75">
      <c r="C508" s="490"/>
      <c r="E508" s="490" t="s">
        <v>220</v>
      </c>
    </row>
    <row r="509" spans="3:5" ht="12.75">
      <c r="C509" s="490"/>
      <c r="E509" s="490" t="s">
        <v>220</v>
      </c>
    </row>
    <row r="510" spans="3:5" ht="12.75">
      <c r="C510" s="490"/>
      <c r="E510" s="490" t="s">
        <v>220</v>
      </c>
    </row>
    <row r="511" spans="3:5" ht="12.75">
      <c r="C511" s="490"/>
      <c r="E511" s="490" t="s">
        <v>220</v>
      </c>
    </row>
    <row r="512" spans="3:5" ht="12.75">
      <c r="C512" s="490"/>
      <c r="E512" s="490" t="s">
        <v>220</v>
      </c>
    </row>
    <row r="514" spans="1:5" ht="12.75">
      <c r="A514" s="484"/>
      <c r="B514" s="509"/>
      <c r="C514" s="510" t="s">
        <v>563</v>
      </c>
      <c r="D514" s="485" t="s">
        <v>564</v>
      </c>
      <c r="E514" s="485" t="s">
        <v>12</v>
      </c>
    </row>
    <row r="515" spans="1:5" ht="12.75">
      <c r="A515" s="486" t="str">
        <f>IF(Fld_Menu_FR="x",Codes!$D515,IF(Fld_Menu_EN="x",Codes!$C515,IF(Fld_Menu_DE="x",Codes!$E515,"N/A")))</f>
        <v>B3-4105</v>
      </c>
      <c r="C515" s="486" t="s">
        <v>713</v>
      </c>
      <c r="D515" s="486" t="s">
        <v>713</v>
      </c>
      <c r="E515" s="486" t="s">
        <v>713</v>
      </c>
    </row>
    <row r="517" spans="3:5" ht="12.75">
      <c r="C517" s="490"/>
      <c r="E517" s="490" t="s">
        <v>220</v>
      </c>
    </row>
    <row r="518" spans="3:5" ht="12.75">
      <c r="C518" s="490"/>
      <c r="E518" s="490" t="s">
        <v>220</v>
      </c>
    </row>
    <row r="519" spans="3:5" ht="12.75">
      <c r="C519" s="490"/>
      <c r="E519" s="490" t="s">
        <v>220</v>
      </c>
    </row>
    <row r="520" spans="3:5" ht="12.75">
      <c r="C520" s="490"/>
      <c r="E520" s="490" t="s">
        <v>220</v>
      </c>
    </row>
    <row r="521" spans="3:5" ht="12.75">
      <c r="C521" s="490"/>
      <c r="E521" s="490" t="s">
        <v>220</v>
      </c>
    </row>
    <row r="522" spans="3:5" ht="12.75">
      <c r="C522" s="490"/>
      <c r="E522" s="490" t="s">
        <v>220</v>
      </c>
    </row>
    <row r="523" spans="3:5" ht="12.75">
      <c r="C523" s="490"/>
      <c r="E523" s="490" t="s">
        <v>220</v>
      </c>
    </row>
    <row r="524" spans="3:5" ht="12.75">
      <c r="C524" s="490"/>
      <c r="E524" s="490" t="s">
        <v>220</v>
      </c>
    </row>
    <row r="525" spans="3:5" ht="12.75">
      <c r="C525" s="490"/>
      <c r="E525" s="490" t="s">
        <v>220</v>
      </c>
    </row>
    <row r="526" spans="3:5" ht="12.75">
      <c r="C526" s="490"/>
      <c r="E526" s="490" t="s">
        <v>220</v>
      </c>
    </row>
    <row r="527" spans="3:5" ht="12.75">
      <c r="C527" s="490"/>
      <c r="E527" s="490" t="s">
        <v>220</v>
      </c>
    </row>
    <row r="528" spans="3:5" ht="12.75">
      <c r="C528" s="490"/>
      <c r="E528" s="490" t="s">
        <v>220</v>
      </c>
    </row>
    <row r="530" spans="1:5" ht="12.75">
      <c r="A530" s="484"/>
      <c r="B530" s="509"/>
      <c r="C530" s="510" t="s">
        <v>13</v>
      </c>
      <c r="D530" s="485" t="s">
        <v>14</v>
      </c>
      <c r="E530" s="485" t="s">
        <v>15</v>
      </c>
    </row>
    <row r="531" spans="1:5" s="511" customFormat="1" ht="93.75" customHeight="1">
      <c r="A531" s="511"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1" t="s">
        <v>899</v>
      </c>
      <c r="C531" s="512" t="s">
        <v>11</v>
      </c>
      <c r="D531" s="512" t="s">
        <v>1583</v>
      </c>
      <c r="E531" s="512" t="s">
        <v>523</v>
      </c>
    </row>
    <row r="532" spans="1:5" s="511" customFormat="1" ht="39" customHeight="1">
      <c r="A532" s="511" t="str">
        <f>IF(Fld_Menu_FR="x",Codes!$D532,IF(Fld_Menu_EN="x",Codes!$C532,IF(Fld_Menu_DE="x",Codes!$E532,"N/A")))</f>
        <v>Personnel permanent employé par votre organisation (nombre) :</v>
      </c>
      <c r="B532" s="511" t="s">
        <v>418</v>
      </c>
      <c r="C532" s="511" t="s">
        <v>405</v>
      </c>
      <c r="D532" s="513" t="s">
        <v>1888</v>
      </c>
      <c r="E532" s="513" t="s">
        <v>404</v>
      </c>
    </row>
    <row r="533" spans="1:5" s="511" customFormat="1" ht="33.75" customHeight="1">
      <c r="A533" s="511" t="str">
        <f>IF(Fld_Menu_FR="x",Codes!$D533,IF(Fld_Menu_EN="x",Codes!$C533,IF(Fld_Menu_DE="x",Codes!$E533,"N/A")))</f>
        <v>Bref résumé des objectifs et des activités habituelles de l'organisation:</v>
      </c>
      <c r="B533" s="511" t="s">
        <v>1894</v>
      </c>
      <c r="C533" s="511" t="s">
        <v>407</v>
      </c>
      <c r="D533" s="513" t="s">
        <v>1889</v>
      </c>
      <c r="E533" s="513" t="s">
        <v>406</v>
      </c>
    </row>
    <row r="534" spans="1:5" s="511" customFormat="1" ht="33.75" customHeight="1">
      <c r="A534" s="511" t="str">
        <f>IF(Fld_Menu_FR="x",Codes!$D534,IF(Fld_Menu_EN="x",Codes!$C534,IF(Fld_Menu_DE="x",Codes!$E534,"N/A")))</f>
        <v>Sources habituelles de financement de l'organisation :</v>
      </c>
      <c r="B534" s="511" t="s">
        <v>1895</v>
      </c>
      <c r="C534" s="511" t="s">
        <v>625</v>
      </c>
      <c r="D534" s="513" t="s">
        <v>1890</v>
      </c>
      <c r="E534" s="513" t="s">
        <v>408</v>
      </c>
    </row>
    <row r="535" spans="1:5" s="511" customFormat="1" ht="42.75" customHeight="1">
      <c r="A535" s="511" t="str">
        <f>IF(Fld_Menu_FR="x",Codes!$D535,IF(Fld_Menu_EN="x",Codes!$C535,IF(Fld_Menu_DE="x",Codes!$E535,"N/A")))</f>
        <v>Autres informations utiles :</v>
      </c>
      <c r="B535" s="511" t="s">
        <v>900</v>
      </c>
      <c r="C535" s="511" t="s">
        <v>627</v>
      </c>
      <c r="D535" s="513" t="s">
        <v>1891</v>
      </c>
      <c r="E535" s="513" t="s">
        <v>626</v>
      </c>
    </row>
    <row r="536" spans="1:5" ht="12.75" customHeight="1">
      <c r="A536" s="486">
        <f>IF(Fld_Menu_FR="x",Codes!$D536,IF(Fld_Menu_EN="x",Codes!$C536,IF(Fld_Menu_DE="x",Codes!$E536,"N/A")))</f>
        <v>0</v>
      </c>
      <c r="C536" s="514"/>
      <c r="D536" s="514"/>
      <c r="E536" s="514"/>
    </row>
    <row r="537" spans="1:5" ht="12.75" customHeight="1">
      <c r="A537" s="486">
        <f>IF(Fld_Menu_FR="x",Codes!$D537,IF(Fld_Menu_EN="x",Codes!$C537,IF(Fld_Menu_DE="x",Codes!$E537,"N/A")))</f>
        <v>0</v>
      </c>
      <c r="D537" s="493"/>
      <c r="E537" s="493"/>
    </row>
    <row r="538" spans="1:5" ht="12.75" customHeight="1">
      <c r="A538" s="486">
        <f>IF(Fld_Menu_FR="x",Codes!$D538,IF(Fld_Menu_EN="x",Codes!$C538,IF(Fld_Menu_DE="x",Codes!$E538,"N/A")))</f>
        <v>0</v>
      </c>
      <c r="D538" s="493"/>
      <c r="E538" s="493"/>
    </row>
    <row r="539" spans="1:5" ht="12.75" customHeight="1">
      <c r="A539" s="486">
        <f>IF(Fld_Menu_FR="x",Codes!$D539,IF(Fld_Menu_EN="x",Codes!$C539,IF(Fld_Menu_DE="x",Codes!$E539,"N/A")))</f>
        <v>0</v>
      </c>
      <c r="D539" s="493"/>
      <c r="E539" s="493"/>
    </row>
    <row r="540" spans="1:5" ht="12.75">
      <c r="A540" s="486" t="str">
        <f>IF(Fld_Menu_FR="x",Codes!$D540,IF(Fld_Menu_EN="x",Codes!$C540,IF(Fld_Menu_DE="x",Codes!$E540,"N/A")))</f>
        <v>A compléter si nécessaire</v>
      </c>
      <c r="C540" s="490" t="s">
        <v>218</v>
      </c>
      <c r="D540" s="486" t="s">
        <v>219</v>
      </c>
      <c r="E540" s="490" t="s">
        <v>220</v>
      </c>
    </row>
    <row r="541" spans="1:5" ht="12.75">
      <c r="A541" s="486" t="str">
        <f>IF(Fld_Menu_FR="x",Codes!$D541,IF(Fld_Menu_EN="x",Codes!$C541,IF(Fld_Menu_DE="x",Codes!$E541,"N/A")))</f>
        <v>A compléter si nécessaire</v>
      </c>
      <c r="C541" s="490" t="s">
        <v>218</v>
      </c>
      <c r="D541" s="486" t="s">
        <v>219</v>
      </c>
      <c r="E541" s="490" t="s">
        <v>220</v>
      </c>
    </row>
    <row r="542" spans="1:5" ht="12.75">
      <c r="A542" s="486" t="str">
        <f>IF(Fld_Menu_FR="x",Codes!$D542,IF(Fld_Menu_EN="x",Codes!$C542,IF(Fld_Menu_DE="x",Codes!$E542,"N/A")))</f>
        <v>A compléter si nécessaire</v>
      </c>
      <c r="C542" s="490" t="s">
        <v>218</v>
      </c>
      <c r="D542" s="486" t="s">
        <v>219</v>
      </c>
      <c r="E542" s="490" t="s">
        <v>220</v>
      </c>
    </row>
    <row r="543" spans="1:5" ht="12.75">
      <c r="A543" s="486" t="str">
        <f>IF(Fld_Menu_FR="x",Codes!$D543,IF(Fld_Menu_EN="x",Codes!$C543,IF(Fld_Menu_DE="x",Codes!$E543,"N/A")))</f>
        <v>A compléter si nécessaire</v>
      </c>
      <c r="C543" s="490" t="s">
        <v>218</v>
      </c>
      <c r="D543" s="486" t="s">
        <v>219</v>
      </c>
      <c r="E543" s="490" t="s">
        <v>220</v>
      </c>
    </row>
    <row r="544" spans="1:5" ht="12.75">
      <c r="A544" s="486" t="str">
        <f>IF(Fld_Menu_FR="x",Codes!$D544,IF(Fld_Menu_EN="x",Codes!$C544,IF(Fld_Menu_DE="x",Codes!$E544,"N/A")))</f>
        <v>A compléter si nécessaire</v>
      </c>
      <c r="C544" s="490" t="s">
        <v>218</v>
      </c>
      <c r="D544" s="486" t="s">
        <v>219</v>
      </c>
      <c r="E544" s="490" t="s">
        <v>220</v>
      </c>
    </row>
    <row r="545" spans="1:5" ht="12.75">
      <c r="A545" s="486" t="str">
        <f>IF(Fld_Menu_FR="x",Codes!$D545,IF(Fld_Menu_EN="x",Codes!$C545,IF(Fld_Menu_DE="x",Codes!$E545,"N/A")))</f>
        <v>A compléter si nécessaire</v>
      </c>
      <c r="C545" s="490" t="s">
        <v>218</v>
      </c>
      <c r="D545" s="486" t="s">
        <v>219</v>
      </c>
      <c r="E545" s="490" t="s">
        <v>220</v>
      </c>
    </row>
    <row r="546" spans="1:5" ht="12.75">
      <c r="A546" s="486" t="str">
        <f>IF(Fld_Menu_FR="x",Codes!$D546,IF(Fld_Menu_EN="x",Codes!$C546,IF(Fld_Menu_DE="x",Codes!$E546,"N/A")))</f>
        <v>A compléter si nécessaire</v>
      </c>
      <c r="C546" s="490" t="s">
        <v>218</v>
      </c>
      <c r="D546" s="486" t="s">
        <v>219</v>
      </c>
      <c r="E546" s="490" t="s">
        <v>220</v>
      </c>
    </row>
    <row r="547" spans="1:5" ht="12.75">
      <c r="A547" s="486" t="str">
        <f>IF(Fld_Menu_FR="x",Codes!$D547,IF(Fld_Menu_EN="x",Codes!$C547,IF(Fld_Menu_DE="x",Codes!$E547,"N/A")))</f>
        <v>A compléter si nécessaire</v>
      </c>
      <c r="C547" s="490" t="s">
        <v>218</v>
      </c>
      <c r="D547" s="486" t="s">
        <v>219</v>
      </c>
      <c r="E547" s="490" t="s">
        <v>220</v>
      </c>
    </row>
    <row r="548" spans="1:5" ht="12.75">
      <c r="A548" s="486" t="str">
        <f>IF(Fld_Menu_FR="x",Codes!$D548,IF(Fld_Menu_EN="x",Codes!$C548,IF(Fld_Menu_DE="x",Codes!$E548,"N/A")))</f>
        <v>A compléter si nécessaire</v>
      </c>
      <c r="C548" s="490" t="s">
        <v>218</v>
      </c>
      <c r="D548" s="486" t="s">
        <v>219</v>
      </c>
      <c r="E548" s="490" t="s">
        <v>220</v>
      </c>
    </row>
    <row r="550" spans="1:5" ht="12.75">
      <c r="A550" s="484"/>
      <c r="B550" s="509"/>
      <c r="C550" s="510" t="s">
        <v>16</v>
      </c>
      <c r="D550" s="485" t="s">
        <v>17</v>
      </c>
      <c r="E550" s="485" t="s">
        <v>18</v>
      </c>
    </row>
    <row r="551" spans="1:5" ht="12.75">
      <c r="A551" s="486" t="str">
        <f>IF(Fld_Menu_FR="x",Codes!$D551,IF(Fld_Menu_EN="x",Codes!$C551,IF(Fld_Menu_DE="x",Codes!$E551,"N/A")))</f>
        <v>Oui</v>
      </c>
      <c r="C551" s="486" t="s">
        <v>2118</v>
      </c>
      <c r="D551" s="486" t="s">
        <v>119</v>
      </c>
      <c r="E551" s="486" t="s">
        <v>2120</v>
      </c>
    </row>
    <row r="552" spans="1:5" ht="12.75">
      <c r="A552" s="486" t="str">
        <f>IF(Fld_Menu_FR="x",Codes!$D552,IF(Fld_Menu_EN="x",Codes!$C552,IF(Fld_Menu_DE="x",Codes!$E552,"N/A")))</f>
        <v>Non</v>
      </c>
      <c r="C552" s="486" t="s">
        <v>2119</v>
      </c>
      <c r="D552" s="486" t="s">
        <v>121</v>
      </c>
      <c r="E552" s="486" t="s">
        <v>2121</v>
      </c>
    </row>
    <row r="553" spans="1:5" ht="12.75">
      <c r="A553" s="486" t="str">
        <f>IF(Fld_Menu_FR="x",Codes!$D553,IF(Fld_Menu_EN="x",Codes!$C553,IF(Fld_Menu_DE="x",Codes!$E553,"N/A")))</f>
        <v>En attente</v>
      </c>
      <c r="C553" s="486" t="s">
        <v>1402</v>
      </c>
      <c r="D553" s="486" t="s">
        <v>1403</v>
      </c>
      <c r="E553" s="486" t="s">
        <v>1404</v>
      </c>
    </row>
    <row r="554" spans="1:5" ht="12.75">
      <c r="A554" s="484"/>
      <c r="B554" s="509"/>
      <c r="C554" s="510" t="s">
        <v>19</v>
      </c>
      <c r="D554" s="485" t="s">
        <v>20</v>
      </c>
      <c r="E554" s="485" t="s">
        <v>21</v>
      </c>
    </row>
    <row r="555" spans="1:5" ht="12.75">
      <c r="A555" s="486" t="str">
        <f>IF(Fld_Menu_FR="x",Codes!$D555,IF(Fld_Menu_EN="x",Codes!$C555,IF(Fld_Menu_DE="x",Codes!$E555,"N/A")))</f>
        <v>Subvention</v>
      </c>
      <c r="C555" s="493" t="s">
        <v>2075</v>
      </c>
      <c r="D555" s="493" t="s">
        <v>1906</v>
      </c>
      <c r="E555" s="486" t="s">
        <v>2078</v>
      </c>
    </row>
    <row r="556" spans="1:5" ht="12.75">
      <c r="A556" s="486" t="str">
        <f>IF(Fld_Menu_FR="x",Codes!$D556,IF(Fld_Menu_EN="x",Codes!$C556,IF(Fld_Menu_DE="x",Codes!$E556,"N/A")))</f>
        <v>Aide</v>
      </c>
      <c r="C556" s="493" t="s">
        <v>2076</v>
      </c>
      <c r="D556" s="493" t="s">
        <v>22</v>
      </c>
      <c r="E556" s="486" t="s">
        <v>2079</v>
      </c>
    </row>
    <row r="557" spans="1:5" ht="12.75">
      <c r="A557" s="486" t="str">
        <f>IF(Fld_Menu_FR="x",Codes!$D557,IF(Fld_Menu_EN="x",Codes!$C557,IF(Fld_Menu_DE="x",Codes!$E557,"N/A")))</f>
        <v>Etudes</v>
      </c>
      <c r="C557" s="493" t="s">
        <v>2077</v>
      </c>
      <c r="D557" s="493" t="s">
        <v>23</v>
      </c>
      <c r="E557" s="486" t="s">
        <v>2080</v>
      </c>
    </row>
    <row r="558" spans="1:5" ht="12.75">
      <c r="A558" s="486" t="str">
        <f>IF(Fld_Menu_FR="x",Codes!$D558,IF(Fld_Menu_EN="x",Codes!$C558,IF(Fld_Menu_DE="x",Codes!$E558,"N/A")))</f>
        <v>A compléter si nécessaire</v>
      </c>
      <c r="C558" s="490" t="s">
        <v>218</v>
      </c>
      <c r="D558" s="486" t="s">
        <v>219</v>
      </c>
      <c r="E558" s="490" t="s">
        <v>220</v>
      </c>
    </row>
    <row r="559" spans="1:5" ht="12.75">
      <c r="A559" s="486" t="str">
        <f>IF(Fld_Menu_FR="x",Codes!$D559,IF(Fld_Menu_EN="x",Codes!$C559,IF(Fld_Menu_DE="x",Codes!$E559,"N/A")))</f>
        <v>A compléter si nécessaire</v>
      </c>
      <c r="C559" s="490" t="s">
        <v>218</v>
      </c>
      <c r="D559" s="486" t="s">
        <v>219</v>
      </c>
      <c r="E559" s="490" t="s">
        <v>220</v>
      </c>
    </row>
    <row r="560" spans="1:5" ht="12.75">
      <c r="A560" s="486" t="str">
        <f>IF(Fld_Menu_FR="x",Codes!$D560,IF(Fld_Menu_EN="x",Codes!$C560,IF(Fld_Menu_DE="x",Codes!$E560,"N/A")))</f>
        <v>A compléter si nécessaire</v>
      </c>
      <c r="C560" s="490" t="s">
        <v>218</v>
      </c>
      <c r="D560" s="486" t="s">
        <v>219</v>
      </c>
      <c r="E560" s="490" t="s">
        <v>220</v>
      </c>
    </row>
    <row r="561" spans="1:5" ht="12.75">
      <c r="A561" s="486" t="str">
        <f>IF(Fld_Menu_FR="x",Codes!$D561,IF(Fld_Menu_EN="x",Codes!$C561,IF(Fld_Menu_DE="x",Codes!$E561,"N/A")))</f>
        <v>A compléter si nécessaire</v>
      </c>
      <c r="C561" s="490" t="s">
        <v>218</v>
      </c>
      <c r="D561" s="486" t="s">
        <v>219</v>
      </c>
      <c r="E561" s="490" t="s">
        <v>220</v>
      </c>
    </row>
    <row r="562" spans="1:5" ht="12.75">
      <c r="A562" s="486" t="str">
        <f>IF(Fld_Menu_FR="x",Codes!$D562,IF(Fld_Menu_EN="x",Codes!$C562,IF(Fld_Menu_DE="x",Codes!$E562,"N/A")))</f>
        <v>A compléter si nécessaire</v>
      </c>
      <c r="C562" s="490" t="s">
        <v>218</v>
      </c>
      <c r="D562" s="486" t="s">
        <v>219</v>
      </c>
      <c r="E562" s="490" t="s">
        <v>220</v>
      </c>
    </row>
    <row r="563" spans="1:5" ht="12.75">
      <c r="A563" s="486" t="str">
        <f>IF(Fld_Menu_FR="x",Codes!$D563,IF(Fld_Menu_EN="x",Codes!$C563,IF(Fld_Menu_DE="x",Codes!$E563,"N/A")))</f>
        <v>A compléter si nécessaire</v>
      </c>
      <c r="C563" s="490" t="s">
        <v>218</v>
      </c>
      <c r="D563" s="486" t="s">
        <v>219</v>
      </c>
      <c r="E563" s="490" t="s">
        <v>220</v>
      </c>
    </row>
    <row r="565" spans="1:5" ht="12.75">
      <c r="A565" s="484"/>
      <c r="B565" s="509"/>
      <c r="C565" s="510" t="s">
        <v>24</v>
      </c>
      <c r="D565" s="485" t="s">
        <v>25</v>
      </c>
      <c r="E565" s="485" t="s">
        <v>26</v>
      </c>
    </row>
    <row r="566" spans="1:5" ht="12.75">
      <c r="A566" s="486" t="str">
        <f>IF(Fld_Menu_FR="x",Codes!$D566,IF(Fld_Menu_EN="x",Codes!$C566,IF(Fld_Menu_DE="x",Codes!$E566,"N/A")))</f>
        <v>Anglais</v>
      </c>
      <c r="C566" s="493" t="s">
        <v>1188</v>
      </c>
      <c r="D566" s="493" t="s">
        <v>689</v>
      </c>
      <c r="E566" s="493" t="s">
        <v>2117</v>
      </c>
    </row>
    <row r="567" spans="1:5" ht="12.75">
      <c r="A567" s="486" t="str">
        <f>IF(Fld_Menu_FR="x",Codes!$D567,IF(Fld_Menu_EN="x",Codes!$C567,IF(Fld_Menu_DE="x",Codes!$E567,"N/A")))</f>
        <v>Français</v>
      </c>
      <c r="C567" s="493" t="s">
        <v>1577</v>
      </c>
      <c r="D567" s="493" t="s">
        <v>1189</v>
      </c>
      <c r="E567" s="493" t="s">
        <v>1376</v>
      </c>
    </row>
    <row r="568" spans="1:5" ht="12.75">
      <c r="A568" s="486" t="str">
        <f>IF(Fld_Menu_FR="x",Codes!$D568,IF(Fld_Menu_EN="x",Codes!$C568,IF(Fld_Menu_DE="x",Codes!$E568,"N/A")))</f>
        <v>Allemand</v>
      </c>
      <c r="C568" s="493" t="s">
        <v>1576</v>
      </c>
      <c r="D568" s="493" t="s">
        <v>688</v>
      </c>
      <c r="E568" s="493" t="s">
        <v>1187</v>
      </c>
    </row>
    <row r="578" spans="1:5" ht="12.75">
      <c r="A578" s="484"/>
      <c r="B578" s="509"/>
      <c r="C578" s="510" t="s">
        <v>1398</v>
      </c>
      <c r="D578" s="485" t="s">
        <v>1399</v>
      </c>
      <c r="E578" s="485" t="s">
        <v>1400</v>
      </c>
    </row>
    <row r="579" spans="1:5" ht="12.75">
      <c r="A579" s="486">
        <f>IF(Fld_Menu_FR="x",Codes!$D579,IF(Fld_Menu_EN="x",Codes!$C579,IF(Fld_Menu_DE="x",Codes!$E579,"N/A")))</f>
        <v>2002</v>
      </c>
      <c r="C579" s="493">
        <v>2002</v>
      </c>
      <c r="D579" s="493">
        <v>2002</v>
      </c>
      <c r="E579" s="493">
        <v>2002</v>
      </c>
    </row>
    <row r="580" spans="1:5" ht="12.75">
      <c r="A580" s="486">
        <f>IF(Fld_Menu_FR="x",Codes!$D580,IF(Fld_Menu_EN="x",Codes!$C580,IF(Fld_Menu_DE="x",Codes!$E580,"N/A")))</f>
        <v>2003</v>
      </c>
      <c r="C580" s="493">
        <v>2003</v>
      </c>
      <c r="D580" s="493">
        <v>2003</v>
      </c>
      <c r="E580" s="493">
        <v>2003</v>
      </c>
    </row>
    <row r="581" spans="1:5" ht="12.75">
      <c r="A581" s="486">
        <f>IF(Fld_Menu_FR="x",Codes!$D581,IF(Fld_Menu_EN="x",Codes!$C581,IF(Fld_Menu_DE="x",Codes!$E581,"N/A")))</f>
        <v>2004</v>
      </c>
      <c r="C581" s="493">
        <v>2004</v>
      </c>
      <c r="D581" s="493">
        <v>2004</v>
      </c>
      <c r="E581" s="493">
        <v>2004</v>
      </c>
    </row>
    <row r="582" spans="1:5" ht="12.75">
      <c r="A582" s="486">
        <f>IF(Fld_Menu_FR="x",Codes!$D582,IF(Fld_Menu_EN="x",Codes!$C582,IF(Fld_Menu_DE="x",Codes!$E582,"N/A")))</f>
        <v>2005</v>
      </c>
      <c r="C582" s="493">
        <v>2005</v>
      </c>
      <c r="D582" s="493">
        <v>2005</v>
      </c>
      <c r="E582" s="493">
        <v>2005</v>
      </c>
    </row>
    <row r="583" spans="1:5" ht="12.75">
      <c r="A583" s="486">
        <f>IF(Fld_Menu_FR="x",Codes!$D583,IF(Fld_Menu_EN="x",Codes!$C583,IF(Fld_Menu_DE="x",Codes!$E583,"N/A")))</f>
        <v>2006</v>
      </c>
      <c r="C583" s="493">
        <v>2006</v>
      </c>
      <c r="D583" s="493">
        <v>2006</v>
      </c>
      <c r="E583" s="493">
        <v>2006</v>
      </c>
    </row>
    <row r="584" spans="3:5" ht="12.75">
      <c r="C584" s="493"/>
      <c r="D584" s="493"/>
      <c r="E584" s="493"/>
    </row>
    <row r="587" spans="1:5" ht="12.75">
      <c r="A587" s="484"/>
      <c r="B587" s="515" t="s">
        <v>545</v>
      </c>
      <c r="C587" s="515" t="s">
        <v>546</v>
      </c>
      <c r="D587" s="515" t="s">
        <v>547</v>
      </c>
      <c r="E587" s="515" t="s">
        <v>548</v>
      </c>
    </row>
    <row r="588" spans="1:5" ht="12.75">
      <c r="A588" s="486" t="str">
        <f>IF(Fld_Menu_FR="x",Codes!$D588,IF(Fld_Menu_EN="x",Codes!$C588,IF(Fld_Menu_DE="x",Codes!$E588,"N/A")))</f>
        <v>Nouveau projet</v>
      </c>
      <c r="B588" s="516" t="s">
        <v>1124</v>
      </c>
      <c r="C588" s="501" t="s">
        <v>1071</v>
      </c>
      <c r="D588" s="501" t="s">
        <v>1677</v>
      </c>
      <c r="E588" s="499" t="s">
        <v>1678</v>
      </c>
    </row>
    <row r="589" spans="1:5" ht="12.75">
      <c r="A589" s="486">
        <f>IF(Fld_Menu_FR="x",Codes!$D589,IF(Fld_Menu_EN="x",Codes!$C589,IF(Fld_Menu_DE="x",Codes!$E589,"N/A")))</f>
        <v>0</v>
      </c>
      <c r="B589" s="516"/>
      <c r="C589" s="499"/>
      <c r="D589" s="501"/>
      <c r="E589" s="499"/>
    </row>
    <row r="590" spans="1:5" ht="12.75">
      <c r="A590" s="486">
        <f>IF(Fld_Menu_FR="x",Codes!$D590,IF(Fld_Menu_EN="x",Codes!$C590,IF(Fld_Menu_DE="x",Codes!$E590,"N/A")))</f>
        <v>0</v>
      </c>
      <c r="B590" s="516"/>
      <c r="C590" s="499"/>
      <c r="D590" s="501"/>
      <c r="E590" s="499"/>
    </row>
    <row r="591" spans="1:5" ht="12.75">
      <c r="A591" s="486">
        <f>IF(Fld_Menu_FR="x",Codes!$D591,IF(Fld_Menu_EN="x",Codes!$C591,IF(Fld_Menu_DE="x",Codes!$E591,"N/A")))</f>
        <v>0</v>
      </c>
      <c r="B591" s="516"/>
      <c r="C591" s="499"/>
      <c r="D591" s="501"/>
      <c r="E591" s="499"/>
    </row>
    <row r="592" ht="12.75">
      <c r="D592" s="517"/>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1">
    <pageSetUpPr fitToPage="1"/>
  </sheetPr>
  <dimension ref="A1:IV148"/>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47" width="4.421875" style="6" hidden="1" customWidth="1"/>
    <col min="48" max="54" width="3.7109375" style="6" hidden="1" customWidth="1"/>
    <col min="55" max="55" width="3.7109375" style="320" hidden="1" customWidth="1"/>
    <col min="56" max="118" width="3.7109375" style="6" hidden="1" customWidth="1"/>
    <col min="119" max="16384" width="8.8515625" style="6" hidden="1" customWidth="1"/>
  </cols>
  <sheetData>
    <row r="1" spans="1:45" ht="15">
      <c r="A1" s="847" t="s">
        <v>717</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3"/>
    </row>
    <row r="2" spans="1:45" ht="15.75" customHeight="1">
      <c r="A2" s="825" t="s">
        <v>636</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43"/>
    </row>
    <row r="3" spans="1:59" ht="40.5" customHeight="1" thickBot="1">
      <c r="A3" s="845"/>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5"/>
      <c r="AP3" s="845"/>
      <c r="AQ3" s="845"/>
      <c r="AR3" s="845"/>
      <c r="AS3" s="843"/>
      <c r="AU3" s="877">
        <f>IF(Fld_BNK_SW="x",IF(ISBLANK(Fld_Cpt_ContactPhone),"",Fld_Cpt_ContactPhone),"")</f>
      </c>
      <c r="AV3" s="877"/>
      <c r="AW3" s="877"/>
      <c r="AX3" s="877"/>
      <c r="AY3" s="877"/>
      <c r="AZ3" s="877"/>
      <c r="BA3" s="877">
        <f>IF(Fld_BNK_SW="x",IF(ISBLANK(Fld_Cpt_ContactFax),"",Fld_Cpt_ContactFax),"")</f>
      </c>
      <c r="BB3" s="877"/>
      <c r="BC3" s="877"/>
      <c r="BD3" s="877"/>
      <c r="BE3" s="877"/>
      <c r="BF3" s="877"/>
      <c r="BG3" s="877"/>
    </row>
    <row r="4" spans="1:45" ht="6.75" customHeight="1" thickTop="1">
      <c r="A4" s="846"/>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54"/>
      <c r="AS4" s="843"/>
    </row>
    <row r="5" spans="1:45" ht="15">
      <c r="A5" s="841" t="s">
        <v>718</v>
      </c>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c r="AN5" s="842"/>
      <c r="AO5" s="842"/>
      <c r="AP5" s="842"/>
      <c r="AQ5" s="842"/>
      <c r="AR5" s="855"/>
      <c r="AS5" s="843"/>
    </row>
    <row r="6" spans="1:45" ht="6.75" customHeight="1">
      <c r="A6" s="820"/>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56"/>
      <c r="AS6" s="843"/>
    </row>
    <row r="7" spans="1:118" ht="15.75" customHeight="1">
      <c r="A7" s="818" t="s">
        <v>699</v>
      </c>
      <c r="B7" s="819"/>
      <c r="C7" s="819"/>
      <c r="D7" s="819"/>
      <c r="E7" s="819"/>
      <c r="F7" s="819"/>
      <c r="G7" s="819"/>
      <c r="H7" s="314"/>
      <c r="I7" s="323">
        <f aca="true" t="shared" si="0" ref="I7:AQ7">IF(ISERR(AW$7),"",AW$7)</f>
      </c>
      <c r="J7" s="323">
        <f t="shared" si="0"/>
      </c>
      <c r="K7" s="323">
        <f t="shared" si="0"/>
      </c>
      <c r="L7" s="323">
        <f t="shared" si="0"/>
      </c>
      <c r="M7" s="323">
        <f t="shared" si="0"/>
      </c>
      <c r="N7" s="323">
        <f t="shared" si="0"/>
      </c>
      <c r="O7" s="323">
        <f t="shared" si="0"/>
      </c>
      <c r="P7" s="323">
        <f t="shared" si="0"/>
      </c>
      <c r="Q7" s="323">
        <f t="shared" si="0"/>
      </c>
      <c r="R7" s="323">
        <f t="shared" si="0"/>
      </c>
      <c r="S7" s="323">
        <f t="shared" si="0"/>
      </c>
      <c r="T7" s="323">
        <f t="shared" si="0"/>
      </c>
      <c r="U7" s="323">
        <f t="shared" si="0"/>
      </c>
      <c r="V7" s="323">
        <f t="shared" si="0"/>
      </c>
      <c r="W7" s="323">
        <f t="shared" si="0"/>
      </c>
      <c r="X7" s="323">
        <f t="shared" si="0"/>
      </c>
      <c r="Y7" s="323">
        <f t="shared" si="0"/>
      </c>
      <c r="Z7" s="323">
        <f t="shared" si="0"/>
      </c>
      <c r="AA7" s="323">
        <f t="shared" si="0"/>
      </c>
      <c r="AB7" s="323">
        <f t="shared" si="0"/>
      </c>
      <c r="AC7" s="323">
        <f t="shared" si="0"/>
      </c>
      <c r="AD7" s="323">
        <f t="shared" si="0"/>
      </c>
      <c r="AE7" s="323">
        <f t="shared" si="0"/>
      </c>
      <c r="AF7" s="323">
        <f t="shared" si="0"/>
      </c>
      <c r="AG7" s="323">
        <f t="shared" si="0"/>
      </c>
      <c r="AH7" s="323">
        <f t="shared" si="0"/>
      </c>
      <c r="AI7" s="323">
        <f t="shared" si="0"/>
      </c>
      <c r="AJ7" s="323">
        <f t="shared" si="0"/>
      </c>
      <c r="AK7" s="323">
        <f t="shared" si="0"/>
      </c>
      <c r="AL7" s="323">
        <f t="shared" si="0"/>
      </c>
      <c r="AM7" s="323">
        <f t="shared" si="0"/>
      </c>
      <c r="AN7" s="323">
        <f t="shared" si="0"/>
      </c>
      <c r="AO7" s="323">
        <f t="shared" si="0"/>
      </c>
      <c r="AP7" s="323">
        <f t="shared" si="0"/>
      </c>
      <c r="AQ7" s="324">
        <f t="shared" si="0"/>
      </c>
      <c r="AR7" s="316"/>
      <c r="AS7" s="843"/>
      <c r="AU7" s="6">
        <f>IF(Fld_BNK_SW="x",IF(ISBLANK(Fld_Compte_nom),"",Fld_Compte_nom),"")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6"/>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869"/>
      <c r="AS8" s="843"/>
      <c r="BC8" s="319"/>
    </row>
    <row r="9" spans="1:45" ht="15">
      <c r="A9" s="820"/>
      <c r="B9" s="821"/>
      <c r="C9" s="821"/>
      <c r="D9" s="821"/>
      <c r="E9" s="821"/>
      <c r="F9" s="821"/>
      <c r="G9" s="821"/>
      <c r="H9" s="857"/>
      <c r="I9" s="323">
        <f aca="true" t="shared" si="4" ref="I9:AQ9">IF(ISERR(CF$7),"",CF$7)</f>
      </c>
      <c r="J9" s="323">
        <f t="shared" si="4"/>
      </c>
      <c r="K9" s="323">
        <f t="shared" si="4"/>
      </c>
      <c r="L9" s="323">
        <f t="shared" si="4"/>
      </c>
      <c r="M9" s="323">
        <f t="shared" si="4"/>
      </c>
      <c r="N9" s="323">
        <f t="shared" si="4"/>
      </c>
      <c r="O9" s="323">
        <f t="shared" si="4"/>
      </c>
      <c r="P9" s="323">
        <f t="shared" si="4"/>
      </c>
      <c r="Q9" s="323">
        <f t="shared" si="4"/>
      </c>
      <c r="R9" s="323">
        <f t="shared" si="4"/>
      </c>
      <c r="S9" s="323">
        <f t="shared" si="4"/>
      </c>
      <c r="T9" s="323">
        <f t="shared" si="4"/>
      </c>
      <c r="U9" s="323">
        <f t="shared" si="4"/>
      </c>
      <c r="V9" s="323">
        <f t="shared" si="4"/>
      </c>
      <c r="W9" s="323">
        <f t="shared" si="4"/>
      </c>
      <c r="X9" s="323">
        <f t="shared" si="4"/>
      </c>
      <c r="Y9" s="323">
        <f t="shared" si="4"/>
      </c>
      <c r="Z9" s="323">
        <f t="shared" si="4"/>
      </c>
      <c r="AA9" s="323">
        <f t="shared" si="4"/>
      </c>
      <c r="AB9" s="323">
        <f t="shared" si="4"/>
      </c>
      <c r="AC9" s="323">
        <f t="shared" si="4"/>
      </c>
      <c r="AD9" s="323">
        <f t="shared" si="4"/>
      </c>
      <c r="AE9" s="323">
        <f t="shared" si="4"/>
      </c>
      <c r="AF9" s="323">
        <f t="shared" si="4"/>
      </c>
      <c r="AG9" s="323">
        <f t="shared" si="4"/>
      </c>
      <c r="AH9" s="323">
        <f t="shared" si="4"/>
      </c>
      <c r="AI9" s="323">
        <f t="shared" si="4"/>
      </c>
      <c r="AJ9" s="323">
        <f t="shared" si="4"/>
      </c>
      <c r="AK9" s="323">
        <f t="shared" si="4"/>
      </c>
      <c r="AL9" s="323">
        <f t="shared" si="4"/>
      </c>
      <c r="AM9" s="323">
        <f t="shared" si="4"/>
      </c>
      <c r="AN9" s="323">
        <f t="shared" si="4"/>
      </c>
      <c r="AO9" s="323">
        <f t="shared" si="4"/>
      </c>
      <c r="AP9" s="323">
        <f t="shared" si="4"/>
      </c>
      <c r="AQ9" s="324">
        <f t="shared" si="4"/>
      </c>
      <c r="AR9" s="316"/>
      <c r="AS9" s="843"/>
    </row>
    <row r="10" spans="1:45" ht="6.75" customHeight="1">
      <c r="A10" s="820"/>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56"/>
      <c r="AS10" s="843"/>
    </row>
    <row r="11" spans="1:118" ht="15.75" customHeight="1">
      <c r="A11" s="870" t="s">
        <v>719</v>
      </c>
      <c r="B11" s="547"/>
      <c r="C11" s="547"/>
      <c r="D11" s="547"/>
      <c r="E11" s="547"/>
      <c r="F11" s="547"/>
      <c r="G11" s="547"/>
      <c r="H11" s="314"/>
      <c r="I11" s="323">
        <f aca="true" t="shared" si="5" ref="I11:AQ11">IF(ISERR(AW$11),"",AW$11)</f>
      </c>
      <c r="J11" s="323">
        <f t="shared" si="5"/>
      </c>
      <c r="K11" s="323">
        <f t="shared" si="5"/>
      </c>
      <c r="L11" s="323">
        <f t="shared" si="5"/>
      </c>
      <c r="M11" s="323">
        <f t="shared" si="5"/>
      </c>
      <c r="N11" s="323">
        <f t="shared" si="5"/>
      </c>
      <c r="O11" s="323">
        <f t="shared" si="5"/>
      </c>
      <c r="P11" s="323">
        <f t="shared" si="5"/>
      </c>
      <c r="Q11" s="323">
        <f t="shared" si="5"/>
      </c>
      <c r="R11" s="323">
        <f t="shared" si="5"/>
      </c>
      <c r="S11" s="323">
        <f t="shared" si="5"/>
      </c>
      <c r="T11" s="323">
        <f t="shared" si="5"/>
      </c>
      <c r="U11" s="323">
        <f t="shared" si="5"/>
      </c>
      <c r="V11" s="323">
        <f t="shared" si="5"/>
      </c>
      <c r="W11" s="323">
        <f t="shared" si="5"/>
      </c>
      <c r="X11" s="323">
        <f t="shared" si="5"/>
      </c>
      <c r="Y11" s="323">
        <f t="shared" si="5"/>
      </c>
      <c r="Z11" s="323">
        <f t="shared" si="5"/>
      </c>
      <c r="AA11" s="323">
        <f t="shared" si="5"/>
      </c>
      <c r="AB11" s="323">
        <f t="shared" si="5"/>
      </c>
      <c r="AC11" s="323">
        <f t="shared" si="5"/>
      </c>
      <c r="AD11" s="323">
        <f t="shared" si="5"/>
      </c>
      <c r="AE11" s="323">
        <f t="shared" si="5"/>
      </c>
      <c r="AF11" s="323">
        <f t="shared" si="5"/>
      </c>
      <c r="AG11" s="323">
        <f t="shared" si="5"/>
      </c>
      <c r="AH11" s="323">
        <f t="shared" si="5"/>
      </c>
      <c r="AI11" s="323">
        <f t="shared" si="5"/>
      </c>
      <c r="AJ11" s="323">
        <f t="shared" si="5"/>
      </c>
      <c r="AK11" s="323">
        <f t="shared" si="5"/>
      </c>
      <c r="AL11" s="323">
        <f t="shared" si="5"/>
      </c>
      <c r="AM11" s="323">
        <f t="shared" si="5"/>
      </c>
      <c r="AN11" s="323">
        <f t="shared" si="5"/>
      </c>
      <c r="AO11" s="323">
        <f t="shared" si="5"/>
      </c>
      <c r="AP11" s="323">
        <f t="shared" si="5"/>
      </c>
      <c r="AQ11" s="324">
        <f t="shared" si="5"/>
      </c>
      <c r="AR11" s="316"/>
      <c r="AS11" s="843"/>
      <c r="AU11" s="6">
        <f>IF(Fld_BNK_SW="x",IF(ISBLANK(Fld_Cpt_Address1),"",Fld_Cpt_Address1),"")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0"/>
      <c r="B12" s="821"/>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56"/>
      <c r="AS12" s="843"/>
    </row>
    <row r="13" spans="1:118" ht="15">
      <c r="A13" s="820"/>
      <c r="B13" s="821"/>
      <c r="C13" s="821"/>
      <c r="D13" s="821"/>
      <c r="E13" s="821"/>
      <c r="F13" s="821"/>
      <c r="G13" s="821"/>
      <c r="H13" s="857"/>
      <c r="I13" s="323">
        <f aca="true" t="shared" si="9" ref="I13:AQ13">IF(ISERR(AW$13),"",AW$13)</f>
      </c>
      <c r="J13" s="323">
        <f t="shared" si="9"/>
      </c>
      <c r="K13" s="323">
        <f t="shared" si="9"/>
      </c>
      <c r="L13" s="323">
        <f t="shared" si="9"/>
      </c>
      <c r="M13" s="323">
        <f t="shared" si="9"/>
      </c>
      <c r="N13" s="323">
        <f t="shared" si="9"/>
      </c>
      <c r="O13" s="323">
        <f t="shared" si="9"/>
      </c>
      <c r="P13" s="323">
        <f t="shared" si="9"/>
      </c>
      <c r="Q13" s="323">
        <f t="shared" si="9"/>
      </c>
      <c r="R13" s="323">
        <f t="shared" si="9"/>
      </c>
      <c r="S13" s="323">
        <f t="shared" si="9"/>
      </c>
      <c r="T13" s="323">
        <f t="shared" si="9"/>
      </c>
      <c r="U13" s="323">
        <f t="shared" si="9"/>
      </c>
      <c r="V13" s="323">
        <f t="shared" si="9"/>
      </c>
      <c r="W13" s="323">
        <f t="shared" si="9"/>
      </c>
      <c r="X13" s="323">
        <f t="shared" si="9"/>
      </c>
      <c r="Y13" s="323">
        <f t="shared" si="9"/>
      </c>
      <c r="Z13" s="323">
        <f t="shared" si="9"/>
      </c>
      <c r="AA13" s="323">
        <f t="shared" si="9"/>
      </c>
      <c r="AB13" s="323">
        <f t="shared" si="9"/>
      </c>
      <c r="AC13" s="323">
        <f t="shared" si="9"/>
      </c>
      <c r="AD13" s="323">
        <f t="shared" si="9"/>
      </c>
      <c r="AE13" s="323">
        <f t="shared" si="9"/>
      </c>
      <c r="AF13" s="323">
        <f t="shared" si="9"/>
      </c>
      <c r="AG13" s="323">
        <f t="shared" si="9"/>
      </c>
      <c r="AH13" s="323">
        <f t="shared" si="9"/>
      </c>
      <c r="AI13" s="323">
        <f t="shared" si="9"/>
      </c>
      <c r="AJ13" s="323">
        <f t="shared" si="9"/>
      </c>
      <c r="AK13" s="323">
        <f t="shared" si="9"/>
      </c>
      <c r="AL13" s="323">
        <f t="shared" si="9"/>
      </c>
      <c r="AM13" s="323">
        <f t="shared" si="9"/>
      </c>
      <c r="AN13" s="323">
        <f t="shared" si="9"/>
      </c>
      <c r="AO13" s="323">
        <f t="shared" si="9"/>
      </c>
      <c r="AP13" s="323">
        <f t="shared" si="9"/>
      </c>
      <c r="AQ13" s="324">
        <f t="shared" si="9"/>
      </c>
      <c r="AR13" s="316"/>
      <c r="AS13" s="843"/>
      <c r="AU13" s="6">
        <f>IF(Fld_BNK_SW="x",IF(ISBLANK(Fld_Cpt_Address2),"",Fld_Cpt_Address2),"")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0"/>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56"/>
      <c r="AS14" s="843"/>
    </row>
    <row r="15" spans="1:118" ht="15.75" customHeight="1">
      <c r="A15" s="818" t="s">
        <v>720</v>
      </c>
      <c r="B15" s="819"/>
      <c r="C15" s="819"/>
      <c r="D15" s="819"/>
      <c r="E15" s="819"/>
      <c r="F15" s="819"/>
      <c r="G15" s="819"/>
      <c r="H15" s="314"/>
      <c r="I15" s="323">
        <f aca="true" t="shared" si="13" ref="I15:AQ15">IF(ISERR(AW$15),"",AW$15)</f>
      </c>
      <c r="J15" s="323">
        <f t="shared" si="13"/>
      </c>
      <c r="K15" s="323">
        <f t="shared" si="13"/>
      </c>
      <c r="L15" s="323">
        <f t="shared" si="13"/>
      </c>
      <c r="M15" s="323">
        <f t="shared" si="13"/>
      </c>
      <c r="N15" s="323">
        <f t="shared" si="13"/>
      </c>
      <c r="O15" s="323">
        <f t="shared" si="13"/>
      </c>
      <c r="P15" s="323">
        <f t="shared" si="13"/>
      </c>
      <c r="Q15" s="323">
        <f t="shared" si="13"/>
      </c>
      <c r="R15" s="323">
        <f t="shared" si="13"/>
      </c>
      <c r="S15" s="323">
        <f t="shared" si="13"/>
      </c>
      <c r="T15" s="323">
        <f t="shared" si="13"/>
      </c>
      <c r="U15" s="323">
        <f t="shared" si="13"/>
      </c>
      <c r="V15" s="323">
        <f t="shared" si="13"/>
      </c>
      <c r="W15" s="323">
        <f t="shared" si="13"/>
      </c>
      <c r="X15" s="323">
        <f t="shared" si="13"/>
      </c>
      <c r="Y15" s="323">
        <f t="shared" si="13"/>
      </c>
      <c r="Z15" s="323">
        <f t="shared" si="13"/>
      </c>
      <c r="AA15" s="323">
        <f t="shared" si="13"/>
      </c>
      <c r="AB15" s="323">
        <f t="shared" si="13"/>
      </c>
      <c r="AC15" s="323">
        <f t="shared" si="13"/>
      </c>
      <c r="AD15" s="323">
        <f t="shared" si="13"/>
      </c>
      <c r="AE15" s="323">
        <f t="shared" si="13"/>
      </c>
      <c r="AF15" s="323">
        <f t="shared" si="13"/>
      </c>
      <c r="AG15" s="323">
        <f t="shared" si="13"/>
      </c>
      <c r="AH15" s="323">
        <f t="shared" si="13"/>
      </c>
      <c r="AI15" s="323">
        <f t="shared" si="13"/>
      </c>
      <c r="AJ15" s="323">
        <f t="shared" si="13"/>
      </c>
      <c r="AK15" s="323">
        <f t="shared" si="13"/>
      </c>
      <c r="AL15" s="323">
        <f t="shared" si="13"/>
      </c>
      <c r="AM15" s="323">
        <f t="shared" si="13"/>
      </c>
      <c r="AN15" s="323">
        <f t="shared" si="13"/>
      </c>
      <c r="AO15" s="323">
        <f t="shared" si="13"/>
      </c>
      <c r="AP15" s="323">
        <f t="shared" si="13"/>
      </c>
      <c r="AQ15" s="324">
        <f t="shared" si="13"/>
      </c>
      <c r="AR15" s="316"/>
      <c r="AS15" s="843"/>
      <c r="AU15" s="6">
        <f>IF(Fld_BNK_SW="x",IF(ISBLANK(Fld_Cpt_Ville),"",Fld_Cpt_Ville),"")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0"/>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56"/>
      <c r="AS16" s="843"/>
    </row>
    <row r="17" spans="1:118" ht="15.75" customHeight="1">
      <c r="A17" s="818" t="s">
        <v>721</v>
      </c>
      <c r="B17" s="819"/>
      <c r="C17" s="819"/>
      <c r="D17" s="819"/>
      <c r="E17" s="819"/>
      <c r="F17" s="819"/>
      <c r="G17" s="819"/>
      <c r="H17" s="314"/>
      <c r="I17" s="323">
        <f aca="true" t="shared" si="17" ref="I17:N17">IF(ISERR(AW$17),"",AW$17)</f>
      </c>
      <c r="J17" s="323">
        <f t="shared" si="17"/>
      </c>
      <c r="K17" s="323">
        <f t="shared" si="17"/>
      </c>
      <c r="L17" s="323">
        <f t="shared" si="17"/>
      </c>
      <c r="M17" s="323">
        <f t="shared" si="17"/>
      </c>
      <c r="N17" s="323">
        <f t="shared" si="17"/>
      </c>
      <c r="O17" s="833"/>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0"/>
      <c r="AS17" s="843"/>
      <c r="AU17" s="6">
        <f>IF(Fld_BNK_SW="x",IF(ISBLANK(Fld_Cpt_CodePostal),"",Fld_Cpt_CodePostal),"")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45" ht="6.75" customHeight="1">
      <c r="A18" s="822"/>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c r="AM18" s="823"/>
      <c r="AN18" s="823"/>
      <c r="AO18" s="823"/>
      <c r="AP18" s="823"/>
      <c r="AQ18" s="823"/>
      <c r="AR18" s="859"/>
      <c r="AS18" s="843"/>
    </row>
    <row r="19" spans="1:118" ht="15.75" customHeight="1">
      <c r="A19" s="818" t="s">
        <v>722</v>
      </c>
      <c r="B19" s="819"/>
      <c r="C19" s="819"/>
      <c r="D19" s="819"/>
      <c r="E19" s="819"/>
      <c r="F19" s="819"/>
      <c r="G19" s="819"/>
      <c r="H19" s="314"/>
      <c r="I19" s="323">
        <f aca="true" t="shared" si="21" ref="I19:AQ19">IF(ISERR(AW$19),"",AW$19)</f>
      </c>
      <c r="J19" s="323">
        <f t="shared" si="21"/>
      </c>
      <c r="K19" s="323">
        <f t="shared" si="21"/>
      </c>
      <c r="L19" s="323">
        <f t="shared" si="21"/>
      </c>
      <c r="M19" s="323">
        <f t="shared" si="21"/>
      </c>
      <c r="N19" s="323">
        <f t="shared" si="21"/>
      </c>
      <c r="O19" s="323">
        <f t="shared" si="21"/>
      </c>
      <c r="P19" s="323">
        <f t="shared" si="21"/>
      </c>
      <c r="Q19" s="323">
        <f t="shared" si="21"/>
      </c>
      <c r="R19" s="323">
        <f t="shared" si="21"/>
      </c>
      <c r="S19" s="323">
        <f t="shared" si="21"/>
      </c>
      <c r="T19" s="323">
        <f t="shared" si="21"/>
      </c>
      <c r="U19" s="323">
        <f t="shared" si="21"/>
      </c>
      <c r="V19" s="323">
        <f t="shared" si="21"/>
      </c>
      <c r="W19" s="323">
        <f t="shared" si="21"/>
      </c>
      <c r="X19" s="323">
        <f t="shared" si="21"/>
      </c>
      <c r="Y19" s="323">
        <f t="shared" si="21"/>
      </c>
      <c r="Z19" s="323">
        <f t="shared" si="21"/>
      </c>
      <c r="AA19" s="323">
        <f t="shared" si="21"/>
      </c>
      <c r="AB19" s="323">
        <f t="shared" si="21"/>
      </c>
      <c r="AC19" s="323">
        <f t="shared" si="21"/>
      </c>
      <c r="AD19" s="323">
        <f t="shared" si="21"/>
      </c>
      <c r="AE19" s="323">
        <f t="shared" si="21"/>
      </c>
      <c r="AF19" s="323">
        <f t="shared" si="21"/>
      </c>
      <c r="AG19" s="323">
        <f t="shared" si="21"/>
      </c>
      <c r="AH19" s="323">
        <f t="shared" si="21"/>
      </c>
      <c r="AI19" s="323">
        <f t="shared" si="21"/>
      </c>
      <c r="AJ19" s="323">
        <f t="shared" si="21"/>
      </c>
      <c r="AK19" s="323">
        <f t="shared" si="21"/>
      </c>
      <c r="AL19" s="323">
        <f t="shared" si="21"/>
      </c>
      <c r="AM19" s="323">
        <f t="shared" si="21"/>
      </c>
      <c r="AN19" s="323">
        <f t="shared" si="21"/>
      </c>
      <c r="AO19" s="323">
        <f t="shared" si="21"/>
      </c>
      <c r="AP19" s="323">
        <f t="shared" si="21"/>
      </c>
      <c r="AQ19" s="324">
        <f t="shared" si="21"/>
      </c>
      <c r="AR19" s="316"/>
      <c r="AS19" s="843"/>
      <c r="AU19" s="6">
        <f>IF(Fld_BNK_SW="x",IF(ISBLANK(Fld_Cpt_ContactNom),"",Fld_Cpt_ContactNom&amp;"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45" ht="6.75" customHeight="1">
      <c r="A20" s="822"/>
      <c r="B20" s="823"/>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3"/>
      <c r="AP20" s="823"/>
      <c r="AQ20" s="823"/>
      <c r="AR20" s="859"/>
      <c r="AS20" s="843"/>
    </row>
    <row r="21" spans="1:118" ht="15.75" customHeight="1">
      <c r="A21" s="818" t="s">
        <v>704</v>
      </c>
      <c r="B21" s="819"/>
      <c r="C21" s="819"/>
      <c r="D21" s="819"/>
      <c r="E21" s="819"/>
      <c r="F21" s="819"/>
      <c r="G21" s="819"/>
      <c r="H21" s="314"/>
      <c r="I21" s="323">
        <f aca="true" t="shared" si="25" ref="I21:AL21">IF(ISERR(AW$21),"",AW$21)</f>
      </c>
      <c r="J21" s="323">
        <f t="shared" si="25"/>
      </c>
      <c r="K21" s="323">
        <f t="shared" si="25"/>
      </c>
      <c r="L21" s="323">
        <f t="shared" si="25"/>
      </c>
      <c r="M21" s="323">
        <f t="shared" si="25"/>
      </c>
      <c r="N21" s="323">
        <f t="shared" si="25"/>
      </c>
      <c r="O21" s="323">
        <f t="shared" si="25"/>
      </c>
      <c r="P21" s="323">
        <f t="shared" si="25"/>
      </c>
      <c r="Q21" s="323">
        <f t="shared" si="25"/>
      </c>
      <c r="R21" s="323">
        <f t="shared" si="25"/>
      </c>
      <c r="S21" s="323">
        <f t="shared" si="25"/>
      </c>
      <c r="T21" s="323">
        <f t="shared" si="25"/>
      </c>
      <c r="U21" s="323">
        <f t="shared" si="25"/>
      </c>
      <c r="V21" s="323">
        <f t="shared" si="25"/>
      </c>
      <c r="W21" s="323">
        <f t="shared" si="25"/>
      </c>
      <c r="X21" s="323">
        <f t="shared" si="25"/>
      </c>
      <c r="Y21" s="323">
        <f t="shared" si="25"/>
      </c>
      <c r="Z21" s="323">
        <f t="shared" si="25"/>
      </c>
      <c r="AA21" s="323">
        <f t="shared" si="25"/>
      </c>
      <c r="AB21" s="323">
        <f t="shared" si="25"/>
      </c>
      <c r="AC21" s="323">
        <f t="shared" si="25"/>
      </c>
      <c r="AD21" s="323">
        <f t="shared" si="25"/>
      </c>
      <c r="AE21" s="323">
        <f t="shared" si="25"/>
      </c>
      <c r="AF21" s="323">
        <f t="shared" si="25"/>
      </c>
      <c r="AG21" s="323">
        <f t="shared" si="25"/>
      </c>
      <c r="AH21" s="323">
        <f t="shared" si="25"/>
      </c>
      <c r="AI21" s="323">
        <f t="shared" si="25"/>
      </c>
      <c r="AJ21" s="323">
        <f t="shared" si="25"/>
      </c>
      <c r="AK21" s="323">
        <f t="shared" si="25"/>
      </c>
      <c r="AL21" s="324">
        <f t="shared" si="25"/>
      </c>
      <c r="AM21" s="834"/>
      <c r="AN21" s="834"/>
      <c r="AO21" s="834"/>
      <c r="AP21" s="834"/>
      <c r="AQ21" s="834"/>
      <c r="AR21" s="830"/>
      <c r="AS21" s="843"/>
      <c r="AU21" s="6">
        <f>IF(Fld_BNK_SW="x",IF(ISBLANK(Fld_Cpt_ContactPhone),"",Fld_Cpt_ContactPhone),"")</f>
      </c>
      <c r="AV21" s="6">
        <f>IF(AU21=0,"",LEN(AU21))</f>
        <v>0</v>
      </c>
      <c r="AW21" s="6">
        <f aca="true" t="shared" si="26" ref="AW21:CB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aca="true" t="shared" si="27" ref="CC21:DH21">UPPER(MID($AU$21,(COLUMN(CC21)-($AV$21+(COLUMN($AW$21)-$AV$21-1))),1))</f>
      </c>
      <c r="CD21" s="6">
        <f t="shared" si="27"/>
      </c>
      <c r="CE21" s="6">
        <f t="shared" si="27"/>
      </c>
      <c r="CF21" s="6">
        <f t="shared" si="27"/>
      </c>
      <c r="CG21" s="6">
        <f t="shared" si="27"/>
      </c>
      <c r="CH21" s="6">
        <f t="shared" si="27"/>
      </c>
      <c r="CI21" s="6">
        <f t="shared" si="27"/>
      </c>
      <c r="CJ21" s="6">
        <f t="shared" si="27"/>
      </c>
      <c r="CK21" s="6">
        <f t="shared" si="27"/>
      </c>
      <c r="CL21" s="6">
        <f t="shared" si="27"/>
      </c>
      <c r="CM21" s="6">
        <f t="shared" si="27"/>
      </c>
      <c r="CN21" s="6">
        <f t="shared" si="27"/>
      </c>
      <c r="CO21" s="6">
        <f t="shared" si="27"/>
      </c>
      <c r="CP21" s="6">
        <f t="shared" si="27"/>
      </c>
      <c r="CQ21" s="6">
        <f t="shared" si="27"/>
      </c>
      <c r="CR21" s="6">
        <f t="shared" si="27"/>
      </c>
      <c r="CS21" s="6">
        <f t="shared" si="27"/>
      </c>
      <c r="CT21" s="6">
        <f t="shared" si="27"/>
      </c>
      <c r="CU21" s="6">
        <f t="shared" si="27"/>
      </c>
      <c r="CV21" s="6">
        <f t="shared" si="27"/>
      </c>
      <c r="CW21" s="6">
        <f t="shared" si="27"/>
      </c>
      <c r="CX21" s="6">
        <f t="shared" si="27"/>
      </c>
      <c r="CY21" s="6">
        <f t="shared" si="27"/>
      </c>
      <c r="CZ21" s="6">
        <f t="shared" si="27"/>
      </c>
      <c r="DA21" s="6">
        <f t="shared" si="27"/>
      </c>
      <c r="DB21" s="6">
        <f t="shared" si="27"/>
      </c>
      <c r="DC21" s="6">
        <f t="shared" si="27"/>
      </c>
      <c r="DD21" s="6">
        <f t="shared" si="27"/>
      </c>
      <c r="DE21" s="6">
        <f t="shared" si="27"/>
      </c>
      <c r="DF21" s="6">
        <f t="shared" si="27"/>
      </c>
      <c r="DG21" s="6">
        <f t="shared" si="27"/>
      </c>
      <c r="DH21" s="6">
        <f t="shared" si="27"/>
      </c>
      <c r="DI21" s="6">
        <f aca="true" t="shared" si="28" ref="DI21:DN21">UPPER(MID($AU$21,(COLUMN(DI21)-($AV$21+(COLUMN($AW$21)-$AV$21-1))),1))</f>
      </c>
      <c r="DJ21" s="6">
        <f t="shared" si="28"/>
      </c>
      <c r="DK21" s="6">
        <f t="shared" si="28"/>
      </c>
      <c r="DL21" s="6">
        <f t="shared" si="28"/>
      </c>
      <c r="DM21" s="6">
        <f t="shared" si="28"/>
      </c>
      <c r="DN21" s="6">
        <f t="shared" si="28"/>
      </c>
    </row>
    <row r="22" spans="1:45" ht="6.75" customHeight="1">
      <c r="A22" s="822"/>
      <c r="B22" s="823"/>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59"/>
      <c r="AS22" s="843"/>
    </row>
    <row r="23" spans="1:118" ht="15.75" customHeight="1">
      <c r="A23" s="818" t="s">
        <v>723</v>
      </c>
      <c r="B23" s="819"/>
      <c r="C23" s="819"/>
      <c r="D23" s="819"/>
      <c r="E23" s="819"/>
      <c r="F23" s="819"/>
      <c r="G23" s="819"/>
      <c r="H23" s="314"/>
      <c r="I23" s="323">
        <f aca="true" t="shared" si="29" ref="I23:AL23">IF(ISERR(AW$23),"",AW$23)</f>
      </c>
      <c r="J23" s="323">
        <f t="shared" si="29"/>
      </c>
      <c r="K23" s="323">
        <f t="shared" si="29"/>
      </c>
      <c r="L23" s="323">
        <f t="shared" si="29"/>
      </c>
      <c r="M23" s="323">
        <f t="shared" si="29"/>
      </c>
      <c r="N23" s="323">
        <f t="shared" si="29"/>
      </c>
      <c r="O23" s="323">
        <f t="shared" si="29"/>
      </c>
      <c r="P23" s="323">
        <f t="shared" si="29"/>
      </c>
      <c r="Q23" s="323">
        <f t="shared" si="29"/>
      </c>
      <c r="R23" s="323">
        <f t="shared" si="29"/>
      </c>
      <c r="S23" s="323">
        <f t="shared" si="29"/>
      </c>
      <c r="T23" s="323">
        <f t="shared" si="29"/>
      </c>
      <c r="U23" s="323">
        <f t="shared" si="29"/>
      </c>
      <c r="V23" s="323">
        <f t="shared" si="29"/>
      </c>
      <c r="W23" s="323">
        <f t="shared" si="29"/>
      </c>
      <c r="X23" s="323">
        <f t="shared" si="29"/>
      </c>
      <c r="Y23" s="323">
        <f t="shared" si="29"/>
      </c>
      <c r="Z23" s="323">
        <f t="shared" si="29"/>
      </c>
      <c r="AA23" s="323">
        <f t="shared" si="29"/>
      </c>
      <c r="AB23" s="323">
        <f t="shared" si="29"/>
      </c>
      <c r="AC23" s="323">
        <f t="shared" si="29"/>
      </c>
      <c r="AD23" s="323">
        <f t="shared" si="29"/>
      </c>
      <c r="AE23" s="323">
        <f t="shared" si="29"/>
      </c>
      <c r="AF23" s="323">
        <f t="shared" si="29"/>
      </c>
      <c r="AG23" s="323">
        <f t="shared" si="29"/>
      </c>
      <c r="AH23" s="323">
        <f t="shared" si="29"/>
      </c>
      <c r="AI23" s="323">
        <f t="shared" si="29"/>
      </c>
      <c r="AJ23" s="323">
        <f t="shared" si="29"/>
      </c>
      <c r="AK23" s="323">
        <f t="shared" si="29"/>
      </c>
      <c r="AL23" s="324">
        <f t="shared" si="29"/>
      </c>
      <c r="AM23" s="834"/>
      <c r="AN23" s="834"/>
      <c r="AO23" s="834"/>
      <c r="AP23" s="834"/>
      <c r="AQ23" s="834"/>
      <c r="AR23" s="830"/>
      <c r="AS23" s="843"/>
      <c r="AU23" s="6">
        <f>IF(Fld_BNK_SW="x",IF(ISBLANK(Fld_Cpt_ContactFax),"",Fld_Cpt_ContactFax),"")</f>
      </c>
      <c r="AV23" s="6">
        <f>IF(AU23=0,"",LEN(AU23))</f>
        <v>0</v>
      </c>
      <c r="AW23" s="6">
        <f aca="true" t="shared" si="30" ref="AW23:CB23">UPPER(MID($AU$23,(COLUMN(AW23)-($AV$23+(COLUMN($AW$23)-$AV$23-1))),1))</f>
      </c>
      <c r="AX23" s="6">
        <f t="shared" si="30"/>
      </c>
      <c r="AY23" s="6">
        <f t="shared" si="30"/>
      </c>
      <c r="AZ23" s="6">
        <f t="shared" si="30"/>
      </c>
      <c r="BA23" s="6">
        <f t="shared" si="30"/>
      </c>
      <c r="BB23" s="6">
        <f t="shared" si="30"/>
      </c>
      <c r="BC23" s="6">
        <f t="shared" si="30"/>
      </c>
      <c r="BD23" s="6">
        <f t="shared" si="30"/>
      </c>
      <c r="BE23" s="6">
        <f t="shared" si="30"/>
      </c>
      <c r="BF23" s="6">
        <f t="shared" si="30"/>
      </c>
      <c r="BG23" s="6">
        <f t="shared" si="30"/>
      </c>
      <c r="BH23" s="6">
        <f t="shared" si="30"/>
      </c>
      <c r="BI23" s="6">
        <f t="shared" si="30"/>
      </c>
      <c r="BJ23" s="6">
        <f t="shared" si="30"/>
      </c>
      <c r="BK23" s="6">
        <f t="shared" si="30"/>
      </c>
      <c r="BL23" s="6">
        <f t="shared" si="30"/>
      </c>
      <c r="BM23" s="6">
        <f t="shared" si="30"/>
      </c>
      <c r="BN23" s="6">
        <f t="shared" si="30"/>
      </c>
      <c r="BO23" s="6">
        <f t="shared" si="30"/>
      </c>
      <c r="BP23" s="6">
        <f t="shared" si="30"/>
      </c>
      <c r="BQ23" s="6">
        <f t="shared" si="30"/>
      </c>
      <c r="BR23" s="6">
        <f t="shared" si="30"/>
      </c>
      <c r="BS23" s="6">
        <f t="shared" si="30"/>
      </c>
      <c r="BT23" s="6">
        <f t="shared" si="30"/>
      </c>
      <c r="BU23" s="6">
        <f t="shared" si="30"/>
      </c>
      <c r="BV23" s="6">
        <f t="shared" si="30"/>
      </c>
      <c r="BW23" s="6">
        <f t="shared" si="30"/>
      </c>
      <c r="BX23" s="6">
        <f t="shared" si="30"/>
      </c>
      <c r="BY23" s="6">
        <f t="shared" si="30"/>
      </c>
      <c r="BZ23" s="6">
        <f t="shared" si="30"/>
      </c>
      <c r="CA23" s="6">
        <f t="shared" si="30"/>
      </c>
      <c r="CB23" s="6">
        <f t="shared" si="30"/>
      </c>
      <c r="CC23" s="6">
        <f aca="true" t="shared" si="31" ref="CC23:DH23">UPPER(MID($AU$23,(COLUMN(CC23)-($AV$23+(COLUMN($AW$23)-$AV$23-1))),1))</f>
      </c>
      <c r="CD23" s="6">
        <f t="shared" si="31"/>
      </c>
      <c r="CE23" s="6">
        <f t="shared" si="31"/>
      </c>
      <c r="CF23" s="6">
        <f t="shared" si="31"/>
      </c>
      <c r="CG23" s="6">
        <f t="shared" si="31"/>
      </c>
      <c r="CH23" s="6">
        <f t="shared" si="31"/>
      </c>
      <c r="CI23" s="6">
        <f t="shared" si="31"/>
      </c>
      <c r="CJ23" s="6">
        <f t="shared" si="31"/>
      </c>
      <c r="CK23" s="6">
        <f t="shared" si="31"/>
      </c>
      <c r="CL23" s="6">
        <f t="shared" si="31"/>
      </c>
      <c r="CM23" s="6">
        <f t="shared" si="31"/>
      </c>
      <c r="CN23" s="6">
        <f t="shared" si="31"/>
      </c>
      <c r="CO23" s="6">
        <f t="shared" si="31"/>
      </c>
      <c r="CP23" s="6">
        <f t="shared" si="31"/>
      </c>
      <c r="CQ23" s="6">
        <f t="shared" si="31"/>
      </c>
      <c r="CR23" s="6">
        <f t="shared" si="31"/>
      </c>
      <c r="CS23" s="6">
        <f t="shared" si="31"/>
      </c>
      <c r="CT23" s="6">
        <f t="shared" si="31"/>
      </c>
      <c r="CU23" s="6">
        <f t="shared" si="31"/>
      </c>
      <c r="CV23" s="6">
        <f t="shared" si="31"/>
      </c>
      <c r="CW23" s="6">
        <f t="shared" si="31"/>
      </c>
      <c r="CX23" s="6">
        <f t="shared" si="31"/>
      </c>
      <c r="CY23" s="6">
        <f t="shared" si="31"/>
      </c>
      <c r="CZ23" s="6">
        <f t="shared" si="31"/>
      </c>
      <c r="DA23" s="6">
        <f t="shared" si="31"/>
      </c>
      <c r="DB23" s="6">
        <f t="shared" si="31"/>
      </c>
      <c r="DC23" s="6">
        <f t="shared" si="31"/>
      </c>
      <c r="DD23" s="6">
        <f t="shared" si="31"/>
      </c>
      <c r="DE23" s="6">
        <f t="shared" si="31"/>
      </c>
      <c r="DF23" s="6">
        <f t="shared" si="31"/>
      </c>
      <c r="DG23" s="6">
        <f t="shared" si="31"/>
      </c>
      <c r="DH23" s="6">
        <f t="shared" si="31"/>
      </c>
      <c r="DI23" s="6">
        <f aca="true" t="shared" si="32" ref="DI23:DN23">UPPER(MID($AU$23,(COLUMN(DI23)-($AV$23+(COLUMN($AW$23)-$AV$23-1))),1))</f>
      </c>
      <c r="DJ23" s="6">
        <f t="shared" si="32"/>
      </c>
      <c r="DK23" s="6">
        <f t="shared" si="32"/>
      </c>
      <c r="DL23" s="6">
        <f t="shared" si="32"/>
      </c>
      <c r="DM23" s="6">
        <f t="shared" si="32"/>
      </c>
      <c r="DN23" s="6">
        <f t="shared" si="32"/>
      </c>
    </row>
    <row r="24" spans="1:45" ht="6.75" customHeight="1">
      <c r="A24" s="822"/>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59"/>
      <c r="AS24" s="843"/>
    </row>
    <row r="25" spans="1:256" ht="15" customHeight="1">
      <c r="A25" s="818" t="s">
        <v>702</v>
      </c>
      <c r="B25" s="819"/>
      <c r="C25" s="819"/>
      <c r="D25" s="819"/>
      <c r="E25" s="819"/>
      <c r="F25" s="819"/>
      <c r="G25" s="819"/>
      <c r="H25" s="315"/>
      <c r="I25" s="318">
        <f aca="true" t="shared" si="33" ref="I25:AQ25">IF(ISERR(AW$25),"",AW$25)</f>
      </c>
      <c r="J25" s="318">
        <f t="shared" si="33"/>
      </c>
      <c r="K25" s="318">
        <f t="shared" si="33"/>
      </c>
      <c r="L25" s="318">
        <f t="shared" si="33"/>
      </c>
      <c r="M25" s="318">
        <f t="shared" si="33"/>
      </c>
      <c r="N25" s="318">
        <f t="shared" si="33"/>
      </c>
      <c r="O25" s="318">
        <f t="shared" si="33"/>
      </c>
      <c r="P25" s="318">
        <f t="shared" si="33"/>
      </c>
      <c r="Q25" s="318">
        <f t="shared" si="33"/>
      </c>
      <c r="R25" s="318">
        <f t="shared" si="33"/>
      </c>
      <c r="S25" s="318">
        <f t="shared" si="33"/>
      </c>
      <c r="T25" s="318">
        <f t="shared" si="33"/>
      </c>
      <c r="U25" s="318">
        <f t="shared" si="33"/>
      </c>
      <c r="V25" s="318">
        <f t="shared" si="33"/>
      </c>
      <c r="W25" s="318">
        <f t="shared" si="33"/>
      </c>
      <c r="X25" s="318">
        <f t="shared" si="33"/>
      </c>
      <c r="Y25" s="318">
        <f t="shared" si="33"/>
      </c>
      <c r="Z25" s="318">
        <f t="shared" si="33"/>
      </c>
      <c r="AA25" s="318">
        <f t="shared" si="33"/>
      </c>
      <c r="AB25" s="318">
        <f t="shared" si="33"/>
      </c>
      <c r="AC25" s="318">
        <f t="shared" si="33"/>
      </c>
      <c r="AD25" s="318">
        <f t="shared" si="33"/>
      </c>
      <c r="AE25" s="318">
        <f t="shared" si="33"/>
      </c>
      <c r="AF25" s="318">
        <f t="shared" si="33"/>
      </c>
      <c r="AG25" s="318">
        <f t="shared" si="33"/>
      </c>
      <c r="AH25" s="318">
        <f t="shared" si="33"/>
      </c>
      <c r="AI25" s="318">
        <f t="shared" si="33"/>
      </c>
      <c r="AJ25" s="318">
        <f t="shared" si="33"/>
      </c>
      <c r="AK25" s="318">
        <f t="shared" si="33"/>
      </c>
      <c r="AL25" s="318">
        <f t="shared" si="33"/>
      </c>
      <c r="AM25" s="318">
        <f t="shared" si="33"/>
      </c>
      <c r="AN25" s="318">
        <f t="shared" si="33"/>
      </c>
      <c r="AO25" s="318">
        <f t="shared" si="33"/>
      </c>
      <c r="AP25" s="318">
        <f t="shared" si="33"/>
      </c>
      <c r="AQ25" s="318">
        <f t="shared" si="33"/>
      </c>
      <c r="AR25" s="317"/>
      <c r="AS25" s="843"/>
      <c r="AU25" s="6">
        <f>IF(Fld_BNK_SW="x",IF(ISBLANK(Fld_Cpt_Contact_EMAIL),"",Fld_Cpt_Contact_EMAIL),"")</f>
      </c>
      <c r="AV25" s="6">
        <f>IF(AU25=0,"",LEN(AU25))</f>
        <v>0</v>
      </c>
      <c r="AW25" s="6">
        <f aca="true" t="shared" si="34" ref="AW25:DH25">UPPER(MID($AU$25,(COLUMN(AW25)-($AV$25+(COLUMN($AW$25)-$AV$25-1))),1))</f>
      </c>
      <c r="AX25" s="6">
        <f t="shared" si="34"/>
      </c>
      <c r="AY25" s="6">
        <f t="shared" si="34"/>
      </c>
      <c r="AZ25" s="6">
        <f t="shared" si="34"/>
      </c>
      <c r="BA25" s="6">
        <f t="shared" si="34"/>
      </c>
      <c r="BB25" s="6">
        <f t="shared" si="34"/>
      </c>
      <c r="BC25" s="6">
        <f t="shared" si="34"/>
      </c>
      <c r="BD25" s="6">
        <f t="shared" si="34"/>
      </c>
      <c r="BE25" s="6">
        <f t="shared" si="34"/>
      </c>
      <c r="BF25" s="6">
        <f t="shared" si="34"/>
      </c>
      <c r="BG25" s="6">
        <f t="shared" si="34"/>
      </c>
      <c r="BH25" s="6">
        <f t="shared" si="34"/>
      </c>
      <c r="BI25" s="6">
        <f t="shared" si="34"/>
      </c>
      <c r="BJ25" s="6">
        <f t="shared" si="34"/>
      </c>
      <c r="BK25" s="6">
        <f t="shared" si="34"/>
      </c>
      <c r="BL25" s="6">
        <f t="shared" si="34"/>
      </c>
      <c r="BM25" s="6">
        <f t="shared" si="34"/>
      </c>
      <c r="BN25" s="6">
        <f t="shared" si="34"/>
      </c>
      <c r="BO25" s="6">
        <f t="shared" si="34"/>
      </c>
      <c r="BP25" s="6">
        <f t="shared" si="34"/>
      </c>
      <c r="BQ25" s="6">
        <f t="shared" si="34"/>
      </c>
      <c r="BR25" s="6">
        <f t="shared" si="34"/>
      </c>
      <c r="BS25" s="6">
        <f t="shared" si="34"/>
      </c>
      <c r="BT25" s="6">
        <f t="shared" si="34"/>
      </c>
      <c r="BU25" s="6">
        <f t="shared" si="34"/>
      </c>
      <c r="BV25" s="6">
        <f t="shared" si="34"/>
      </c>
      <c r="BW25" s="6">
        <f t="shared" si="34"/>
      </c>
      <c r="BX25" s="6">
        <f t="shared" si="34"/>
      </c>
      <c r="BY25" s="6">
        <f t="shared" si="34"/>
      </c>
      <c r="BZ25" s="6">
        <f t="shared" si="34"/>
      </c>
      <c r="CA25" s="6">
        <f t="shared" si="34"/>
      </c>
      <c r="CB25" s="6">
        <f t="shared" si="34"/>
      </c>
      <c r="CC25" s="6">
        <f t="shared" si="34"/>
      </c>
      <c r="CD25" s="6">
        <f t="shared" si="34"/>
      </c>
      <c r="CE25" s="6">
        <f t="shared" si="34"/>
      </c>
      <c r="CF25" s="6">
        <f t="shared" si="34"/>
      </c>
      <c r="CG25" s="6">
        <f t="shared" si="34"/>
      </c>
      <c r="CH25" s="6">
        <f t="shared" si="34"/>
      </c>
      <c r="CI25" s="6">
        <f t="shared" si="34"/>
      </c>
      <c r="CJ25" s="6">
        <f t="shared" si="34"/>
      </c>
      <c r="CK25" s="6">
        <f t="shared" si="34"/>
      </c>
      <c r="CL25" s="6">
        <f t="shared" si="34"/>
      </c>
      <c r="CM25" s="6">
        <f t="shared" si="34"/>
      </c>
      <c r="CN25" s="6">
        <f t="shared" si="34"/>
      </c>
      <c r="CO25" s="6">
        <f t="shared" si="34"/>
      </c>
      <c r="CP25" s="6">
        <f t="shared" si="34"/>
      </c>
      <c r="CQ25" s="6">
        <f t="shared" si="34"/>
      </c>
      <c r="CR25" s="6">
        <f t="shared" si="34"/>
      </c>
      <c r="CS25" s="6">
        <f t="shared" si="34"/>
      </c>
      <c r="CT25" s="6">
        <f t="shared" si="34"/>
      </c>
      <c r="CU25" s="6">
        <f t="shared" si="34"/>
      </c>
      <c r="CV25" s="6">
        <f t="shared" si="34"/>
      </c>
      <c r="CW25" s="6">
        <f t="shared" si="34"/>
      </c>
      <c r="CX25" s="6">
        <f t="shared" si="34"/>
      </c>
      <c r="CY25" s="6">
        <f t="shared" si="34"/>
      </c>
      <c r="CZ25" s="6">
        <f t="shared" si="34"/>
      </c>
      <c r="DA25" s="6">
        <f t="shared" si="34"/>
      </c>
      <c r="DB25" s="6">
        <f t="shared" si="34"/>
      </c>
      <c r="DC25" s="6">
        <f t="shared" si="34"/>
      </c>
      <c r="DD25" s="6">
        <f t="shared" si="34"/>
      </c>
      <c r="DE25" s="6">
        <f t="shared" si="34"/>
      </c>
      <c r="DF25" s="6">
        <f t="shared" si="34"/>
      </c>
      <c r="DG25" s="6">
        <f t="shared" si="34"/>
      </c>
      <c r="DH25" s="6">
        <f t="shared" si="34"/>
      </c>
      <c r="DI25" s="6">
        <f aca="true" t="shared" si="35" ref="DI25:FT25">UPPER(MID($AU$25,(COLUMN(DI25)-($AV$25+(COLUMN($AW$25)-$AV$25-1))),1))</f>
      </c>
      <c r="DJ25" s="6">
        <f t="shared" si="35"/>
      </c>
      <c r="DK25" s="6">
        <f t="shared" si="35"/>
      </c>
      <c r="DL25" s="6">
        <f t="shared" si="35"/>
      </c>
      <c r="DM25" s="6">
        <f t="shared" si="35"/>
      </c>
      <c r="DN25" s="6">
        <f t="shared" si="35"/>
      </c>
      <c r="DO25" s="6">
        <f t="shared" si="35"/>
      </c>
      <c r="DP25" s="6">
        <f t="shared" si="35"/>
      </c>
      <c r="DQ25" s="6">
        <f t="shared" si="35"/>
      </c>
      <c r="DR25" s="6">
        <f t="shared" si="35"/>
      </c>
      <c r="DS25" s="6">
        <f t="shared" si="35"/>
      </c>
      <c r="DT25" s="6">
        <f t="shared" si="35"/>
      </c>
      <c r="DU25" s="6">
        <f t="shared" si="35"/>
      </c>
      <c r="DV25" s="6">
        <f t="shared" si="35"/>
      </c>
      <c r="DW25" s="6">
        <f t="shared" si="35"/>
      </c>
      <c r="DX25" s="6">
        <f t="shared" si="35"/>
      </c>
      <c r="DY25" s="6">
        <f t="shared" si="35"/>
      </c>
      <c r="DZ25" s="6">
        <f t="shared" si="35"/>
      </c>
      <c r="EA25" s="6">
        <f t="shared" si="35"/>
      </c>
      <c r="EB25" s="6">
        <f t="shared" si="35"/>
      </c>
      <c r="EC25" s="6">
        <f t="shared" si="35"/>
      </c>
      <c r="ED25" s="6">
        <f t="shared" si="35"/>
      </c>
      <c r="EE25" s="6">
        <f t="shared" si="35"/>
      </c>
      <c r="EF25" s="6">
        <f t="shared" si="35"/>
      </c>
      <c r="EG25" s="6">
        <f t="shared" si="35"/>
      </c>
      <c r="EH25" s="6">
        <f t="shared" si="35"/>
      </c>
      <c r="EI25" s="6">
        <f t="shared" si="35"/>
      </c>
      <c r="EJ25" s="6">
        <f t="shared" si="35"/>
      </c>
      <c r="EK25" s="6">
        <f t="shared" si="35"/>
      </c>
      <c r="EL25" s="6">
        <f t="shared" si="35"/>
      </c>
      <c r="EM25" s="6">
        <f t="shared" si="35"/>
      </c>
      <c r="EN25" s="6">
        <f t="shared" si="35"/>
      </c>
      <c r="EO25" s="6">
        <f t="shared" si="35"/>
      </c>
      <c r="EP25" s="6">
        <f t="shared" si="35"/>
      </c>
      <c r="EQ25" s="6">
        <f t="shared" si="35"/>
      </c>
      <c r="ER25" s="6">
        <f t="shared" si="35"/>
      </c>
      <c r="ES25" s="6">
        <f t="shared" si="35"/>
      </c>
      <c r="ET25" s="6">
        <f t="shared" si="35"/>
      </c>
      <c r="EU25" s="6">
        <f t="shared" si="35"/>
      </c>
      <c r="EV25" s="6">
        <f t="shared" si="35"/>
      </c>
      <c r="EW25" s="6">
        <f t="shared" si="35"/>
      </c>
      <c r="EX25" s="6">
        <f t="shared" si="35"/>
      </c>
      <c r="EY25" s="6">
        <f t="shared" si="35"/>
      </c>
      <c r="EZ25" s="6">
        <f t="shared" si="35"/>
      </c>
      <c r="FA25" s="6">
        <f t="shared" si="35"/>
      </c>
      <c r="FB25" s="6">
        <f t="shared" si="35"/>
      </c>
      <c r="FC25" s="6">
        <f t="shared" si="35"/>
      </c>
      <c r="FD25" s="6">
        <f t="shared" si="35"/>
      </c>
      <c r="FE25" s="6">
        <f t="shared" si="35"/>
      </c>
      <c r="FF25" s="6">
        <f t="shared" si="35"/>
      </c>
      <c r="FG25" s="6">
        <f t="shared" si="35"/>
      </c>
      <c r="FH25" s="6">
        <f t="shared" si="35"/>
      </c>
      <c r="FI25" s="6">
        <f t="shared" si="35"/>
      </c>
      <c r="FJ25" s="6">
        <f t="shared" si="35"/>
      </c>
      <c r="FK25" s="6">
        <f t="shared" si="35"/>
      </c>
      <c r="FL25" s="6">
        <f t="shared" si="35"/>
      </c>
      <c r="FM25" s="6">
        <f t="shared" si="35"/>
      </c>
      <c r="FN25" s="6">
        <f t="shared" si="35"/>
      </c>
      <c r="FO25" s="6">
        <f t="shared" si="35"/>
      </c>
      <c r="FP25" s="6">
        <f t="shared" si="35"/>
      </c>
      <c r="FQ25" s="6">
        <f t="shared" si="35"/>
      </c>
      <c r="FR25" s="6">
        <f t="shared" si="35"/>
      </c>
      <c r="FS25" s="6">
        <f t="shared" si="35"/>
      </c>
      <c r="FT25" s="6">
        <f t="shared" si="35"/>
      </c>
      <c r="FU25" s="6">
        <f aca="true" t="shared" si="36" ref="FU25:IF25">UPPER(MID($AU$25,(COLUMN(FU25)-($AV$25+(COLUMN($AW$25)-$AV$25-1))),1))</f>
      </c>
      <c r="FV25" s="6">
        <f t="shared" si="36"/>
      </c>
      <c r="FW25" s="6">
        <f t="shared" si="36"/>
      </c>
      <c r="FX25" s="6">
        <f t="shared" si="36"/>
      </c>
      <c r="FY25" s="6">
        <f t="shared" si="36"/>
      </c>
      <c r="FZ25" s="6">
        <f t="shared" si="36"/>
      </c>
      <c r="GA25" s="6">
        <f t="shared" si="36"/>
      </c>
      <c r="GB25" s="6">
        <f t="shared" si="36"/>
      </c>
      <c r="GC25" s="6">
        <f t="shared" si="36"/>
      </c>
      <c r="GD25" s="6">
        <f t="shared" si="36"/>
      </c>
      <c r="GE25" s="6">
        <f t="shared" si="36"/>
      </c>
      <c r="GF25" s="6">
        <f t="shared" si="36"/>
      </c>
      <c r="GG25" s="6">
        <f t="shared" si="36"/>
      </c>
      <c r="GH25" s="6">
        <f t="shared" si="36"/>
      </c>
      <c r="GI25" s="6">
        <f t="shared" si="36"/>
      </c>
      <c r="GJ25" s="6">
        <f t="shared" si="36"/>
      </c>
      <c r="GK25" s="6">
        <f t="shared" si="36"/>
      </c>
      <c r="GL25" s="6">
        <f t="shared" si="36"/>
      </c>
      <c r="GM25" s="6">
        <f t="shared" si="36"/>
      </c>
      <c r="GN25" s="6">
        <f t="shared" si="36"/>
      </c>
      <c r="GO25" s="6">
        <f t="shared" si="36"/>
      </c>
      <c r="GP25" s="6">
        <f t="shared" si="36"/>
      </c>
      <c r="GQ25" s="6">
        <f t="shared" si="36"/>
      </c>
      <c r="GR25" s="6">
        <f t="shared" si="36"/>
      </c>
      <c r="GS25" s="6">
        <f t="shared" si="36"/>
      </c>
      <c r="GT25" s="6">
        <f t="shared" si="36"/>
      </c>
      <c r="GU25" s="6">
        <f t="shared" si="36"/>
      </c>
      <c r="GV25" s="6">
        <f t="shared" si="36"/>
      </c>
      <c r="GW25" s="6">
        <f t="shared" si="36"/>
      </c>
      <c r="GX25" s="6">
        <f t="shared" si="36"/>
      </c>
      <c r="GY25" s="6">
        <f t="shared" si="36"/>
      </c>
      <c r="GZ25" s="6">
        <f t="shared" si="36"/>
      </c>
      <c r="HA25" s="6">
        <f t="shared" si="36"/>
      </c>
      <c r="HB25" s="6">
        <f t="shared" si="36"/>
      </c>
      <c r="HC25" s="6">
        <f t="shared" si="36"/>
      </c>
      <c r="HD25" s="6">
        <f t="shared" si="36"/>
      </c>
      <c r="HE25" s="6">
        <f t="shared" si="36"/>
      </c>
      <c r="HF25" s="6">
        <f t="shared" si="36"/>
      </c>
      <c r="HG25" s="6">
        <f t="shared" si="36"/>
      </c>
      <c r="HH25" s="6">
        <f t="shared" si="36"/>
      </c>
      <c r="HI25" s="6">
        <f t="shared" si="36"/>
      </c>
      <c r="HJ25" s="6">
        <f t="shared" si="36"/>
      </c>
      <c r="HK25" s="6">
        <f t="shared" si="36"/>
      </c>
      <c r="HL25" s="6">
        <f t="shared" si="36"/>
      </c>
      <c r="HM25" s="6">
        <f t="shared" si="36"/>
      </c>
      <c r="HN25" s="6">
        <f t="shared" si="36"/>
      </c>
      <c r="HO25" s="6">
        <f t="shared" si="36"/>
      </c>
      <c r="HP25" s="6">
        <f t="shared" si="36"/>
      </c>
      <c r="HQ25" s="6">
        <f t="shared" si="36"/>
      </c>
      <c r="HR25" s="6">
        <f t="shared" si="36"/>
      </c>
      <c r="HS25" s="6">
        <f t="shared" si="36"/>
      </c>
      <c r="HT25" s="6">
        <f t="shared" si="36"/>
      </c>
      <c r="HU25" s="6">
        <f t="shared" si="36"/>
      </c>
      <c r="HV25" s="6">
        <f t="shared" si="36"/>
      </c>
      <c r="HW25" s="6">
        <f t="shared" si="36"/>
      </c>
      <c r="HX25" s="6">
        <f t="shared" si="36"/>
      </c>
      <c r="HY25" s="6">
        <f t="shared" si="36"/>
      </c>
      <c r="HZ25" s="6">
        <f t="shared" si="36"/>
      </c>
      <c r="IA25" s="6">
        <f t="shared" si="36"/>
      </c>
      <c r="IB25" s="6">
        <f t="shared" si="36"/>
      </c>
      <c r="IC25" s="6">
        <f t="shared" si="36"/>
      </c>
      <c r="ID25" s="6">
        <f t="shared" si="36"/>
      </c>
      <c r="IE25" s="6">
        <f t="shared" si="36"/>
      </c>
      <c r="IF25" s="6">
        <f t="shared" si="36"/>
      </c>
      <c r="IG25" s="6">
        <f aca="true" t="shared" si="37" ref="IG25:IV25">UPPER(MID($AU$25,(COLUMN(IG25)-($AV$25+(COLUMN($AW$25)-$AV$25-1))),1))</f>
      </c>
      <c r="IH25" s="6">
        <f t="shared" si="37"/>
      </c>
      <c r="II25" s="6">
        <f t="shared" si="37"/>
      </c>
      <c r="IJ25" s="6">
        <f t="shared" si="37"/>
      </c>
      <c r="IK25" s="6">
        <f t="shared" si="37"/>
      </c>
      <c r="IL25" s="6">
        <f t="shared" si="37"/>
      </c>
      <c r="IM25" s="6">
        <f t="shared" si="37"/>
      </c>
      <c r="IN25" s="6">
        <f t="shared" si="37"/>
      </c>
      <c r="IO25" s="6">
        <f t="shared" si="37"/>
      </c>
      <c r="IP25" s="6">
        <f t="shared" si="37"/>
      </c>
      <c r="IQ25" s="6">
        <f t="shared" si="37"/>
      </c>
      <c r="IR25" s="6">
        <f t="shared" si="37"/>
      </c>
      <c r="IS25" s="6">
        <f t="shared" si="37"/>
      </c>
      <c r="IT25" s="6">
        <f t="shared" si="37"/>
      </c>
      <c r="IU25" s="6">
        <f t="shared" si="37"/>
      </c>
      <c r="IV25" s="6">
        <f t="shared" si="37"/>
      </c>
    </row>
    <row r="26" spans="1:45" ht="6.75" customHeight="1">
      <c r="A26" s="822"/>
      <c r="B26" s="823"/>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59"/>
      <c r="AS26" s="843"/>
    </row>
    <row r="27" spans="1:118" ht="15.75" customHeight="1">
      <c r="A27" s="870" t="s">
        <v>724</v>
      </c>
      <c r="B27" s="547"/>
      <c r="C27" s="547"/>
      <c r="D27" s="547"/>
      <c r="E27" s="547"/>
      <c r="F27" s="547"/>
      <c r="G27" s="547"/>
      <c r="H27" s="314"/>
      <c r="I27" s="323">
        <f aca="true" t="shared" si="38" ref="I27:W27">IF(ISERR(AW$27),"",AW$27)</f>
      </c>
      <c r="J27" s="323">
        <f t="shared" si="38"/>
      </c>
      <c r="K27" s="323">
        <f t="shared" si="38"/>
      </c>
      <c r="L27" s="323">
        <f t="shared" si="38"/>
      </c>
      <c r="M27" s="323">
        <f t="shared" si="38"/>
      </c>
      <c r="N27" s="323">
        <f t="shared" si="38"/>
      </c>
      <c r="O27" s="323">
        <f t="shared" si="38"/>
      </c>
      <c r="P27" s="323">
        <f t="shared" si="38"/>
      </c>
      <c r="Q27" s="323">
        <f t="shared" si="38"/>
      </c>
      <c r="R27" s="323">
        <f t="shared" si="38"/>
      </c>
      <c r="S27" s="323">
        <f t="shared" si="38"/>
      </c>
      <c r="T27" s="323">
        <f t="shared" si="38"/>
      </c>
      <c r="U27" s="323">
        <f t="shared" si="38"/>
      </c>
      <c r="V27" s="323">
        <f t="shared" si="38"/>
      </c>
      <c r="W27" s="323">
        <f t="shared" si="38"/>
      </c>
      <c r="X27" s="833"/>
      <c r="Y27" s="834"/>
      <c r="Z27" s="834"/>
      <c r="AA27" s="834"/>
      <c r="AB27" s="834"/>
      <c r="AC27" s="834"/>
      <c r="AD27" s="834"/>
      <c r="AE27" s="834"/>
      <c r="AF27" s="834"/>
      <c r="AG27" s="834"/>
      <c r="AH27" s="834"/>
      <c r="AI27" s="834"/>
      <c r="AJ27" s="834"/>
      <c r="AK27" s="834"/>
      <c r="AL27" s="834"/>
      <c r="AM27" s="834"/>
      <c r="AN27" s="834"/>
      <c r="AO27" s="834"/>
      <c r="AP27" s="834"/>
      <c r="AQ27" s="834"/>
      <c r="AR27" s="830"/>
      <c r="AS27" s="843"/>
      <c r="AU27" s="6">
        <f>IF(Fld_BNK_SW="x",IF(ISBLANK(Fld_Cpt_ContactTVA),"",Fld_Cpt_ContactTVA),"")</f>
      </c>
      <c r="AV27" s="6">
        <f>IF(AU27=0,"",LEN(AU27))</f>
        <v>0</v>
      </c>
      <c r="AW27" s="6">
        <f aca="true" t="shared" si="39" ref="AW27:CB27">UPPER(MID($AU$27,(COLUMN(AW27)-($AV$27+(COLUMN($AW$27)-$AV$27-1))),1))</f>
      </c>
      <c r="AX27" s="6">
        <f t="shared" si="39"/>
      </c>
      <c r="AY27" s="6">
        <f t="shared" si="39"/>
      </c>
      <c r="AZ27" s="6">
        <f t="shared" si="39"/>
      </c>
      <c r="BA27" s="6">
        <f t="shared" si="39"/>
      </c>
      <c r="BB27" s="6">
        <f t="shared" si="39"/>
      </c>
      <c r="BC27" s="6">
        <f t="shared" si="39"/>
      </c>
      <c r="BD27" s="6">
        <f t="shared" si="39"/>
      </c>
      <c r="BE27" s="6">
        <f t="shared" si="39"/>
      </c>
      <c r="BF27" s="6">
        <f t="shared" si="39"/>
      </c>
      <c r="BG27" s="6">
        <f t="shared" si="39"/>
      </c>
      <c r="BH27" s="6">
        <f t="shared" si="39"/>
      </c>
      <c r="BI27" s="6">
        <f t="shared" si="39"/>
      </c>
      <c r="BJ27" s="6">
        <f t="shared" si="39"/>
      </c>
      <c r="BK27" s="6">
        <f t="shared" si="39"/>
      </c>
      <c r="BL27" s="6">
        <f t="shared" si="39"/>
      </c>
      <c r="BM27" s="6">
        <f t="shared" si="39"/>
      </c>
      <c r="BN27" s="6">
        <f t="shared" si="39"/>
      </c>
      <c r="BO27" s="6">
        <f t="shared" si="39"/>
      </c>
      <c r="BP27" s="6">
        <f t="shared" si="39"/>
      </c>
      <c r="BQ27" s="6">
        <f t="shared" si="39"/>
      </c>
      <c r="BR27" s="6">
        <f t="shared" si="39"/>
      </c>
      <c r="BS27" s="6">
        <f t="shared" si="39"/>
      </c>
      <c r="BT27" s="6">
        <f t="shared" si="39"/>
      </c>
      <c r="BU27" s="6">
        <f t="shared" si="39"/>
      </c>
      <c r="BV27" s="6">
        <f t="shared" si="39"/>
      </c>
      <c r="BW27" s="6">
        <f t="shared" si="39"/>
      </c>
      <c r="BX27" s="6">
        <f t="shared" si="39"/>
      </c>
      <c r="BY27" s="6">
        <f t="shared" si="39"/>
      </c>
      <c r="BZ27" s="6">
        <f t="shared" si="39"/>
      </c>
      <c r="CA27" s="6">
        <f t="shared" si="39"/>
      </c>
      <c r="CB27" s="6">
        <f t="shared" si="39"/>
      </c>
      <c r="CC27" s="6">
        <f aca="true" t="shared" si="40" ref="CC27:DH27">UPPER(MID($AU$27,(COLUMN(CC27)-($AV$27+(COLUMN($AW$27)-$AV$27-1))),1))</f>
      </c>
      <c r="CD27" s="6">
        <f t="shared" si="40"/>
      </c>
      <c r="CE27" s="6">
        <f t="shared" si="40"/>
      </c>
      <c r="CF27" s="6">
        <f t="shared" si="40"/>
      </c>
      <c r="CG27" s="6">
        <f t="shared" si="40"/>
      </c>
      <c r="CH27" s="6">
        <f t="shared" si="40"/>
      </c>
      <c r="CI27" s="6">
        <f t="shared" si="40"/>
      </c>
      <c r="CJ27" s="6">
        <f t="shared" si="40"/>
      </c>
      <c r="CK27" s="6">
        <f t="shared" si="40"/>
      </c>
      <c r="CL27" s="6">
        <f t="shared" si="40"/>
      </c>
      <c r="CM27" s="6">
        <f t="shared" si="40"/>
      </c>
      <c r="CN27" s="6">
        <f t="shared" si="40"/>
      </c>
      <c r="CO27" s="6">
        <f t="shared" si="40"/>
      </c>
      <c r="CP27" s="6">
        <f t="shared" si="40"/>
      </c>
      <c r="CQ27" s="6">
        <f t="shared" si="40"/>
      </c>
      <c r="CR27" s="6">
        <f t="shared" si="40"/>
      </c>
      <c r="CS27" s="6">
        <f t="shared" si="40"/>
      </c>
      <c r="CT27" s="6">
        <f t="shared" si="40"/>
      </c>
      <c r="CU27" s="6">
        <f t="shared" si="40"/>
      </c>
      <c r="CV27" s="6">
        <f t="shared" si="40"/>
      </c>
      <c r="CW27" s="6">
        <f t="shared" si="40"/>
      </c>
      <c r="CX27" s="6">
        <f t="shared" si="40"/>
      </c>
      <c r="CY27" s="6">
        <f t="shared" si="40"/>
      </c>
      <c r="CZ27" s="6">
        <f t="shared" si="40"/>
      </c>
      <c r="DA27" s="6">
        <f t="shared" si="40"/>
      </c>
      <c r="DB27" s="6">
        <f t="shared" si="40"/>
      </c>
      <c r="DC27" s="6">
        <f t="shared" si="40"/>
      </c>
      <c r="DD27" s="6">
        <f t="shared" si="40"/>
      </c>
      <c r="DE27" s="6">
        <f t="shared" si="40"/>
      </c>
      <c r="DF27" s="6">
        <f t="shared" si="40"/>
      </c>
      <c r="DG27" s="6">
        <f t="shared" si="40"/>
      </c>
      <c r="DH27" s="6">
        <f t="shared" si="40"/>
      </c>
      <c r="DI27" s="6">
        <f aca="true" t="shared" si="41" ref="DI27:DN27">UPPER(MID($AU$27,(COLUMN(DI27)-($AV$27+(COLUMN($AW$27)-$AV$27-1))),1))</f>
      </c>
      <c r="DJ27" s="6">
        <f t="shared" si="41"/>
      </c>
      <c r="DK27" s="6">
        <f t="shared" si="41"/>
      </c>
      <c r="DL27" s="6">
        <f t="shared" si="41"/>
      </c>
      <c r="DM27" s="6">
        <f t="shared" si="41"/>
      </c>
      <c r="DN27" s="6">
        <f t="shared" si="41"/>
      </c>
    </row>
    <row r="28" spans="1:45" ht="6.75" customHeight="1" thickBot="1">
      <c r="A28" s="831"/>
      <c r="B28" s="832"/>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60"/>
      <c r="AS28" s="843"/>
    </row>
    <row r="29" spans="1:45" ht="40.5" customHeight="1" thickBot="1" thickTop="1">
      <c r="A29" s="827"/>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43"/>
    </row>
    <row r="30" spans="1:45" ht="6.75" customHeight="1" thickTop="1">
      <c r="A30" s="828"/>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61"/>
      <c r="AS30" s="843"/>
    </row>
    <row r="31" spans="1:45" ht="15" customHeight="1">
      <c r="A31" s="841" t="s">
        <v>725</v>
      </c>
      <c r="B31" s="842"/>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2"/>
      <c r="AQ31" s="842"/>
      <c r="AR31" s="855"/>
      <c r="AS31" s="843"/>
    </row>
    <row r="32" spans="1:45" ht="6.75" customHeight="1">
      <c r="A32" s="822"/>
      <c r="B32" s="823"/>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823"/>
      <c r="AJ32" s="823"/>
      <c r="AK32" s="823"/>
      <c r="AL32" s="823"/>
      <c r="AM32" s="823"/>
      <c r="AN32" s="823"/>
      <c r="AO32" s="823"/>
      <c r="AP32" s="823"/>
      <c r="AQ32" s="823"/>
      <c r="AR32" s="859"/>
      <c r="AS32" s="843"/>
    </row>
    <row r="33" spans="1:118" ht="15.75" customHeight="1">
      <c r="A33" s="818" t="str">
        <f>A7</f>
        <v>NAME</v>
      </c>
      <c r="B33" s="819"/>
      <c r="C33" s="819"/>
      <c r="D33" s="819"/>
      <c r="E33" s="819"/>
      <c r="F33" s="819"/>
      <c r="G33" s="819"/>
      <c r="H33" s="314"/>
      <c r="I33" s="323">
        <f aca="true" t="shared" si="42" ref="I33:AQ33">IF(ISERR(AW$33),"",AW$33)</f>
      </c>
      <c r="J33" s="323">
        <f t="shared" si="42"/>
      </c>
      <c r="K33" s="323">
        <f t="shared" si="42"/>
      </c>
      <c r="L33" s="323">
        <f t="shared" si="42"/>
      </c>
      <c r="M33" s="323">
        <f t="shared" si="42"/>
      </c>
      <c r="N33" s="323">
        <f t="shared" si="42"/>
      </c>
      <c r="O33" s="323">
        <f t="shared" si="42"/>
      </c>
      <c r="P33" s="323">
        <f t="shared" si="42"/>
      </c>
      <c r="Q33" s="323">
        <f t="shared" si="42"/>
      </c>
      <c r="R33" s="323">
        <f t="shared" si="42"/>
      </c>
      <c r="S33" s="323">
        <f t="shared" si="42"/>
      </c>
      <c r="T33" s="323">
        <f t="shared" si="42"/>
      </c>
      <c r="U33" s="323">
        <f t="shared" si="42"/>
      </c>
      <c r="V33" s="323">
        <f t="shared" si="42"/>
      </c>
      <c r="W33" s="323">
        <f t="shared" si="42"/>
      </c>
      <c r="X33" s="323">
        <f t="shared" si="42"/>
      </c>
      <c r="Y33" s="323">
        <f t="shared" si="42"/>
      </c>
      <c r="Z33" s="323">
        <f t="shared" si="42"/>
      </c>
      <c r="AA33" s="323">
        <f t="shared" si="42"/>
      </c>
      <c r="AB33" s="323">
        <f t="shared" si="42"/>
      </c>
      <c r="AC33" s="323">
        <f t="shared" si="42"/>
      </c>
      <c r="AD33" s="323">
        <f t="shared" si="42"/>
      </c>
      <c r="AE33" s="323">
        <f t="shared" si="42"/>
      </c>
      <c r="AF33" s="323">
        <f t="shared" si="42"/>
      </c>
      <c r="AG33" s="323">
        <f t="shared" si="42"/>
      </c>
      <c r="AH33" s="323">
        <f t="shared" si="42"/>
      </c>
      <c r="AI33" s="323">
        <f t="shared" si="42"/>
      </c>
      <c r="AJ33" s="323">
        <f t="shared" si="42"/>
      </c>
      <c r="AK33" s="323">
        <f t="shared" si="42"/>
      </c>
      <c r="AL33" s="323">
        <f t="shared" si="42"/>
      </c>
      <c r="AM33" s="323">
        <f t="shared" si="42"/>
      </c>
      <c r="AN33" s="323">
        <f t="shared" si="42"/>
      </c>
      <c r="AO33" s="323">
        <f t="shared" si="42"/>
      </c>
      <c r="AP33" s="323">
        <f t="shared" si="42"/>
      </c>
      <c r="AQ33" s="324">
        <f t="shared" si="42"/>
      </c>
      <c r="AR33" s="316"/>
      <c r="AS33" s="843"/>
      <c r="AU33" s="321">
        <f>IF(Fld_BNK_SW="x",Fld_BankName,"")</f>
      </c>
      <c r="AV33" s="6">
        <f>IF(AU33=0,"",LEN(AU33))</f>
        <v>0</v>
      </c>
      <c r="AW33" s="6">
        <f aca="true" t="shared" si="43" ref="AW33:CB33">UPPER(MID($AU$33,(COLUMN(AW33)-($AV$33+(COLUMN($AW$33)-$AV$33-1))),1))</f>
      </c>
      <c r="AX33" s="6">
        <f t="shared" si="43"/>
      </c>
      <c r="AY33" s="6">
        <f t="shared" si="43"/>
      </c>
      <c r="AZ33" s="6">
        <f t="shared" si="43"/>
      </c>
      <c r="BA33" s="6">
        <f t="shared" si="43"/>
      </c>
      <c r="BB33" s="6">
        <f t="shared" si="43"/>
      </c>
      <c r="BC33" s="6">
        <f t="shared" si="43"/>
      </c>
      <c r="BD33" s="6">
        <f t="shared" si="43"/>
      </c>
      <c r="BE33" s="6">
        <f t="shared" si="43"/>
      </c>
      <c r="BF33" s="6">
        <f t="shared" si="43"/>
      </c>
      <c r="BG33" s="6">
        <f t="shared" si="43"/>
      </c>
      <c r="BH33" s="6">
        <f t="shared" si="43"/>
      </c>
      <c r="BI33" s="6">
        <f t="shared" si="43"/>
      </c>
      <c r="BJ33" s="6">
        <f t="shared" si="43"/>
      </c>
      <c r="BK33" s="6">
        <f t="shared" si="43"/>
      </c>
      <c r="BL33" s="6">
        <f t="shared" si="43"/>
      </c>
      <c r="BM33" s="6">
        <f t="shared" si="43"/>
      </c>
      <c r="BN33" s="6">
        <f t="shared" si="43"/>
      </c>
      <c r="BO33" s="6">
        <f t="shared" si="43"/>
      </c>
      <c r="BP33" s="6">
        <f t="shared" si="43"/>
      </c>
      <c r="BQ33" s="6">
        <f t="shared" si="43"/>
      </c>
      <c r="BR33" s="6">
        <f t="shared" si="43"/>
      </c>
      <c r="BS33" s="6">
        <f t="shared" si="43"/>
      </c>
      <c r="BT33" s="6">
        <f t="shared" si="43"/>
      </c>
      <c r="BU33" s="6">
        <f t="shared" si="43"/>
      </c>
      <c r="BV33" s="6">
        <f t="shared" si="43"/>
      </c>
      <c r="BW33" s="6">
        <f t="shared" si="43"/>
      </c>
      <c r="BX33" s="6">
        <f t="shared" si="43"/>
      </c>
      <c r="BY33" s="6">
        <f t="shared" si="43"/>
      </c>
      <c r="BZ33" s="6">
        <f t="shared" si="43"/>
      </c>
      <c r="CA33" s="6">
        <f t="shared" si="43"/>
      </c>
      <c r="CB33" s="6">
        <f t="shared" si="43"/>
      </c>
      <c r="CC33" s="6">
        <f aca="true" t="shared" si="44" ref="CC33:DH33">UPPER(MID($AU$33,(COLUMN(CC33)-($AV$33+(COLUMN($AW$33)-$AV$33-1))),1))</f>
      </c>
      <c r="CD33" s="6">
        <f t="shared" si="44"/>
      </c>
      <c r="CE33" s="6">
        <f t="shared" si="44"/>
      </c>
      <c r="CF33" s="6">
        <f t="shared" si="44"/>
      </c>
      <c r="CG33" s="6">
        <f t="shared" si="44"/>
      </c>
      <c r="CH33" s="6">
        <f t="shared" si="44"/>
      </c>
      <c r="CI33" s="6">
        <f t="shared" si="44"/>
      </c>
      <c r="CJ33" s="6">
        <f t="shared" si="44"/>
      </c>
      <c r="CK33" s="6">
        <f t="shared" si="44"/>
      </c>
      <c r="CL33" s="6">
        <f t="shared" si="44"/>
      </c>
      <c r="CM33" s="6">
        <f t="shared" si="44"/>
      </c>
      <c r="CN33" s="6">
        <f t="shared" si="44"/>
      </c>
      <c r="CO33" s="6">
        <f t="shared" si="44"/>
      </c>
      <c r="CP33" s="6">
        <f t="shared" si="44"/>
      </c>
      <c r="CQ33" s="6">
        <f t="shared" si="44"/>
      </c>
      <c r="CR33" s="6">
        <f t="shared" si="44"/>
      </c>
      <c r="CS33" s="6">
        <f t="shared" si="44"/>
      </c>
      <c r="CT33" s="6">
        <f t="shared" si="44"/>
      </c>
      <c r="CU33" s="6">
        <f t="shared" si="44"/>
      </c>
      <c r="CV33" s="6">
        <f t="shared" si="44"/>
      </c>
      <c r="CW33" s="6">
        <f t="shared" si="44"/>
      </c>
      <c r="CX33" s="6">
        <f t="shared" si="44"/>
      </c>
      <c r="CY33" s="6">
        <f t="shared" si="44"/>
      </c>
      <c r="CZ33" s="6">
        <f t="shared" si="44"/>
      </c>
      <c r="DA33" s="6">
        <f t="shared" si="44"/>
      </c>
      <c r="DB33" s="6">
        <f t="shared" si="44"/>
      </c>
      <c r="DC33" s="6">
        <f t="shared" si="44"/>
      </c>
      <c r="DD33" s="6">
        <f t="shared" si="44"/>
      </c>
      <c r="DE33" s="6">
        <f t="shared" si="44"/>
      </c>
      <c r="DF33" s="6">
        <f t="shared" si="44"/>
      </c>
      <c r="DG33" s="6">
        <f t="shared" si="44"/>
      </c>
      <c r="DH33" s="6">
        <f t="shared" si="44"/>
      </c>
      <c r="DI33" s="6">
        <f aca="true" t="shared" si="45" ref="DI33:DN33">UPPER(MID($AU$33,(COLUMN(DI33)-($AV$33+(COLUMN($AW$33)-$AV$33-1))),1))</f>
      </c>
      <c r="DJ33" s="6">
        <f t="shared" si="45"/>
      </c>
      <c r="DK33" s="6">
        <f t="shared" si="45"/>
      </c>
      <c r="DL33" s="6">
        <f t="shared" si="45"/>
      </c>
      <c r="DM33" s="6">
        <f t="shared" si="45"/>
      </c>
      <c r="DN33" s="6">
        <f t="shared" si="45"/>
      </c>
    </row>
    <row r="34" spans="1:45" ht="6.75" customHeight="1">
      <c r="A34" s="822"/>
      <c r="B34" s="823"/>
      <c r="C34" s="823"/>
      <c r="D34" s="823"/>
      <c r="E34" s="823"/>
      <c r="F34" s="823"/>
      <c r="G34" s="823"/>
      <c r="H34" s="823"/>
      <c r="I34" s="823"/>
      <c r="J34" s="823"/>
      <c r="K34" s="823"/>
      <c r="L34" s="823"/>
      <c r="M34" s="823"/>
      <c r="N34" s="823"/>
      <c r="O34" s="823"/>
      <c r="P34" s="823"/>
      <c r="Q34" s="823"/>
      <c r="R34" s="823"/>
      <c r="S34" s="823"/>
      <c r="T34" s="823"/>
      <c r="U34" s="823"/>
      <c r="V34" s="823"/>
      <c r="W34" s="823"/>
      <c r="X34" s="823"/>
      <c r="Y34" s="823"/>
      <c r="Z34" s="823"/>
      <c r="AA34" s="823"/>
      <c r="AB34" s="823"/>
      <c r="AC34" s="823"/>
      <c r="AD34" s="823"/>
      <c r="AE34" s="823"/>
      <c r="AF34" s="823"/>
      <c r="AG34" s="823"/>
      <c r="AH34" s="823"/>
      <c r="AI34" s="823"/>
      <c r="AJ34" s="823"/>
      <c r="AK34" s="823"/>
      <c r="AL34" s="823"/>
      <c r="AM34" s="823"/>
      <c r="AN34" s="823"/>
      <c r="AO34" s="823"/>
      <c r="AP34" s="823"/>
      <c r="AQ34" s="823"/>
      <c r="AR34" s="859"/>
      <c r="AS34" s="843"/>
    </row>
    <row r="35" spans="1:55" ht="15.75" customHeight="1">
      <c r="A35" s="826"/>
      <c r="B35" s="456"/>
      <c r="C35" s="456"/>
      <c r="D35" s="456"/>
      <c r="E35" s="456"/>
      <c r="F35" s="456"/>
      <c r="G35" s="456"/>
      <c r="H35" s="839"/>
      <c r="I35" s="323">
        <f aca="true" t="shared" si="46" ref="I35:AQ35">IF(ISERR(CF$33),"",CF$33)</f>
      </c>
      <c r="J35" s="323">
        <f t="shared" si="46"/>
      </c>
      <c r="K35" s="323">
        <f t="shared" si="46"/>
      </c>
      <c r="L35" s="323">
        <f t="shared" si="46"/>
      </c>
      <c r="M35" s="323">
        <f t="shared" si="46"/>
      </c>
      <c r="N35" s="323">
        <f t="shared" si="46"/>
      </c>
      <c r="O35" s="323">
        <f t="shared" si="46"/>
      </c>
      <c r="P35" s="323">
        <f t="shared" si="46"/>
      </c>
      <c r="Q35" s="323">
        <f t="shared" si="46"/>
      </c>
      <c r="R35" s="323">
        <f t="shared" si="46"/>
      </c>
      <c r="S35" s="323">
        <f t="shared" si="46"/>
      </c>
      <c r="T35" s="323">
        <f t="shared" si="46"/>
      </c>
      <c r="U35" s="323">
        <f t="shared" si="46"/>
      </c>
      <c r="V35" s="323">
        <f t="shared" si="46"/>
      </c>
      <c r="W35" s="323">
        <f t="shared" si="46"/>
      </c>
      <c r="X35" s="323">
        <f t="shared" si="46"/>
      </c>
      <c r="Y35" s="323">
        <f t="shared" si="46"/>
      </c>
      <c r="Z35" s="323">
        <f t="shared" si="46"/>
      </c>
      <c r="AA35" s="323">
        <f t="shared" si="46"/>
      </c>
      <c r="AB35" s="323">
        <f t="shared" si="46"/>
      </c>
      <c r="AC35" s="323">
        <f t="shared" si="46"/>
      </c>
      <c r="AD35" s="323">
        <f t="shared" si="46"/>
      </c>
      <c r="AE35" s="323">
        <f t="shared" si="46"/>
      </c>
      <c r="AF35" s="323">
        <f t="shared" si="46"/>
      </c>
      <c r="AG35" s="323">
        <f t="shared" si="46"/>
      </c>
      <c r="AH35" s="323">
        <f t="shared" si="46"/>
      </c>
      <c r="AI35" s="323">
        <f t="shared" si="46"/>
      </c>
      <c r="AJ35" s="323">
        <f t="shared" si="46"/>
      </c>
      <c r="AK35" s="323">
        <f t="shared" si="46"/>
      </c>
      <c r="AL35" s="323">
        <f t="shared" si="46"/>
      </c>
      <c r="AM35" s="323">
        <f t="shared" si="46"/>
      </c>
      <c r="AN35" s="323">
        <f t="shared" si="46"/>
      </c>
      <c r="AO35" s="323">
        <f t="shared" si="46"/>
      </c>
      <c r="AP35" s="323">
        <f t="shared" si="46"/>
      </c>
      <c r="AQ35" s="324">
        <f t="shared" si="46"/>
      </c>
      <c r="AR35" s="316"/>
      <c r="AS35" s="843"/>
      <c r="BC35" s="6"/>
    </row>
    <row r="36" spans="1:45" ht="6.75" customHeight="1">
      <c r="A36" s="822"/>
      <c r="B36" s="823"/>
      <c r="C36" s="823"/>
      <c r="D36" s="823"/>
      <c r="E36" s="823"/>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59"/>
      <c r="AS36" s="843"/>
    </row>
    <row r="37" spans="1:118" ht="15.75" customHeight="1">
      <c r="A37" s="870" t="str">
        <f>A11</f>
        <v>ADDRESS</v>
      </c>
      <c r="B37" s="547"/>
      <c r="C37" s="547"/>
      <c r="D37" s="547"/>
      <c r="E37" s="547"/>
      <c r="F37" s="547"/>
      <c r="G37" s="547"/>
      <c r="H37" s="314"/>
      <c r="I37" s="323">
        <f aca="true" t="shared" si="47" ref="I37:AQ37">IF(ISERR(AW$37),"",AW$37)</f>
      </c>
      <c r="J37" s="323">
        <f t="shared" si="47"/>
      </c>
      <c r="K37" s="323">
        <f t="shared" si="47"/>
      </c>
      <c r="L37" s="323">
        <f t="shared" si="47"/>
      </c>
      <c r="M37" s="323">
        <f t="shared" si="47"/>
      </c>
      <c r="N37" s="323">
        <f t="shared" si="47"/>
      </c>
      <c r="O37" s="323">
        <f t="shared" si="47"/>
      </c>
      <c r="P37" s="323">
        <f t="shared" si="47"/>
      </c>
      <c r="Q37" s="323">
        <f t="shared" si="47"/>
      </c>
      <c r="R37" s="323">
        <f t="shared" si="47"/>
      </c>
      <c r="S37" s="323">
        <f t="shared" si="47"/>
      </c>
      <c r="T37" s="323">
        <f t="shared" si="47"/>
      </c>
      <c r="U37" s="323">
        <f t="shared" si="47"/>
      </c>
      <c r="V37" s="323">
        <f t="shared" si="47"/>
      </c>
      <c r="W37" s="323">
        <f t="shared" si="47"/>
      </c>
      <c r="X37" s="323">
        <f t="shared" si="47"/>
      </c>
      <c r="Y37" s="323">
        <f t="shared" si="47"/>
      </c>
      <c r="Z37" s="323">
        <f t="shared" si="47"/>
      </c>
      <c r="AA37" s="323">
        <f t="shared" si="47"/>
      </c>
      <c r="AB37" s="323">
        <f t="shared" si="47"/>
      </c>
      <c r="AC37" s="323">
        <f t="shared" si="47"/>
      </c>
      <c r="AD37" s="323">
        <f t="shared" si="47"/>
      </c>
      <c r="AE37" s="323">
        <f t="shared" si="47"/>
      </c>
      <c r="AF37" s="323">
        <f t="shared" si="47"/>
      </c>
      <c r="AG37" s="323">
        <f t="shared" si="47"/>
      </c>
      <c r="AH37" s="323">
        <f t="shared" si="47"/>
      </c>
      <c r="AI37" s="323">
        <f t="shared" si="47"/>
      </c>
      <c r="AJ37" s="323">
        <f t="shared" si="47"/>
      </c>
      <c r="AK37" s="323">
        <f t="shared" si="47"/>
      </c>
      <c r="AL37" s="323">
        <f t="shared" si="47"/>
      </c>
      <c r="AM37" s="323">
        <f t="shared" si="47"/>
      </c>
      <c r="AN37" s="323">
        <f t="shared" si="47"/>
      </c>
      <c r="AO37" s="323">
        <f t="shared" si="47"/>
      </c>
      <c r="AP37" s="323">
        <f t="shared" si="47"/>
      </c>
      <c r="AQ37" s="324">
        <f t="shared" si="47"/>
      </c>
      <c r="AR37" s="316"/>
      <c r="AS37" s="843"/>
      <c r="AU37" s="321">
        <f>IF(Fld_BNK_SW="x",Fld_BankAddress,"")</f>
      </c>
      <c r="AV37" s="6">
        <f>IF(AU37=0,"",LEN(AU37))</f>
        <v>0</v>
      </c>
      <c r="AW37" s="6">
        <f aca="true" t="shared" si="48" ref="AW37:CB37">UPPER(MID($AU$37,(COLUMN(AW37)-($AV$37+(COLUMN($AW$37)-$AV$37-1))),1))</f>
      </c>
      <c r="AX37" s="6">
        <f t="shared" si="48"/>
      </c>
      <c r="AY37" s="6">
        <f t="shared" si="48"/>
      </c>
      <c r="AZ37" s="6">
        <f t="shared" si="48"/>
      </c>
      <c r="BA37" s="6">
        <f t="shared" si="48"/>
      </c>
      <c r="BB37" s="6">
        <f t="shared" si="48"/>
      </c>
      <c r="BC37" s="6">
        <f t="shared" si="48"/>
      </c>
      <c r="BD37" s="6">
        <f t="shared" si="48"/>
      </c>
      <c r="BE37" s="6">
        <f t="shared" si="48"/>
      </c>
      <c r="BF37" s="6">
        <f t="shared" si="48"/>
      </c>
      <c r="BG37" s="6">
        <f t="shared" si="48"/>
      </c>
      <c r="BH37" s="6">
        <f t="shared" si="48"/>
      </c>
      <c r="BI37" s="6">
        <f t="shared" si="48"/>
      </c>
      <c r="BJ37" s="6">
        <f t="shared" si="48"/>
      </c>
      <c r="BK37" s="6">
        <f t="shared" si="48"/>
      </c>
      <c r="BL37" s="6">
        <f t="shared" si="48"/>
      </c>
      <c r="BM37" s="6">
        <f t="shared" si="48"/>
      </c>
      <c r="BN37" s="6">
        <f t="shared" si="48"/>
      </c>
      <c r="BO37" s="6">
        <f t="shared" si="48"/>
      </c>
      <c r="BP37" s="6">
        <f t="shared" si="48"/>
      </c>
      <c r="BQ37" s="6">
        <f t="shared" si="48"/>
      </c>
      <c r="BR37" s="6">
        <f t="shared" si="48"/>
      </c>
      <c r="BS37" s="6">
        <f t="shared" si="48"/>
      </c>
      <c r="BT37" s="6">
        <f t="shared" si="48"/>
      </c>
      <c r="BU37" s="6">
        <f t="shared" si="48"/>
      </c>
      <c r="BV37" s="6">
        <f t="shared" si="48"/>
      </c>
      <c r="BW37" s="6">
        <f t="shared" si="48"/>
      </c>
      <c r="BX37" s="6">
        <f t="shared" si="48"/>
      </c>
      <c r="BY37" s="6">
        <f t="shared" si="48"/>
      </c>
      <c r="BZ37" s="6">
        <f t="shared" si="48"/>
      </c>
      <c r="CA37" s="6">
        <f t="shared" si="48"/>
      </c>
      <c r="CB37" s="6">
        <f t="shared" si="48"/>
      </c>
      <c r="CC37" s="6">
        <f aca="true" t="shared" si="49" ref="CC37:DH37">UPPER(MID($AU$37,(COLUMN(CC37)-($AV$37+(COLUMN($AW$37)-$AV$37-1))),1))</f>
      </c>
      <c r="CD37" s="6">
        <f t="shared" si="49"/>
      </c>
      <c r="CE37" s="6">
        <f t="shared" si="49"/>
      </c>
      <c r="CF37" s="6">
        <f t="shared" si="49"/>
      </c>
      <c r="CG37" s="6">
        <f t="shared" si="49"/>
      </c>
      <c r="CH37" s="6">
        <f t="shared" si="49"/>
      </c>
      <c r="CI37" s="6">
        <f t="shared" si="49"/>
      </c>
      <c r="CJ37" s="6">
        <f t="shared" si="49"/>
      </c>
      <c r="CK37" s="6">
        <f t="shared" si="49"/>
      </c>
      <c r="CL37" s="6">
        <f t="shared" si="49"/>
      </c>
      <c r="CM37" s="6">
        <f t="shared" si="49"/>
      </c>
      <c r="CN37" s="6">
        <f t="shared" si="49"/>
      </c>
      <c r="CO37" s="6">
        <f t="shared" si="49"/>
      </c>
      <c r="CP37" s="6">
        <f t="shared" si="49"/>
      </c>
      <c r="CQ37" s="6">
        <f t="shared" si="49"/>
      </c>
      <c r="CR37" s="6">
        <f t="shared" si="49"/>
      </c>
      <c r="CS37" s="6">
        <f t="shared" si="49"/>
      </c>
      <c r="CT37" s="6">
        <f t="shared" si="49"/>
      </c>
      <c r="CU37" s="6">
        <f t="shared" si="49"/>
      </c>
      <c r="CV37" s="6">
        <f t="shared" si="49"/>
      </c>
      <c r="CW37" s="6">
        <f t="shared" si="49"/>
      </c>
      <c r="CX37" s="6">
        <f t="shared" si="49"/>
      </c>
      <c r="CY37" s="6">
        <f t="shared" si="49"/>
      </c>
      <c r="CZ37" s="6">
        <f t="shared" si="49"/>
      </c>
      <c r="DA37" s="6">
        <f t="shared" si="49"/>
      </c>
      <c r="DB37" s="6">
        <f t="shared" si="49"/>
      </c>
      <c r="DC37" s="6">
        <f t="shared" si="49"/>
      </c>
      <c r="DD37" s="6">
        <f t="shared" si="49"/>
      </c>
      <c r="DE37" s="6">
        <f t="shared" si="49"/>
      </c>
      <c r="DF37" s="6">
        <f t="shared" si="49"/>
      </c>
      <c r="DG37" s="6">
        <f t="shared" si="49"/>
      </c>
      <c r="DH37" s="6">
        <f t="shared" si="49"/>
      </c>
      <c r="DI37" s="6">
        <f aca="true" t="shared" si="50" ref="DI37:DN37">UPPER(MID($AU$37,(COLUMN(DI37)-($AV$37+(COLUMN($AW$37)-$AV$37-1))),1))</f>
      </c>
      <c r="DJ37" s="6">
        <f t="shared" si="50"/>
      </c>
      <c r="DK37" s="6">
        <f t="shared" si="50"/>
      </c>
      <c r="DL37" s="6">
        <f t="shared" si="50"/>
      </c>
      <c r="DM37" s="6">
        <f t="shared" si="50"/>
      </c>
      <c r="DN37" s="6">
        <f t="shared" si="50"/>
      </c>
    </row>
    <row r="38" spans="1:45" ht="6.75" customHeight="1">
      <c r="A38" s="822"/>
      <c r="B38" s="823"/>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59"/>
      <c r="AS38" s="843"/>
    </row>
    <row r="39" spans="1:45" ht="15.75" customHeight="1">
      <c r="A39" s="826"/>
      <c r="B39" s="456"/>
      <c r="C39" s="456"/>
      <c r="D39" s="456"/>
      <c r="E39" s="456"/>
      <c r="F39" s="456"/>
      <c r="G39" s="456"/>
      <c r="H39" s="839"/>
      <c r="I39" s="323">
        <f aca="true" t="shared" si="51" ref="I39:AQ39">IF(ISERR(CF$37),"",CF$37)</f>
      </c>
      <c r="J39" s="323">
        <f t="shared" si="51"/>
      </c>
      <c r="K39" s="323">
        <f t="shared" si="51"/>
      </c>
      <c r="L39" s="323">
        <f t="shared" si="51"/>
      </c>
      <c r="M39" s="323">
        <f t="shared" si="51"/>
      </c>
      <c r="N39" s="323">
        <f t="shared" si="51"/>
      </c>
      <c r="O39" s="323">
        <f t="shared" si="51"/>
      </c>
      <c r="P39" s="323">
        <f t="shared" si="51"/>
      </c>
      <c r="Q39" s="323">
        <f t="shared" si="51"/>
      </c>
      <c r="R39" s="323">
        <f t="shared" si="51"/>
      </c>
      <c r="S39" s="323">
        <f t="shared" si="51"/>
      </c>
      <c r="T39" s="323">
        <f t="shared" si="51"/>
      </c>
      <c r="U39" s="323">
        <f t="shared" si="51"/>
      </c>
      <c r="V39" s="323">
        <f t="shared" si="51"/>
      </c>
      <c r="W39" s="323">
        <f t="shared" si="51"/>
      </c>
      <c r="X39" s="323">
        <f t="shared" si="51"/>
      </c>
      <c r="Y39" s="323">
        <f t="shared" si="51"/>
      </c>
      <c r="Z39" s="323">
        <f t="shared" si="51"/>
      </c>
      <c r="AA39" s="323">
        <f t="shared" si="51"/>
      </c>
      <c r="AB39" s="323">
        <f t="shared" si="51"/>
      </c>
      <c r="AC39" s="323">
        <f t="shared" si="51"/>
      </c>
      <c r="AD39" s="323">
        <f t="shared" si="51"/>
      </c>
      <c r="AE39" s="323">
        <f t="shared" si="51"/>
      </c>
      <c r="AF39" s="323">
        <f t="shared" si="51"/>
      </c>
      <c r="AG39" s="323">
        <f t="shared" si="51"/>
      </c>
      <c r="AH39" s="323">
        <f t="shared" si="51"/>
      </c>
      <c r="AI39" s="323">
        <f t="shared" si="51"/>
      </c>
      <c r="AJ39" s="323">
        <f t="shared" si="51"/>
      </c>
      <c r="AK39" s="323">
        <f t="shared" si="51"/>
      </c>
      <c r="AL39" s="323">
        <f t="shared" si="51"/>
      </c>
      <c r="AM39" s="323">
        <f t="shared" si="51"/>
      </c>
      <c r="AN39" s="323">
        <f t="shared" si="51"/>
      </c>
      <c r="AO39" s="323">
        <f t="shared" si="51"/>
      </c>
      <c r="AP39" s="323">
        <f t="shared" si="51"/>
      </c>
      <c r="AQ39" s="324">
        <f t="shared" si="51"/>
      </c>
      <c r="AR39" s="316"/>
      <c r="AS39" s="843"/>
    </row>
    <row r="40" spans="1:45" ht="6.75" customHeight="1">
      <c r="A40" s="820"/>
      <c r="B40" s="821"/>
      <c r="C40" s="821"/>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821"/>
      <c r="AP40" s="821"/>
      <c r="AQ40" s="821"/>
      <c r="AR40" s="856"/>
      <c r="AS40" s="843"/>
    </row>
    <row r="41" spans="1:118" ht="15.75" customHeight="1">
      <c r="A41" s="818" t="str">
        <f>A15</f>
        <v>TOWN/CITY</v>
      </c>
      <c r="B41" s="819"/>
      <c r="C41" s="819"/>
      <c r="D41" s="819"/>
      <c r="E41" s="819"/>
      <c r="F41" s="819"/>
      <c r="G41" s="819"/>
      <c r="H41" s="314"/>
      <c r="I41" s="323">
        <f aca="true" t="shared" si="52" ref="I41:AQ41">IF(ISERR(AW$41),"",AW$41)</f>
      </c>
      <c r="J41" s="323">
        <f t="shared" si="52"/>
      </c>
      <c r="K41" s="323">
        <f t="shared" si="52"/>
      </c>
      <c r="L41" s="323">
        <f t="shared" si="52"/>
      </c>
      <c r="M41" s="323">
        <f t="shared" si="52"/>
      </c>
      <c r="N41" s="323">
        <f t="shared" si="52"/>
      </c>
      <c r="O41" s="323">
        <f t="shared" si="52"/>
      </c>
      <c r="P41" s="323">
        <f t="shared" si="52"/>
      </c>
      <c r="Q41" s="323">
        <f t="shared" si="52"/>
      </c>
      <c r="R41" s="323">
        <f t="shared" si="52"/>
      </c>
      <c r="S41" s="323">
        <f t="shared" si="52"/>
      </c>
      <c r="T41" s="323">
        <f t="shared" si="52"/>
      </c>
      <c r="U41" s="323">
        <f t="shared" si="52"/>
      </c>
      <c r="V41" s="323">
        <f t="shared" si="52"/>
      </c>
      <c r="W41" s="323">
        <f t="shared" si="52"/>
      </c>
      <c r="X41" s="323">
        <f t="shared" si="52"/>
      </c>
      <c r="Y41" s="323">
        <f t="shared" si="52"/>
      </c>
      <c r="Z41" s="323">
        <f t="shared" si="52"/>
      </c>
      <c r="AA41" s="323">
        <f t="shared" si="52"/>
      </c>
      <c r="AB41" s="323">
        <f t="shared" si="52"/>
      </c>
      <c r="AC41" s="323">
        <f t="shared" si="52"/>
      </c>
      <c r="AD41" s="323">
        <f t="shared" si="52"/>
      </c>
      <c r="AE41" s="323">
        <f t="shared" si="52"/>
      </c>
      <c r="AF41" s="323">
        <f t="shared" si="52"/>
      </c>
      <c r="AG41" s="323">
        <f t="shared" si="52"/>
      </c>
      <c r="AH41" s="323">
        <f t="shared" si="52"/>
      </c>
      <c r="AI41" s="323">
        <f t="shared" si="52"/>
      </c>
      <c r="AJ41" s="323">
        <f t="shared" si="52"/>
      </c>
      <c r="AK41" s="323">
        <f t="shared" si="52"/>
      </c>
      <c r="AL41" s="323">
        <f t="shared" si="52"/>
      </c>
      <c r="AM41" s="323">
        <f t="shared" si="52"/>
      </c>
      <c r="AN41" s="323">
        <f t="shared" si="52"/>
      </c>
      <c r="AO41" s="323">
        <f t="shared" si="52"/>
      </c>
      <c r="AP41" s="323">
        <f t="shared" si="52"/>
      </c>
      <c r="AQ41" s="324">
        <f t="shared" si="52"/>
      </c>
      <c r="AR41" s="316"/>
      <c r="AS41" s="843"/>
      <c r="AU41" s="321">
        <f>IF(Fld_BNK_SW="x",Fld_BankVille,"")</f>
      </c>
      <c r="AV41" s="6">
        <f>IF(AU41=0,"",LEN(AU41))</f>
        <v>0</v>
      </c>
      <c r="AW41" s="6">
        <f aca="true" t="shared" si="53" ref="AW41:CB41">UPPER(MID($AU$41,(COLUMN(AW41)-($AV$41+(COLUMN($AW$41)-$AV$41-1))),1))</f>
      </c>
      <c r="AX41" s="6">
        <f t="shared" si="53"/>
      </c>
      <c r="AY41" s="6">
        <f t="shared" si="53"/>
      </c>
      <c r="AZ41" s="6">
        <f t="shared" si="53"/>
      </c>
      <c r="BA41" s="6">
        <f t="shared" si="53"/>
      </c>
      <c r="BB41" s="6">
        <f t="shared" si="53"/>
      </c>
      <c r="BC41" s="6">
        <f t="shared" si="53"/>
      </c>
      <c r="BD41" s="6">
        <f t="shared" si="53"/>
      </c>
      <c r="BE41" s="6">
        <f t="shared" si="53"/>
      </c>
      <c r="BF41" s="6">
        <f t="shared" si="53"/>
      </c>
      <c r="BG41" s="6">
        <f t="shared" si="53"/>
      </c>
      <c r="BH41" s="6">
        <f t="shared" si="53"/>
      </c>
      <c r="BI41" s="6">
        <f t="shared" si="53"/>
      </c>
      <c r="BJ41" s="6">
        <f t="shared" si="53"/>
      </c>
      <c r="BK41" s="6">
        <f t="shared" si="53"/>
      </c>
      <c r="BL41" s="6">
        <f t="shared" si="53"/>
      </c>
      <c r="BM41" s="6">
        <f t="shared" si="53"/>
      </c>
      <c r="BN41" s="6">
        <f t="shared" si="53"/>
      </c>
      <c r="BO41" s="6">
        <f t="shared" si="53"/>
      </c>
      <c r="BP41" s="6">
        <f t="shared" si="53"/>
      </c>
      <c r="BQ41" s="6">
        <f t="shared" si="53"/>
      </c>
      <c r="BR41" s="6">
        <f t="shared" si="53"/>
      </c>
      <c r="BS41" s="6">
        <f t="shared" si="53"/>
      </c>
      <c r="BT41" s="6">
        <f t="shared" si="53"/>
      </c>
      <c r="BU41" s="6">
        <f t="shared" si="53"/>
      </c>
      <c r="BV41" s="6">
        <f t="shared" si="53"/>
      </c>
      <c r="BW41" s="6">
        <f t="shared" si="53"/>
      </c>
      <c r="BX41" s="6">
        <f t="shared" si="53"/>
      </c>
      <c r="BY41" s="6">
        <f t="shared" si="53"/>
      </c>
      <c r="BZ41" s="6">
        <f t="shared" si="53"/>
      </c>
      <c r="CA41" s="6">
        <f t="shared" si="53"/>
      </c>
      <c r="CB41" s="6">
        <f t="shared" si="53"/>
      </c>
      <c r="CC41" s="6">
        <f aca="true" t="shared" si="54" ref="CC41:DH41">UPPER(MID($AU$41,(COLUMN(CC41)-($AV$41+(COLUMN($AW$41)-$AV$41-1))),1))</f>
      </c>
      <c r="CD41" s="6">
        <f t="shared" si="54"/>
      </c>
      <c r="CE41" s="6">
        <f t="shared" si="54"/>
      </c>
      <c r="CF41" s="6">
        <f t="shared" si="54"/>
      </c>
      <c r="CG41" s="6">
        <f t="shared" si="54"/>
      </c>
      <c r="CH41" s="6">
        <f t="shared" si="54"/>
      </c>
      <c r="CI41" s="6">
        <f t="shared" si="54"/>
      </c>
      <c r="CJ41" s="6">
        <f t="shared" si="54"/>
      </c>
      <c r="CK41" s="6">
        <f t="shared" si="54"/>
      </c>
      <c r="CL41" s="6">
        <f t="shared" si="54"/>
      </c>
      <c r="CM41" s="6">
        <f t="shared" si="54"/>
      </c>
      <c r="CN41" s="6">
        <f t="shared" si="54"/>
      </c>
      <c r="CO41" s="6">
        <f t="shared" si="54"/>
      </c>
      <c r="CP41" s="6">
        <f t="shared" si="54"/>
      </c>
      <c r="CQ41" s="6">
        <f t="shared" si="54"/>
      </c>
      <c r="CR41" s="6">
        <f t="shared" si="54"/>
      </c>
      <c r="CS41" s="6">
        <f t="shared" si="54"/>
      </c>
      <c r="CT41" s="6">
        <f t="shared" si="54"/>
      </c>
      <c r="CU41" s="6">
        <f t="shared" si="54"/>
      </c>
      <c r="CV41" s="6">
        <f t="shared" si="54"/>
      </c>
      <c r="CW41" s="6">
        <f t="shared" si="54"/>
      </c>
      <c r="CX41" s="6">
        <f t="shared" si="54"/>
      </c>
      <c r="CY41" s="6">
        <f t="shared" si="54"/>
      </c>
      <c r="CZ41" s="6">
        <f t="shared" si="54"/>
      </c>
      <c r="DA41" s="6">
        <f t="shared" si="54"/>
      </c>
      <c r="DB41" s="6">
        <f t="shared" si="54"/>
      </c>
      <c r="DC41" s="6">
        <f t="shared" si="54"/>
      </c>
      <c r="DD41" s="6">
        <f t="shared" si="54"/>
      </c>
      <c r="DE41" s="6">
        <f t="shared" si="54"/>
      </c>
      <c r="DF41" s="6">
        <f t="shared" si="54"/>
      </c>
      <c r="DG41" s="6">
        <f t="shared" si="54"/>
      </c>
      <c r="DH41" s="6">
        <f t="shared" si="54"/>
      </c>
      <c r="DI41" s="6">
        <f aca="true" t="shared" si="55" ref="DI41:DN41">UPPER(MID($AU$41,(COLUMN(DI41)-($AV$41+(COLUMN($AW$41)-$AV$41-1))),1))</f>
      </c>
      <c r="DJ41" s="6">
        <f t="shared" si="55"/>
      </c>
      <c r="DK41" s="6">
        <f t="shared" si="55"/>
      </c>
      <c r="DL41" s="6">
        <f t="shared" si="55"/>
      </c>
      <c r="DM41" s="6">
        <f t="shared" si="55"/>
      </c>
      <c r="DN41" s="6">
        <f t="shared" si="55"/>
      </c>
    </row>
    <row r="42" spans="1:47" ht="6.75" customHeight="1">
      <c r="A42" s="820"/>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56"/>
      <c r="AS42" s="843"/>
      <c r="AU42" s="321"/>
    </row>
    <row r="43" spans="1:118" ht="15.75" customHeight="1">
      <c r="A43" s="818" t="str">
        <f>A17</f>
        <v>POSTCODE</v>
      </c>
      <c r="B43" s="819"/>
      <c r="C43" s="819"/>
      <c r="D43" s="819"/>
      <c r="E43" s="819"/>
      <c r="F43" s="819"/>
      <c r="G43" s="819"/>
      <c r="H43" s="314"/>
      <c r="I43" s="323">
        <f aca="true" t="shared" si="56" ref="I43:N43">IF(ISERR(AW$43),"",AW$43)</f>
      </c>
      <c r="J43" s="323">
        <f t="shared" si="56"/>
      </c>
      <c r="K43" s="323">
        <f t="shared" si="56"/>
      </c>
      <c r="L43" s="323">
        <f t="shared" si="56"/>
      </c>
      <c r="M43" s="323">
        <f t="shared" si="56"/>
      </c>
      <c r="N43" s="323">
        <f t="shared" si="56"/>
      </c>
      <c r="O43" s="833"/>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0"/>
      <c r="AS43" s="843"/>
      <c r="AU43" s="321">
        <f>IF(Fld_BNK_SW="x",Fld_Bank_CodePostal,"")</f>
      </c>
      <c r="AV43" s="6">
        <f>IF(AU43=0,"",LEN(AU43))</f>
        <v>0</v>
      </c>
      <c r="AW43" s="6">
        <f aca="true" t="shared" si="57" ref="AW43:CB43">UPPER(MID($AU$43,(COLUMN(AW43)-($AV$43+(COLUMN($AW$43)-$AV$43-1))),1))</f>
      </c>
      <c r="AX43" s="6">
        <f t="shared" si="57"/>
      </c>
      <c r="AY43" s="6">
        <f t="shared" si="57"/>
      </c>
      <c r="AZ43" s="6">
        <f t="shared" si="57"/>
      </c>
      <c r="BA43" s="6">
        <f t="shared" si="57"/>
      </c>
      <c r="BB43" s="6">
        <f t="shared" si="57"/>
      </c>
      <c r="BC43" s="6">
        <f t="shared" si="57"/>
      </c>
      <c r="BD43" s="6">
        <f t="shared" si="57"/>
      </c>
      <c r="BE43" s="6">
        <f t="shared" si="57"/>
      </c>
      <c r="BF43" s="6">
        <f t="shared" si="57"/>
      </c>
      <c r="BG43" s="6">
        <f t="shared" si="57"/>
      </c>
      <c r="BH43" s="6">
        <f t="shared" si="57"/>
      </c>
      <c r="BI43" s="6">
        <f t="shared" si="57"/>
      </c>
      <c r="BJ43" s="6">
        <f t="shared" si="57"/>
      </c>
      <c r="BK43" s="6">
        <f t="shared" si="57"/>
      </c>
      <c r="BL43" s="6">
        <f t="shared" si="57"/>
      </c>
      <c r="BM43" s="6">
        <f t="shared" si="57"/>
      </c>
      <c r="BN43" s="6">
        <f t="shared" si="57"/>
      </c>
      <c r="BO43" s="6">
        <f t="shared" si="57"/>
      </c>
      <c r="BP43" s="6">
        <f t="shared" si="57"/>
      </c>
      <c r="BQ43" s="6">
        <f t="shared" si="57"/>
      </c>
      <c r="BR43" s="6">
        <f t="shared" si="57"/>
      </c>
      <c r="BS43" s="6">
        <f t="shared" si="57"/>
      </c>
      <c r="BT43" s="6">
        <f t="shared" si="57"/>
      </c>
      <c r="BU43" s="6">
        <f t="shared" si="57"/>
      </c>
      <c r="BV43" s="6">
        <f t="shared" si="57"/>
      </c>
      <c r="BW43" s="6">
        <f t="shared" si="57"/>
      </c>
      <c r="BX43" s="6">
        <f t="shared" si="57"/>
      </c>
      <c r="BY43" s="6">
        <f t="shared" si="57"/>
      </c>
      <c r="BZ43" s="6">
        <f t="shared" si="57"/>
      </c>
      <c r="CA43" s="6">
        <f t="shared" si="57"/>
      </c>
      <c r="CB43" s="6">
        <f t="shared" si="57"/>
      </c>
      <c r="CC43" s="6">
        <f aca="true" t="shared" si="58" ref="CC43:DH43">UPPER(MID($AU$43,(COLUMN(CC43)-($AV$43+(COLUMN($AW$43)-$AV$43-1))),1))</f>
      </c>
      <c r="CD43" s="6">
        <f t="shared" si="58"/>
      </c>
      <c r="CE43" s="6">
        <f t="shared" si="58"/>
      </c>
      <c r="CF43" s="6">
        <f t="shared" si="58"/>
      </c>
      <c r="CG43" s="6">
        <f t="shared" si="58"/>
      </c>
      <c r="CH43" s="6">
        <f t="shared" si="58"/>
      </c>
      <c r="CI43" s="6">
        <f t="shared" si="58"/>
      </c>
      <c r="CJ43" s="6">
        <f t="shared" si="58"/>
      </c>
      <c r="CK43" s="6">
        <f t="shared" si="58"/>
      </c>
      <c r="CL43" s="6">
        <f t="shared" si="58"/>
      </c>
      <c r="CM43" s="6">
        <f t="shared" si="58"/>
      </c>
      <c r="CN43" s="6">
        <f t="shared" si="58"/>
      </c>
      <c r="CO43" s="6">
        <f t="shared" si="58"/>
      </c>
      <c r="CP43" s="6">
        <f t="shared" si="58"/>
      </c>
      <c r="CQ43" s="6">
        <f t="shared" si="58"/>
      </c>
      <c r="CR43" s="6">
        <f t="shared" si="58"/>
      </c>
      <c r="CS43" s="6">
        <f t="shared" si="58"/>
      </c>
      <c r="CT43" s="6">
        <f t="shared" si="58"/>
      </c>
      <c r="CU43" s="6">
        <f t="shared" si="58"/>
      </c>
      <c r="CV43" s="6">
        <f t="shared" si="58"/>
      </c>
      <c r="CW43" s="6">
        <f t="shared" si="58"/>
      </c>
      <c r="CX43" s="6">
        <f t="shared" si="58"/>
      </c>
      <c r="CY43" s="6">
        <f t="shared" si="58"/>
      </c>
      <c r="CZ43" s="6">
        <f t="shared" si="58"/>
      </c>
      <c r="DA43" s="6">
        <f t="shared" si="58"/>
      </c>
      <c r="DB43" s="6">
        <f t="shared" si="58"/>
      </c>
      <c r="DC43" s="6">
        <f t="shared" si="58"/>
      </c>
      <c r="DD43" s="6">
        <f t="shared" si="58"/>
      </c>
      <c r="DE43" s="6">
        <f t="shared" si="58"/>
      </c>
      <c r="DF43" s="6">
        <f t="shared" si="58"/>
      </c>
      <c r="DG43" s="6">
        <f t="shared" si="58"/>
      </c>
      <c r="DH43" s="6">
        <f t="shared" si="58"/>
      </c>
      <c r="DI43" s="6">
        <f aca="true" t="shared" si="59" ref="DI43:DN43">UPPER(MID($AU$43,(COLUMN(DI43)-($AV$43+(COLUMN($AW$43)-$AV$43-1))),1))</f>
      </c>
      <c r="DJ43" s="6">
        <f t="shared" si="59"/>
      </c>
      <c r="DK43" s="6">
        <f t="shared" si="59"/>
      </c>
      <c r="DL43" s="6">
        <f t="shared" si="59"/>
      </c>
      <c r="DM43" s="6">
        <f t="shared" si="59"/>
      </c>
      <c r="DN43" s="6">
        <f t="shared" si="59"/>
      </c>
    </row>
    <row r="44" spans="1:45" ht="6.75" customHeight="1">
      <c r="A44" s="822"/>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59"/>
      <c r="AS44" s="843"/>
    </row>
    <row r="45" spans="1:118" ht="15.75" customHeight="1">
      <c r="A45" s="870" t="s">
        <v>637</v>
      </c>
      <c r="B45" s="547"/>
      <c r="C45" s="547"/>
      <c r="D45" s="547"/>
      <c r="E45" s="547"/>
      <c r="F45" s="547"/>
      <c r="G45" s="547"/>
      <c r="H45" s="314"/>
      <c r="I45" s="361">
        <f>IF(ISERR(AW$51),"",AW$51)</f>
      </c>
      <c r="J45" s="361">
        <f>IF(ISERR(AX$51),"",AX$51)</f>
      </c>
      <c r="K45" s="361">
        <f>IF(ISERR(AY$51),"",AY$51)</f>
      </c>
      <c r="L45" s="361">
        <f>IF(ISERR(AZ$51),"",AZ$51)</f>
      </c>
      <c r="M45" s="833"/>
      <c r="N45" s="834"/>
      <c r="O45" s="834"/>
      <c r="P45" s="834"/>
      <c r="Q45" s="834"/>
      <c r="R45" s="834"/>
      <c r="S45" s="834"/>
      <c r="T45" s="834"/>
      <c r="U45" s="834"/>
      <c r="V45" s="456" t="s">
        <v>727</v>
      </c>
      <c r="W45" s="456"/>
      <c r="X45" s="456"/>
      <c r="Y45" s="456"/>
      <c r="Z45" s="456"/>
      <c r="AA45" s="456"/>
      <c r="AB45" s="456"/>
      <c r="AC45" s="456"/>
      <c r="AD45" s="456"/>
      <c r="AE45" s="839"/>
      <c r="AF45" s="361">
        <f aca="true" t="shared" si="60" ref="AF45:AO45">IF(ISERR(AW$45),"",AW$45)</f>
      </c>
      <c r="AG45" s="361">
        <f t="shared" si="60"/>
      </c>
      <c r="AH45" s="361">
        <f t="shared" si="60"/>
      </c>
      <c r="AI45" s="361">
        <f t="shared" si="60"/>
      </c>
      <c r="AJ45" s="361">
        <f t="shared" si="60"/>
      </c>
      <c r="AK45" s="361">
        <f t="shared" si="60"/>
      </c>
      <c r="AL45" s="361">
        <f t="shared" si="60"/>
      </c>
      <c r="AM45" s="361">
        <f t="shared" si="60"/>
      </c>
      <c r="AN45" s="361">
        <f t="shared" si="60"/>
      </c>
      <c r="AO45" s="361">
        <f t="shared" si="60"/>
      </c>
      <c r="AP45" s="833"/>
      <c r="AQ45" s="843"/>
      <c r="AR45" s="830"/>
      <c r="AS45" s="843"/>
      <c r="AU45" s="321">
        <f>IF(Fld_BNK_SW="x",Fld_N_Compte,"")</f>
      </c>
      <c r="AV45" s="6">
        <f>IF(AU45=0,"",LEN(AU45))</f>
        <v>0</v>
      </c>
      <c r="AW45" s="6">
        <f aca="true" t="shared" si="61" ref="AW45:CB45">UPPER(MID($AU$45,(COLUMN(AW45)-($AV$45+(COLUMN($AW$45)-$AV$45-1))),1))</f>
      </c>
      <c r="AX45" s="6">
        <f t="shared" si="61"/>
      </c>
      <c r="AY45" s="6">
        <f t="shared" si="61"/>
      </c>
      <c r="AZ45" s="6">
        <f t="shared" si="61"/>
      </c>
      <c r="BA45" s="6">
        <f t="shared" si="61"/>
      </c>
      <c r="BB45" s="6">
        <f t="shared" si="61"/>
      </c>
      <c r="BC45" s="6">
        <f t="shared" si="61"/>
      </c>
      <c r="BD45" s="6">
        <f t="shared" si="61"/>
      </c>
      <c r="BE45" s="6">
        <f t="shared" si="61"/>
      </c>
      <c r="BF45" s="6">
        <f t="shared" si="61"/>
      </c>
      <c r="BG45" s="6">
        <f t="shared" si="61"/>
      </c>
      <c r="BH45" s="6">
        <f t="shared" si="61"/>
      </c>
      <c r="BI45" s="6">
        <f t="shared" si="61"/>
      </c>
      <c r="BJ45" s="6">
        <f t="shared" si="61"/>
      </c>
      <c r="BK45" s="6">
        <f t="shared" si="61"/>
      </c>
      <c r="BL45" s="6">
        <f t="shared" si="61"/>
      </c>
      <c r="BM45" s="6">
        <f t="shared" si="61"/>
      </c>
      <c r="BN45" s="6">
        <f t="shared" si="61"/>
      </c>
      <c r="BO45" s="6">
        <f t="shared" si="61"/>
      </c>
      <c r="BP45" s="6">
        <f t="shared" si="61"/>
      </c>
      <c r="BQ45" s="6">
        <f t="shared" si="61"/>
      </c>
      <c r="BR45" s="6">
        <f t="shared" si="61"/>
      </c>
      <c r="BS45" s="6">
        <f t="shared" si="61"/>
      </c>
      <c r="BT45" s="6">
        <f t="shared" si="61"/>
      </c>
      <c r="BU45" s="6">
        <f t="shared" si="61"/>
      </c>
      <c r="BV45" s="6">
        <f t="shared" si="61"/>
      </c>
      <c r="BW45" s="6">
        <f t="shared" si="61"/>
      </c>
      <c r="BX45" s="6">
        <f t="shared" si="61"/>
      </c>
      <c r="BY45" s="6">
        <f t="shared" si="61"/>
      </c>
      <c r="BZ45" s="6">
        <f t="shared" si="61"/>
      </c>
      <c r="CA45" s="6">
        <f t="shared" si="61"/>
      </c>
      <c r="CB45" s="6">
        <f t="shared" si="61"/>
      </c>
      <c r="CC45" s="6">
        <f aca="true" t="shared" si="62" ref="CC45:DH45">UPPER(MID($AU$45,(COLUMN(CC45)-($AV$45+(COLUMN($AW$45)-$AV$45-1))),1))</f>
      </c>
      <c r="CD45" s="6">
        <f t="shared" si="62"/>
      </c>
      <c r="CE45" s="6">
        <f t="shared" si="62"/>
      </c>
      <c r="CF45" s="6">
        <f t="shared" si="62"/>
      </c>
      <c r="CG45" s="6">
        <f t="shared" si="62"/>
      </c>
      <c r="CH45" s="6">
        <f t="shared" si="62"/>
      </c>
      <c r="CI45" s="6">
        <f t="shared" si="62"/>
      </c>
      <c r="CJ45" s="6">
        <f t="shared" si="62"/>
      </c>
      <c r="CK45" s="6">
        <f t="shared" si="62"/>
      </c>
      <c r="CL45" s="6">
        <f t="shared" si="62"/>
      </c>
      <c r="CM45" s="6">
        <f t="shared" si="62"/>
      </c>
      <c r="CN45" s="6">
        <f t="shared" si="62"/>
      </c>
      <c r="CO45" s="6">
        <f t="shared" si="62"/>
      </c>
      <c r="CP45" s="6">
        <f t="shared" si="62"/>
      </c>
      <c r="CQ45" s="6">
        <f t="shared" si="62"/>
      </c>
      <c r="CR45" s="6">
        <f t="shared" si="62"/>
      </c>
      <c r="CS45" s="6">
        <f t="shared" si="62"/>
      </c>
      <c r="CT45" s="6">
        <f t="shared" si="62"/>
      </c>
      <c r="CU45" s="6">
        <f t="shared" si="62"/>
      </c>
      <c r="CV45" s="6">
        <f t="shared" si="62"/>
      </c>
      <c r="CW45" s="6">
        <f t="shared" si="62"/>
      </c>
      <c r="CX45" s="6">
        <f t="shared" si="62"/>
      </c>
      <c r="CY45" s="6">
        <f t="shared" si="62"/>
      </c>
      <c r="CZ45" s="6">
        <f t="shared" si="62"/>
      </c>
      <c r="DA45" s="6">
        <f t="shared" si="62"/>
      </c>
      <c r="DB45" s="6">
        <f t="shared" si="62"/>
      </c>
      <c r="DC45" s="6">
        <f t="shared" si="62"/>
      </c>
      <c r="DD45" s="6">
        <f t="shared" si="62"/>
      </c>
      <c r="DE45" s="6">
        <f t="shared" si="62"/>
      </c>
      <c r="DF45" s="6">
        <f t="shared" si="62"/>
      </c>
      <c r="DG45" s="6">
        <f t="shared" si="62"/>
      </c>
      <c r="DH45" s="6">
        <f t="shared" si="62"/>
      </c>
      <c r="DI45" s="6">
        <f aca="true" t="shared" si="63" ref="DI45:DN45">UPPER(MID($AU$45,(COLUMN(DI45)-($AV$45+(COLUMN($AW$45)-$AV$45-1))),1))</f>
      </c>
      <c r="DJ45" s="6">
        <f t="shared" si="63"/>
      </c>
      <c r="DK45" s="6">
        <f t="shared" si="63"/>
      </c>
      <c r="DL45" s="6">
        <f t="shared" si="63"/>
      </c>
      <c r="DM45" s="6">
        <f t="shared" si="63"/>
      </c>
      <c r="DN45" s="6">
        <f t="shared" si="63"/>
      </c>
    </row>
    <row r="46" spans="1:45" ht="6.75" customHeight="1">
      <c r="A46" s="822"/>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823"/>
      <c r="AP46" s="823"/>
      <c r="AQ46" s="823"/>
      <c r="AR46" s="859"/>
      <c r="AS46" s="843"/>
    </row>
    <row r="47" spans="1:118" ht="15.75" customHeight="1">
      <c r="A47" s="886"/>
      <c r="B47" s="864"/>
      <c r="C47" s="864"/>
      <c r="D47" s="864"/>
      <c r="E47" s="864"/>
      <c r="F47" s="864"/>
      <c r="G47" s="864"/>
      <c r="H47" s="864"/>
      <c r="I47" s="864"/>
      <c r="J47" s="456" t="s">
        <v>638</v>
      </c>
      <c r="K47" s="456"/>
      <c r="L47" s="456"/>
      <c r="M47" s="456"/>
      <c r="N47" s="456"/>
      <c r="O47" s="456"/>
      <c r="P47" s="456"/>
      <c r="Q47" s="456"/>
      <c r="R47" s="456"/>
      <c r="S47" s="456"/>
      <c r="T47" s="456"/>
      <c r="U47" s="456"/>
      <c r="V47" s="456"/>
      <c r="W47" s="456"/>
      <c r="X47" s="456"/>
      <c r="Y47" s="456"/>
      <c r="Z47" s="456"/>
      <c r="AA47" s="456"/>
      <c r="AB47" s="456"/>
      <c r="AC47" s="456"/>
      <c r="AD47" s="839"/>
      <c r="AE47" s="361">
        <f aca="true" t="shared" si="64" ref="AE47:AJ47">IF(ISERR(AW$55),"",AW$55)</f>
      </c>
      <c r="AF47" s="361">
        <f t="shared" si="64"/>
      </c>
      <c r="AG47" s="361">
        <f t="shared" si="64"/>
      </c>
      <c r="AH47" s="361">
        <f t="shared" si="64"/>
      </c>
      <c r="AI47" s="361">
        <f t="shared" si="64"/>
      </c>
      <c r="AJ47" s="362">
        <f t="shared" si="64"/>
      </c>
      <c r="AK47" s="101"/>
      <c r="AL47" s="362">
        <f>IF(ISERR(AW$56),"",AW$56)</f>
      </c>
      <c r="AM47" s="362">
        <f>IF(ISERR(AX$56),"",AX$56)</f>
      </c>
      <c r="AN47" s="362">
        <f>IF(ISERR(AY$56),"",AY$56)</f>
      </c>
      <c r="AO47" s="362">
        <f>IF(ISERR(AZ$56),"",AZ$56)</f>
      </c>
      <c r="AP47" s="874"/>
      <c r="AQ47" s="875"/>
      <c r="AR47" s="876"/>
      <c r="AS47" s="843"/>
      <c r="AU47" s="321">
        <f>IF(Fld_BNK_SW="x",Fld_Devise,"")</f>
      </c>
      <c r="AV47" s="6">
        <f>IF(AU47=0,"",LEN(AU47))</f>
        <v>0</v>
      </c>
      <c r="AW47" s="6">
        <f aca="true" t="shared" si="65" ref="AW47:CB47">UPPER(MID($AU$47,(COLUMN(AW47)-($AV$47+(COLUMN($AW$47)-$AV$47-1))),1))</f>
      </c>
      <c r="AX47" s="6">
        <f t="shared" si="65"/>
      </c>
      <c r="AY47" s="6">
        <f t="shared" si="65"/>
      </c>
      <c r="AZ47" s="6">
        <f t="shared" si="65"/>
      </c>
      <c r="BA47" s="6">
        <f t="shared" si="65"/>
      </c>
      <c r="BB47" s="6">
        <f t="shared" si="65"/>
      </c>
      <c r="BC47" s="6">
        <f t="shared" si="65"/>
      </c>
      <c r="BD47" s="6">
        <f t="shared" si="65"/>
      </c>
      <c r="BE47" s="6">
        <f t="shared" si="65"/>
      </c>
      <c r="BF47" s="6">
        <f t="shared" si="65"/>
      </c>
      <c r="BG47" s="6">
        <f t="shared" si="65"/>
      </c>
      <c r="BH47" s="6">
        <f t="shared" si="65"/>
      </c>
      <c r="BI47" s="6">
        <f t="shared" si="65"/>
      </c>
      <c r="BJ47" s="6">
        <f t="shared" si="65"/>
      </c>
      <c r="BK47" s="6">
        <f t="shared" si="65"/>
      </c>
      <c r="BL47" s="6">
        <f t="shared" si="65"/>
      </c>
      <c r="BM47" s="6">
        <f t="shared" si="65"/>
      </c>
      <c r="BN47" s="6">
        <f t="shared" si="65"/>
      </c>
      <c r="BO47" s="6">
        <f t="shared" si="65"/>
      </c>
      <c r="BP47" s="6">
        <f t="shared" si="65"/>
      </c>
      <c r="BQ47" s="6">
        <f t="shared" si="65"/>
      </c>
      <c r="BR47" s="6">
        <f t="shared" si="65"/>
      </c>
      <c r="BS47" s="6">
        <f t="shared" si="65"/>
      </c>
      <c r="BT47" s="6">
        <f t="shared" si="65"/>
      </c>
      <c r="BU47" s="6">
        <f t="shared" si="65"/>
      </c>
      <c r="BV47" s="6">
        <f t="shared" si="65"/>
      </c>
      <c r="BW47" s="6">
        <f t="shared" si="65"/>
      </c>
      <c r="BX47" s="6">
        <f t="shared" si="65"/>
      </c>
      <c r="BY47" s="6">
        <f t="shared" si="65"/>
      </c>
      <c r="BZ47" s="6">
        <f t="shared" si="65"/>
      </c>
      <c r="CA47" s="6">
        <f t="shared" si="65"/>
      </c>
      <c r="CB47" s="6">
        <f t="shared" si="65"/>
      </c>
      <c r="CC47" s="6">
        <f aca="true" t="shared" si="66" ref="CC47:DH47">UPPER(MID($AU$47,(COLUMN(CC47)-($AV$47+(COLUMN($AW$47)-$AV$47-1))),1))</f>
      </c>
      <c r="CD47" s="6">
        <f t="shared" si="66"/>
      </c>
      <c r="CE47" s="6">
        <f t="shared" si="66"/>
      </c>
      <c r="CF47" s="6">
        <f t="shared" si="66"/>
      </c>
      <c r="CG47" s="6">
        <f t="shared" si="66"/>
      </c>
      <c r="CH47" s="6">
        <f t="shared" si="66"/>
      </c>
      <c r="CI47" s="6">
        <f t="shared" si="66"/>
      </c>
      <c r="CJ47" s="6">
        <f t="shared" si="66"/>
      </c>
      <c r="CK47" s="6">
        <f t="shared" si="66"/>
      </c>
      <c r="CL47" s="6">
        <f t="shared" si="66"/>
      </c>
      <c r="CM47" s="6">
        <f t="shared" si="66"/>
      </c>
      <c r="CN47" s="6">
        <f t="shared" si="66"/>
      </c>
      <c r="CO47" s="6">
        <f t="shared" si="66"/>
      </c>
      <c r="CP47" s="6">
        <f t="shared" si="66"/>
      </c>
      <c r="CQ47" s="6">
        <f t="shared" si="66"/>
      </c>
      <c r="CR47" s="6">
        <f t="shared" si="66"/>
      </c>
      <c r="CS47" s="6">
        <f t="shared" si="66"/>
      </c>
      <c r="CT47" s="6">
        <f t="shared" si="66"/>
      </c>
      <c r="CU47" s="6">
        <f t="shared" si="66"/>
      </c>
      <c r="CV47" s="6">
        <f t="shared" si="66"/>
      </c>
      <c r="CW47" s="6">
        <f t="shared" si="66"/>
      </c>
      <c r="CX47" s="6">
        <f t="shared" si="66"/>
      </c>
      <c r="CY47" s="6">
        <f t="shared" si="66"/>
      </c>
      <c r="CZ47" s="6">
        <f t="shared" si="66"/>
      </c>
      <c r="DA47" s="6">
        <f t="shared" si="66"/>
      </c>
      <c r="DB47" s="6">
        <f t="shared" si="66"/>
      </c>
      <c r="DC47" s="6">
        <f t="shared" si="66"/>
      </c>
      <c r="DD47" s="6">
        <f t="shared" si="66"/>
      </c>
      <c r="DE47" s="6">
        <f t="shared" si="66"/>
      </c>
      <c r="DF47" s="6">
        <f t="shared" si="66"/>
      </c>
      <c r="DG47" s="6">
        <f t="shared" si="66"/>
      </c>
      <c r="DH47" s="6">
        <f t="shared" si="66"/>
      </c>
      <c r="DI47" s="6">
        <f aca="true" t="shared" si="67" ref="DI47:DN47">UPPER(MID($AU$47,(COLUMN(DI47)-($AV$47+(COLUMN($AW$47)-$AV$47-1))),1))</f>
      </c>
      <c r="DJ47" s="6">
        <f t="shared" si="67"/>
      </c>
      <c r="DK47" s="6">
        <f t="shared" si="67"/>
      </c>
      <c r="DL47" s="6">
        <f t="shared" si="67"/>
      </c>
      <c r="DM47" s="6">
        <f t="shared" si="67"/>
      </c>
      <c r="DN47" s="6">
        <f t="shared" si="67"/>
      </c>
    </row>
    <row r="48" spans="1:45" ht="6.75" customHeight="1">
      <c r="A48" s="822"/>
      <c r="B48" s="823"/>
      <c r="C48" s="823"/>
      <c r="D48" s="823"/>
      <c r="E48" s="823"/>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3"/>
      <c r="AI48" s="823"/>
      <c r="AJ48" s="823"/>
      <c r="AK48" s="823"/>
      <c r="AL48" s="823"/>
      <c r="AM48" s="823"/>
      <c r="AN48" s="823"/>
      <c r="AO48" s="823"/>
      <c r="AP48" s="823"/>
      <c r="AQ48" s="823"/>
      <c r="AR48" s="859"/>
      <c r="AS48" s="843"/>
    </row>
    <row r="49" spans="1:256" ht="15" customHeight="1">
      <c r="A49" s="818" t="s">
        <v>726</v>
      </c>
      <c r="B49" s="819"/>
      <c r="C49" s="819"/>
      <c r="D49" s="819"/>
      <c r="E49" s="819"/>
      <c r="F49" s="819"/>
      <c r="G49" s="819"/>
      <c r="H49" s="314"/>
      <c r="I49" s="323">
        <f aca="true" t="shared" si="68" ref="I49:AQ49">IF(ISERR(AW$49),"",AW$49)</f>
      </c>
      <c r="J49" s="323">
        <f t="shared" si="68"/>
      </c>
      <c r="K49" s="323">
        <f t="shared" si="68"/>
      </c>
      <c r="L49" s="323">
        <f t="shared" si="68"/>
      </c>
      <c r="M49" s="323">
        <f t="shared" si="68"/>
      </c>
      <c r="N49" s="323">
        <f t="shared" si="68"/>
      </c>
      <c r="O49" s="323">
        <f t="shared" si="68"/>
      </c>
      <c r="P49" s="323">
        <f t="shared" si="68"/>
      </c>
      <c r="Q49" s="323">
        <f t="shared" si="68"/>
      </c>
      <c r="R49" s="323">
        <f t="shared" si="68"/>
      </c>
      <c r="S49" s="323">
        <f t="shared" si="68"/>
      </c>
      <c r="T49" s="323">
        <f t="shared" si="68"/>
      </c>
      <c r="U49" s="323">
        <f t="shared" si="68"/>
      </c>
      <c r="V49" s="323">
        <f t="shared" si="68"/>
      </c>
      <c r="W49" s="323">
        <f t="shared" si="68"/>
      </c>
      <c r="X49" s="323">
        <f t="shared" si="68"/>
      </c>
      <c r="Y49" s="323">
        <f t="shared" si="68"/>
      </c>
      <c r="Z49" s="323">
        <f t="shared" si="68"/>
      </c>
      <c r="AA49" s="323">
        <f t="shared" si="68"/>
      </c>
      <c r="AB49" s="323">
        <f t="shared" si="68"/>
      </c>
      <c r="AC49" s="323">
        <f t="shared" si="68"/>
      </c>
      <c r="AD49" s="323">
        <f t="shared" si="68"/>
      </c>
      <c r="AE49" s="323">
        <f t="shared" si="68"/>
      </c>
      <c r="AF49" s="323">
        <f t="shared" si="68"/>
      </c>
      <c r="AG49" s="323">
        <f t="shared" si="68"/>
      </c>
      <c r="AH49" s="323">
        <f t="shared" si="68"/>
      </c>
      <c r="AI49" s="323">
        <f t="shared" si="68"/>
      </c>
      <c r="AJ49" s="323">
        <f t="shared" si="68"/>
      </c>
      <c r="AK49" s="323">
        <f t="shared" si="68"/>
      </c>
      <c r="AL49" s="323">
        <f t="shared" si="68"/>
      </c>
      <c r="AM49" s="323">
        <f t="shared" si="68"/>
      </c>
      <c r="AN49" s="323">
        <f t="shared" si="68"/>
      </c>
      <c r="AO49" s="323">
        <f t="shared" si="68"/>
      </c>
      <c r="AP49" s="323">
        <f t="shared" si="68"/>
      </c>
      <c r="AQ49" s="324">
        <f t="shared" si="68"/>
      </c>
      <c r="AR49" s="317"/>
      <c r="AS49" s="843"/>
      <c r="AU49" s="321">
        <f>IF(Fld_BNK_SW="x",Fld_Swift,"")</f>
      </c>
      <c r="AV49" s="6">
        <f>IF(AU49=0,"",LEN(AU49))</f>
        <v>0</v>
      </c>
      <c r="AW49" s="6">
        <f aca="true" t="shared" si="69" ref="AW49:DH49">UPPER(MID($AU$49,(COLUMN(AW49)-($AV$49+(COLUMN($AW$49)-$AV$49-1))),1))</f>
      </c>
      <c r="AX49" s="6">
        <f t="shared" si="69"/>
      </c>
      <c r="AY49" s="6">
        <f t="shared" si="69"/>
      </c>
      <c r="AZ49" s="6">
        <f t="shared" si="69"/>
      </c>
      <c r="BA49" s="6">
        <f t="shared" si="69"/>
      </c>
      <c r="BB49" s="6">
        <f t="shared" si="69"/>
      </c>
      <c r="BC49" s="6">
        <f t="shared" si="69"/>
      </c>
      <c r="BD49" s="6">
        <f t="shared" si="69"/>
      </c>
      <c r="BE49" s="6">
        <f t="shared" si="69"/>
      </c>
      <c r="BF49" s="6">
        <f t="shared" si="69"/>
      </c>
      <c r="BG49" s="6">
        <f t="shared" si="69"/>
      </c>
      <c r="BH49" s="6">
        <f t="shared" si="69"/>
      </c>
      <c r="BI49" s="6">
        <f t="shared" si="69"/>
      </c>
      <c r="BJ49" s="6">
        <f t="shared" si="69"/>
      </c>
      <c r="BK49" s="6">
        <f t="shared" si="69"/>
      </c>
      <c r="BL49" s="6">
        <f t="shared" si="69"/>
      </c>
      <c r="BM49" s="6">
        <f t="shared" si="69"/>
      </c>
      <c r="BN49" s="6">
        <f t="shared" si="69"/>
      </c>
      <c r="BO49" s="6">
        <f t="shared" si="69"/>
      </c>
      <c r="BP49" s="6">
        <f t="shared" si="69"/>
      </c>
      <c r="BQ49" s="6">
        <f t="shared" si="69"/>
      </c>
      <c r="BR49" s="6">
        <f t="shared" si="69"/>
      </c>
      <c r="BS49" s="6">
        <f t="shared" si="69"/>
      </c>
      <c r="BT49" s="6">
        <f t="shared" si="69"/>
      </c>
      <c r="BU49" s="6">
        <f t="shared" si="69"/>
      </c>
      <c r="BV49" s="6">
        <f t="shared" si="69"/>
      </c>
      <c r="BW49" s="6">
        <f t="shared" si="69"/>
      </c>
      <c r="BX49" s="6">
        <f t="shared" si="69"/>
      </c>
      <c r="BY49" s="6">
        <f t="shared" si="69"/>
      </c>
      <c r="BZ49" s="6">
        <f t="shared" si="69"/>
      </c>
      <c r="CA49" s="6">
        <f t="shared" si="69"/>
      </c>
      <c r="CB49" s="6">
        <f t="shared" si="69"/>
      </c>
      <c r="CC49" s="6">
        <f t="shared" si="69"/>
      </c>
      <c r="CD49" s="6">
        <f t="shared" si="69"/>
      </c>
      <c r="CE49" s="6">
        <f t="shared" si="69"/>
      </c>
      <c r="CF49" s="6">
        <f t="shared" si="69"/>
      </c>
      <c r="CG49" s="6">
        <f t="shared" si="69"/>
      </c>
      <c r="CH49" s="6">
        <f t="shared" si="69"/>
      </c>
      <c r="CI49" s="6">
        <f t="shared" si="69"/>
      </c>
      <c r="CJ49" s="6">
        <f t="shared" si="69"/>
      </c>
      <c r="CK49" s="6">
        <f t="shared" si="69"/>
      </c>
      <c r="CL49" s="6">
        <f t="shared" si="69"/>
      </c>
      <c r="CM49" s="6">
        <f t="shared" si="69"/>
      </c>
      <c r="CN49" s="6">
        <f t="shared" si="69"/>
      </c>
      <c r="CO49" s="6">
        <f t="shared" si="69"/>
      </c>
      <c r="CP49" s="6">
        <f t="shared" si="69"/>
      </c>
      <c r="CQ49" s="6">
        <f t="shared" si="69"/>
      </c>
      <c r="CR49" s="6">
        <f t="shared" si="69"/>
      </c>
      <c r="CS49" s="6">
        <f t="shared" si="69"/>
      </c>
      <c r="CT49" s="6">
        <f t="shared" si="69"/>
      </c>
      <c r="CU49" s="6">
        <f t="shared" si="69"/>
      </c>
      <c r="CV49" s="6">
        <f t="shared" si="69"/>
      </c>
      <c r="CW49" s="6">
        <f t="shared" si="69"/>
      </c>
      <c r="CX49" s="6">
        <f t="shared" si="69"/>
      </c>
      <c r="CY49" s="6">
        <f t="shared" si="69"/>
      </c>
      <c r="CZ49" s="6">
        <f t="shared" si="69"/>
      </c>
      <c r="DA49" s="6">
        <f t="shared" si="69"/>
      </c>
      <c r="DB49" s="6">
        <f t="shared" si="69"/>
      </c>
      <c r="DC49" s="6">
        <f t="shared" si="69"/>
      </c>
      <c r="DD49" s="6">
        <f t="shared" si="69"/>
      </c>
      <c r="DE49" s="6">
        <f t="shared" si="69"/>
      </c>
      <c r="DF49" s="6">
        <f t="shared" si="69"/>
      </c>
      <c r="DG49" s="6">
        <f t="shared" si="69"/>
      </c>
      <c r="DH49" s="6">
        <f t="shared" si="69"/>
      </c>
      <c r="DI49" s="6">
        <f aca="true" t="shared" si="70" ref="DI49:FT49">UPPER(MID($AU$49,(COLUMN(DI49)-($AV$49+(COLUMN($AW$49)-$AV$49-1))),1))</f>
      </c>
      <c r="DJ49" s="6">
        <f t="shared" si="70"/>
      </c>
      <c r="DK49" s="6">
        <f t="shared" si="70"/>
      </c>
      <c r="DL49" s="6">
        <f t="shared" si="70"/>
      </c>
      <c r="DM49" s="6">
        <f t="shared" si="70"/>
      </c>
      <c r="DN49" s="6">
        <f t="shared" si="70"/>
      </c>
      <c r="DO49" s="6">
        <f t="shared" si="70"/>
      </c>
      <c r="DP49" s="6">
        <f t="shared" si="70"/>
      </c>
      <c r="DQ49" s="6">
        <f t="shared" si="70"/>
      </c>
      <c r="DR49" s="6">
        <f t="shared" si="70"/>
      </c>
      <c r="DS49" s="6">
        <f t="shared" si="70"/>
      </c>
      <c r="DT49" s="6">
        <f t="shared" si="70"/>
      </c>
      <c r="DU49" s="6">
        <f t="shared" si="70"/>
      </c>
      <c r="DV49" s="6">
        <f t="shared" si="70"/>
      </c>
      <c r="DW49" s="6">
        <f t="shared" si="70"/>
      </c>
      <c r="DX49" s="6">
        <f t="shared" si="70"/>
      </c>
      <c r="DY49" s="6">
        <f t="shared" si="70"/>
      </c>
      <c r="DZ49" s="6">
        <f t="shared" si="70"/>
      </c>
      <c r="EA49" s="6">
        <f t="shared" si="70"/>
      </c>
      <c r="EB49" s="6">
        <f t="shared" si="70"/>
      </c>
      <c r="EC49" s="6">
        <f t="shared" si="70"/>
      </c>
      <c r="ED49" s="6">
        <f t="shared" si="70"/>
      </c>
      <c r="EE49" s="6">
        <f t="shared" si="70"/>
      </c>
      <c r="EF49" s="6">
        <f t="shared" si="70"/>
      </c>
      <c r="EG49" s="6">
        <f t="shared" si="70"/>
      </c>
      <c r="EH49" s="6">
        <f t="shared" si="70"/>
      </c>
      <c r="EI49" s="6">
        <f t="shared" si="70"/>
      </c>
      <c r="EJ49" s="6">
        <f t="shared" si="70"/>
      </c>
      <c r="EK49" s="6">
        <f t="shared" si="70"/>
      </c>
      <c r="EL49" s="6">
        <f t="shared" si="70"/>
      </c>
      <c r="EM49" s="6">
        <f t="shared" si="70"/>
      </c>
      <c r="EN49" s="6">
        <f t="shared" si="70"/>
      </c>
      <c r="EO49" s="6">
        <f t="shared" si="70"/>
      </c>
      <c r="EP49" s="6">
        <f t="shared" si="70"/>
      </c>
      <c r="EQ49" s="6">
        <f t="shared" si="70"/>
      </c>
      <c r="ER49" s="6">
        <f t="shared" si="70"/>
      </c>
      <c r="ES49" s="6">
        <f t="shared" si="70"/>
      </c>
      <c r="ET49" s="6">
        <f t="shared" si="70"/>
      </c>
      <c r="EU49" s="6">
        <f t="shared" si="70"/>
      </c>
      <c r="EV49" s="6">
        <f t="shared" si="70"/>
      </c>
      <c r="EW49" s="6">
        <f t="shared" si="70"/>
      </c>
      <c r="EX49" s="6">
        <f t="shared" si="70"/>
      </c>
      <c r="EY49" s="6">
        <f t="shared" si="70"/>
      </c>
      <c r="EZ49" s="6">
        <f t="shared" si="70"/>
      </c>
      <c r="FA49" s="6">
        <f t="shared" si="70"/>
      </c>
      <c r="FB49" s="6">
        <f t="shared" si="70"/>
      </c>
      <c r="FC49" s="6">
        <f t="shared" si="70"/>
      </c>
      <c r="FD49" s="6">
        <f t="shared" si="70"/>
      </c>
      <c r="FE49" s="6">
        <f t="shared" si="70"/>
      </c>
      <c r="FF49" s="6">
        <f t="shared" si="70"/>
      </c>
      <c r="FG49" s="6">
        <f t="shared" si="70"/>
      </c>
      <c r="FH49" s="6">
        <f t="shared" si="70"/>
      </c>
      <c r="FI49" s="6">
        <f t="shared" si="70"/>
      </c>
      <c r="FJ49" s="6">
        <f t="shared" si="70"/>
      </c>
      <c r="FK49" s="6">
        <f t="shared" si="70"/>
      </c>
      <c r="FL49" s="6">
        <f t="shared" si="70"/>
      </c>
      <c r="FM49" s="6">
        <f t="shared" si="70"/>
      </c>
      <c r="FN49" s="6">
        <f t="shared" si="70"/>
      </c>
      <c r="FO49" s="6">
        <f t="shared" si="70"/>
      </c>
      <c r="FP49" s="6">
        <f t="shared" si="70"/>
      </c>
      <c r="FQ49" s="6">
        <f t="shared" si="70"/>
      </c>
      <c r="FR49" s="6">
        <f t="shared" si="70"/>
      </c>
      <c r="FS49" s="6">
        <f t="shared" si="70"/>
      </c>
      <c r="FT49" s="6">
        <f t="shared" si="70"/>
      </c>
      <c r="FU49" s="6">
        <f aca="true" t="shared" si="71" ref="FU49:IF49">UPPER(MID($AU$49,(COLUMN(FU49)-($AV$49+(COLUMN($AW$49)-$AV$49-1))),1))</f>
      </c>
      <c r="FV49" s="6">
        <f t="shared" si="71"/>
      </c>
      <c r="FW49" s="6">
        <f t="shared" si="71"/>
      </c>
      <c r="FX49" s="6">
        <f t="shared" si="71"/>
      </c>
      <c r="FY49" s="6">
        <f t="shared" si="71"/>
      </c>
      <c r="FZ49" s="6">
        <f t="shared" si="71"/>
      </c>
      <c r="GA49" s="6">
        <f t="shared" si="71"/>
      </c>
      <c r="GB49" s="6">
        <f t="shared" si="71"/>
      </c>
      <c r="GC49" s="6">
        <f t="shared" si="71"/>
      </c>
      <c r="GD49" s="6">
        <f t="shared" si="71"/>
      </c>
      <c r="GE49" s="6">
        <f t="shared" si="71"/>
      </c>
      <c r="GF49" s="6">
        <f t="shared" si="71"/>
      </c>
      <c r="GG49" s="6">
        <f t="shared" si="71"/>
      </c>
      <c r="GH49" s="6">
        <f t="shared" si="71"/>
      </c>
      <c r="GI49" s="6">
        <f t="shared" si="71"/>
      </c>
      <c r="GJ49" s="6">
        <f t="shared" si="71"/>
      </c>
      <c r="GK49" s="6">
        <f t="shared" si="71"/>
      </c>
      <c r="GL49" s="6">
        <f t="shared" si="71"/>
      </c>
      <c r="GM49" s="6">
        <f t="shared" si="71"/>
      </c>
      <c r="GN49" s="6">
        <f t="shared" si="71"/>
      </c>
      <c r="GO49" s="6">
        <f t="shared" si="71"/>
      </c>
      <c r="GP49" s="6">
        <f t="shared" si="71"/>
      </c>
      <c r="GQ49" s="6">
        <f t="shared" si="71"/>
      </c>
      <c r="GR49" s="6">
        <f t="shared" si="71"/>
      </c>
      <c r="GS49" s="6">
        <f t="shared" si="71"/>
      </c>
      <c r="GT49" s="6">
        <f t="shared" si="71"/>
      </c>
      <c r="GU49" s="6">
        <f t="shared" si="71"/>
      </c>
      <c r="GV49" s="6">
        <f t="shared" si="71"/>
      </c>
      <c r="GW49" s="6">
        <f t="shared" si="71"/>
      </c>
      <c r="GX49" s="6">
        <f t="shared" si="71"/>
      </c>
      <c r="GY49" s="6">
        <f t="shared" si="71"/>
      </c>
      <c r="GZ49" s="6">
        <f t="shared" si="71"/>
      </c>
      <c r="HA49" s="6">
        <f t="shared" si="71"/>
      </c>
      <c r="HB49" s="6">
        <f t="shared" si="71"/>
      </c>
      <c r="HC49" s="6">
        <f t="shared" si="71"/>
      </c>
      <c r="HD49" s="6">
        <f t="shared" si="71"/>
      </c>
      <c r="HE49" s="6">
        <f t="shared" si="71"/>
      </c>
      <c r="HF49" s="6">
        <f t="shared" si="71"/>
      </c>
      <c r="HG49" s="6">
        <f t="shared" si="71"/>
      </c>
      <c r="HH49" s="6">
        <f t="shared" si="71"/>
      </c>
      <c r="HI49" s="6">
        <f t="shared" si="71"/>
      </c>
      <c r="HJ49" s="6">
        <f t="shared" si="71"/>
      </c>
      <c r="HK49" s="6">
        <f t="shared" si="71"/>
      </c>
      <c r="HL49" s="6">
        <f t="shared" si="71"/>
      </c>
      <c r="HM49" s="6">
        <f t="shared" si="71"/>
      </c>
      <c r="HN49" s="6">
        <f t="shared" si="71"/>
      </c>
      <c r="HO49" s="6">
        <f t="shared" si="71"/>
      </c>
      <c r="HP49" s="6">
        <f t="shared" si="71"/>
      </c>
      <c r="HQ49" s="6">
        <f t="shared" si="71"/>
      </c>
      <c r="HR49" s="6">
        <f t="shared" si="71"/>
      </c>
      <c r="HS49" s="6">
        <f t="shared" si="71"/>
      </c>
      <c r="HT49" s="6">
        <f t="shared" si="71"/>
      </c>
      <c r="HU49" s="6">
        <f t="shared" si="71"/>
      </c>
      <c r="HV49" s="6">
        <f t="shared" si="71"/>
      </c>
      <c r="HW49" s="6">
        <f t="shared" si="71"/>
      </c>
      <c r="HX49" s="6">
        <f t="shared" si="71"/>
      </c>
      <c r="HY49" s="6">
        <f t="shared" si="71"/>
      </c>
      <c r="HZ49" s="6">
        <f t="shared" si="71"/>
      </c>
      <c r="IA49" s="6">
        <f t="shared" si="71"/>
      </c>
      <c r="IB49" s="6">
        <f t="shared" si="71"/>
      </c>
      <c r="IC49" s="6">
        <f t="shared" si="71"/>
      </c>
      <c r="ID49" s="6">
        <f t="shared" si="71"/>
      </c>
      <c r="IE49" s="6">
        <f t="shared" si="71"/>
      </c>
      <c r="IF49" s="6">
        <f t="shared" si="71"/>
      </c>
      <c r="IG49" s="6">
        <f aca="true" t="shared" si="72" ref="IG49:IV49">UPPER(MID($AU$49,(COLUMN(IG49)-($AV$49+(COLUMN($AW$49)-$AV$49-1))),1))</f>
      </c>
      <c r="IH49" s="6">
        <f t="shared" si="72"/>
      </c>
      <c r="II49" s="6">
        <f t="shared" si="72"/>
      </c>
      <c r="IJ49" s="6">
        <f t="shared" si="72"/>
      </c>
      <c r="IK49" s="6">
        <f t="shared" si="72"/>
      </c>
      <c r="IL49" s="6">
        <f t="shared" si="72"/>
      </c>
      <c r="IM49" s="6">
        <f t="shared" si="72"/>
      </c>
      <c r="IN49" s="6">
        <f t="shared" si="72"/>
      </c>
      <c r="IO49" s="6">
        <f t="shared" si="72"/>
      </c>
      <c r="IP49" s="6">
        <f t="shared" si="72"/>
      </c>
      <c r="IQ49" s="6">
        <f t="shared" si="72"/>
      </c>
      <c r="IR49" s="6">
        <f t="shared" si="72"/>
      </c>
      <c r="IS49" s="6">
        <f t="shared" si="72"/>
      </c>
      <c r="IT49" s="6">
        <f t="shared" si="72"/>
      </c>
      <c r="IU49" s="6">
        <f t="shared" si="72"/>
      </c>
      <c r="IV49" s="6">
        <f t="shared" si="72"/>
      </c>
    </row>
    <row r="50" spans="1:45" ht="6.75" customHeight="1">
      <c r="A50" s="822"/>
      <c r="B50" s="823"/>
      <c r="C50" s="823"/>
      <c r="D50" s="823"/>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823"/>
      <c r="AO50" s="823"/>
      <c r="AP50" s="823"/>
      <c r="AQ50" s="823"/>
      <c r="AR50" s="859"/>
      <c r="AS50" s="843"/>
    </row>
    <row r="51" spans="1:118" ht="15.75" customHeight="1">
      <c r="A51" s="818" t="s">
        <v>728</v>
      </c>
      <c r="B51" s="819"/>
      <c r="C51" s="819"/>
      <c r="D51" s="819"/>
      <c r="E51" s="819"/>
      <c r="F51" s="819"/>
      <c r="G51" s="819"/>
      <c r="H51" s="314"/>
      <c r="I51" s="323">
        <f>IF(ISERR(AW$47),"",AW$47)</f>
      </c>
      <c r="J51" s="323">
        <f>IF(ISERR(AX$47),"",AX$47)</f>
      </c>
      <c r="K51" s="323">
        <f>IF(ISERR(AY$47),"",AY$47)</f>
      </c>
      <c r="L51" s="840"/>
      <c r="M51" s="824"/>
      <c r="N51" s="824"/>
      <c r="O51" s="824"/>
      <c r="P51" s="824"/>
      <c r="Q51" s="824"/>
      <c r="R51" s="824"/>
      <c r="S51" s="824"/>
      <c r="T51" s="824"/>
      <c r="U51" s="824"/>
      <c r="V51" s="824"/>
      <c r="W51" s="824"/>
      <c r="X51" s="824"/>
      <c r="Y51" s="824"/>
      <c r="Z51" s="824"/>
      <c r="AA51" s="824"/>
      <c r="AB51" s="824"/>
      <c r="AC51" s="824"/>
      <c r="AD51" s="824"/>
      <c r="AE51" s="824"/>
      <c r="AF51" s="824"/>
      <c r="AG51" s="824"/>
      <c r="AH51" s="824"/>
      <c r="AI51" s="824"/>
      <c r="AJ51" s="824"/>
      <c r="AK51" s="824"/>
      <c r="AL51" s="824"/>
      <c r="AM51" s="824"/>
      <c r="AN51" s="824"/>
      <c r="AO51" s="824"/>
      <c r="AP51" s="824"/>
      <c r="AQ51" s="824"/>
      <c r="AR51" s="871"/>
      <c r="AS51" s="843"/>
      <c r="AU51" s="6">
        <f>IF(Fld_BNK_SW="x",Fld_Bank_SW1,"")</f>
      </c>
      <c r="AV51" s="6">
        <f>IF(AU51=0,"",LEN(AU51))</f>
        <v>0</v>
      </c>
      <c r="AW51" s="6">
        <f aca="true" t="shared" si="73" ref="AW51:CB51">UPPER(MID($AU$51,(COLUMN(AW51)-($AV$51+(COLUMN($AW$51)-$AV$51-1))),1))</f>
      </c>
      <c r="AX51" s="6">
        <f t="shared" si="73"/>
      </c>
      <c r="AY51" s="6">
        <f t="shared" si="73"/>
      </c>
      <c r="AZ51" s="6">
        <f t="shared" si="73"/>
      </c>
      <c r="BA51" s="6">
        <f t="shared" si="73"/>
      </c>
      <c r="BB51" s="6">
        <f t="shared" si="73"/>
      </c>
      <c r="BC51" s="6">
        <f t="shared" si="73"/>
      </c>
      <c r="BD51" s="6">
        <f t="shared" si="73"/>
      </c>
      <c r="BE51" s="6">
        <f t="shared" si="73"/>
      </c>
      <c r="BF51" s="6">
        <f t="shared" si="73"/>
      </c>
      <c r="BG51" s="6">
        <f t="shared" si="73"/>
      </c>
      <c r="BH51" s="6">
        <f t="shared" si="73"/>
      </c>
      <c r="BI51" s="6">
        <f t="shared" si="73"/>
      </c>
      <c r="BJ51" s="6">
        <f t="shared" si="73"/>
      </c>
      <c r="BK51" s="6">
        <f t="shared" si="73"/>
      </c>
      <c r="BL51" s="6">
        <f t="shared" si="73"/>
      </c>
      <c r="BM51" s="6">
        <f t="shared" si="73"/>
      </c>
      <c r="BN51" s="6">
        <f t="shared" si="73"/>
      </c>
      <c r="BO51" s="6">
        <f t="shared" si="73"/>
      </c>
      <c r="BP51" s="6">
        <f t="shared" si="73"/>
      </c>
      <c r="BQ51" s="6">
        <f t="shared" si="73"/>
      </c>
      <c r="BR51" s="6">
        <f t="shared" si="73"/>
      </c>
      <c r="BS51" s="6">
        <f t="shared" si="73"/>
      </c>
      <c r="BT51" s="6">
        <f t="shared" si="73"/>
      </c>
      <c r="BU51" s="6">
        <f t="shared" si="73"/>
      </c>
      <c r="BV51" s="6">
        <f t="shared" si="73"/>
      </c>
      <c r="BW51" s="6">
        <f t="shared" si="73"/>
      </c>
      <c r="BX51" s="6">
        <f t="shared" si="73"/>
      </c>
      <c r="BY51" s="6">
        <f t="shared" si="73"/>
      </c>
      <c r="BZ51" s="6">
        <f t="shared" si="73"/>
      </c>
      <c r="CA51" s="6">
        <f t="shared" si="73"/>
      </c>
      <c r="CB51" s="6">
        <f t="shared" si="73"/>
      </c>
      <c r="CC51" s="6">
        <f aca="true" t="shared" si="74" ref="CC51:DH51">UPPER(MID($AU$51,(COLUMN(CC51)-($AV$51+(COLUMN($AW$51)-$AV$51-1))),1))</f>
      </c>
      <c r="CD51" s="6">
        <f t="shared" si="74"/>
      </c>
      <c r="CE51" s="6">
        <f t="shared" si="74"/>
      </c>
      <c r="CF51" s="6">
        <f t="shared" si="74"/>
      </c>
      <c r="CG51" s="6">
        <f t="shared" si="74"/>
      </c>
      <c r="CH51" s="6">
        <f t="shared" si="74"/>
      </c>
      <c r="CI51" s="6">
        <f t="shared" si="74"/>
      </c>
      <c r="CJ51" s="6">
        <f t="shared" si="74"/>
      </c>
      <c r="CK51" s="6">
        <f t="shared" si="74"/>
      </c>
      <c r="CL51" s="6">
        <f t="shared" si="74"/>
      </c>
      <c r="CM51" s="6">
        <f t="shared" si="74"/>
      </c>
      <c r="CN51" s="6">
        <f t="shared" si="74"/>
      </c>
      <c r="CO51" s="6">
        <f t="shared" si="74"/>
      </c>
      <c r="CP51" s="6">
        <f t="shared" si="74"/>
      </c>
      <c r="CQ51" s="6">
        <f t="shared" si="74"/>
      </c>
      <c r="CR51" s="6">
        <f t="shared" si="74"/>
      </c>
      <c r="CS51" s="6">
        <f t="shared" si="74"/>
      </c>
      <c r="CT51" s="6">
        <f t="shared" si="74"/>
      </c>
      <c r="CU51" s="6">
        <f t="shared" si="74"/>
      </c>
      <c r="CV51" s="6">
        <f t="shared" si="74"/>
      </c>
      <c r="CW51" s="6">
        <f t="shared" si="74"/>
      </c>
      <c r="CX51" s="6">
        <f t="shared" si="74"/>
      </c>
      <c r="CY51" s="6">
        <f t="shared" si="74"/>
      </c>
      <c r="CZ51" s="6">
        <f t="shared" si="74"/>
      </c>
      <c r="DA51" s="6">
        <f t="shared" si="74"/>
      </c>
      <c r="DB51" s="6">
        <f t="shared" si="74"/>
      </c>
      <c r="DC51" s="6">
        <f t="shared" si="74"/>
      </c>
      <c r="DD51" s="6">
        <f t="shared" si="74"/>
      </c>
      <c r="DE51" s="6">
        <f t="shared" si="74"/>
      </c>
      <c r="DF51" s="6">
        <f t="shared" si="74"/>
      </c>
      <c r="DG51" s="6">
        <f t="shared" si="74"/>
      </c>
      <c r="DH51" s="6">
        <f t="shared" si="74"/>
      </c>
      <c r="DI51" s="6">
        <f aca="true" t="shared" si="75" ref="DI51:DN51">UPPER(MID($AU$51,(COLUMN(DI51)-($AV$51+(COLUMN($AW$51)-$AV$51-1))),1))</f>
      </c>
      <c r="DJ51" s="6">
        <f t="shared" si="75"/>
      </c>
      <c r="DK51" s="6">
        <f t="shared" si="75"/>
      </c>
      <c r="DL51" s="6">
        <f t="shared" si="75"/>
      </c>
      <c r="DM51" s="6">
        <f t="shared" si="75"/>
      </c>
      <c r="DN51" s="6">
        <f t="shared" si="75"/>
      </c>
    </row>
    <row r="52" spans="1:45" ht="6.75" customHeight="1" thickBot="1">
      <c r="A52" s="837"/>
      <c r="B52" s="838"/>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62"/>
      <c r="AS52" s="843"/>
    </row>
    <row r="53" spans="1:45" ht="40.5" customHeight="1" thickBot="1" thickTop="1">
      <c r="A53" s="844"/>
      <c r="B53" s="844"/>
      <c r="C53" s="844"/>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844"/>
      <c r="AM53" s="844"/>
      <c r="AN53" s="844"/>
      <c r="AO53" s="844"/>
      <c r="AP53" s="844"/>
      <c r="AQ53" s="844"/>
      <c r="AR53" s="844"/>
      <c r="AS53" s="843"/>
    </row>
    <row r="54" spans="1:45" ht="6.75" customHeight="1">
      <c r="A54" s="851"/>
      <c r="B54" s="852"/>
      <c r="C54" s="852"/>
      <c r="D54" s="852"/>
      <c r="E54" s="852"/>
      <c r="F54" s="852"/>
      <c r="G54" s="852"/>
      <c r="H54" s="852"/>
      <c r="I54" s="852"/>
      <c r="J54" s="852"/>
      <c r="K54" s="852"/>
      <c r="L54" s="852"/>
      <c r="M54" s="852"/>
      <c r="N54" s="852"/>
      <c r="O54" s="852"/>
      <c r="P54" s="852"/>
      <c r="Q54" s="852"/>
      <c r="R54" s="852"/>
      <c r="S54" s="852"/>
      <c r="T54" s="852"/>
      <c r="U54" s="852"/>
      <c r="V54" s="853"/>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3"/>
      <c r="AS54" s="843"/>
    </row>
    <row r="55" spans="1:118" ht="15">
      <c r="A55" s="848" t="s">
        <v>1958</v>
      </c>
      <c r="B55" s="849"/>
      <c r="C55" s="849"/>
      <c r="D55" s="849"/>
      <c r="E55" s="849"/>
      <c r="F55" s="849"/>
      <c r="G55" s="849"/>
      <c r="H55" s="849"/>
      <c r="I55" s="849"/>
      <c r="J55" s="849"/>
      <c r="K55" s="849"/>
      <c r="L55" s="849"/>
      <c r="M55" s="849"/>
      <c r="N55" s="849"/>
      <c r="O55" s="849"/>
      <c r="P55" s="849"/>
      <c r="Q55" s="849"/>
      <c r="R55" s="849"/>
      <c r="S55" s="849"/>
      <c r="T55" s="849"/>
      <c r="U55" s="849"/>
      <c r="V55" s="850"/>
      <c r="W55" s="878" t="s">
        <v>1959</v>
      </c>
      <c r="X55" s="879"/>
      <c r="Y55" s="879"/>
      <c r="Z55" s="879"/>
      <c r="AA55" s="879"/>
      <c r="AB55" s="879"/>
      <c r="AC55" s="879"/>
      <c r="AD55" s="879"/>
      <c r="AE55" s="879"/>
      <c r="AF55" s="879"/>
      <c r="AG55" s="879"/>
      <c r="AH55" s="879"/>
      <c r="AI55" s="879"/>
      <c r="AJ55" s="879"/>
      <c r="AK55" s="879"/>
      <c r="AL55" s="879"/>
      <c r="AM55" s="879"/>
      <c r="AN55" s="879"/>
      <c r="AO55" s="879"/>
      <c r="AP55" s="879"/>
      <c r="AQ55" s="879"/>
      <c r="AR55" s="880"/>
      <c r="AS55" s="843"/>
      <c r="AU55" s="6">
        <f>IF(Fld_BNK_SW="x",Fld_Bank_SW2,"")</f>
      </c>
      <c r="AV55" s="6">
        <f>IF(AU55=0,"",LEN(AU55))</f>
        <v>0</v>
      </c>
      <c r="AW55" s="6">
        <f aca="true" t="shared" si="76" ref="AW55:CB55">UPPER(MID($AU$55,(COLUMN(AW55)-($AV$55+(COLUMN($AW$55)-$AV$55-1))),1))</f>
      </c>
      <c r="AX55" s="6">
        <f t="shared" si="76"/>
      </c>
      <c r="AY55" s="6">
        <f t="shared" si="76"/>
      </c>
      <c r="AZ55" s="6">
        <f t="shared" si="76"/>
      </c>
      <c r="BA55" s="6">
        <f t="shared" si="76"/>
      </c>
      <c r="BB55" s="6">
        <f t="shared" si="76"/>
      </c>
      <c r="BC55" s="6">
        <f t="shared" si="76"/>
      </c>
      <c r="BD55" s="6">
        <f t="shared" si="76"/>
      </c>
      <c r="BE55" s="6">
        <f t="shared" si="76"/>
      </c>
      <c r="BF55" s="6">
        <f t="shared" si="76"/>
      </c>
      <c r="BG55" s="6">
        <f t="shared" si="76"/>
      </c>
      <c r="BH55" s="6">
        <f t="shared" si="76"/>
      </c>
      <c r="BI55" s="6">
        <f t="shared" si="76"/>
      </c>
      <c r="BJ55" s="6">
        <f t="shared" si="76"/>
      </c>
      <c r="BK55" s="6">
        <f t="shared" si="76"/>
      </c>
      <c r="BL55" s="6">
        <f t="shared" si="76"/>
      </c>
      <c r="BM55" s="6">
        <f t="shared" si="76"/>
      </c>
      <c r="BN55" s="6">
        <f t="shared" si="76"/>
      </c>
      <c r="BO55" s="6">
        <f t="shared" si="76"/>
      </c>
      <c r="BP55" s="6">
        <f t="shared" si="76"/>
      </c>
      <c r="BQ55" s="6">
        <f t="shared" si="76"/>
      </c>
      <c r="BR55" s="6">
        <f t="shared" si="76"/>
      </c>
      <c r="BS55" s="6">
        <f t="shared" si="76"/>
      </c>
      <c r="BT55" s="6">
        <f t="shared" si="76"/>
      </c>
      <c r="BU55" s="6">
        <f t="shared" si="76"/>
      </c>
      <c r="BV55" s="6">
        <f t="shared" si="76"/>
      </c>
      <c r="BW55" s="6">
        <f t="shared" si="76"/>
      </c>
      <c r="BX55" s="6">
        <f t="shared" si="76"/>
      </c>
      <c r="BY55" s="6">
        <f t="shared" si="76"/>
      </c>
      <c r="BZ55" s="6">
        <f t="shared" si="76"/>
      </c>
      <c r="CA55" s="6">
        <f t="shared" si="76"/>
      </c>
      <c r="CB55" s="6">
        <f t="shared" si="76"/>
      </c>
      <c r="CC55" s="6">
        <f aca="true" t="shared" si="77" ref="CC55:DH55">UPPER(MID($AU$55,(COLUMN(CC55)-($AV$55+(COLUMN($AW$55)-$AV$55-1))),1))</f>
      </c>
      <c r="CD55" s="6">
        <f t="shared" si="77"/>
      </c>
      <c r="CE55" s="6">
        <f t="shared" si="77"/>
      </c>
      <c r="CF55" s="6">
        <f t="shared" si="77"/>
      </c>
      <c r="CG55" s="6">
        <f t="shared" si="77"/>
      </c>
      <c r="CH55" s="6">
        <f t="shared" si="77"/>
      </c>
      <c r="CI55" s="6">
        <f t="shared" si="77"/>
      </c>
      <c r="CJ55" s="6">
        <f t="shared" si="77"/>
      </c>
      <c r="CK55" s="6">
        <f t="shared" si="77"/>
      </c>
      <c r="CL55" s="6">
        <f t="shared" si="77"/>
      </c>
      <c r="CM55" s="6">
        <f t="shared" si="77"/>
      </c>
      <c r="CN55" s="6">
        <f t="shared" si="77"/>
      </c>
      <c r="CO55" s="6">
        <f t="shared" si="77"/>
      </c>
      <c r="CP55" s="6">
        <f t="shared" si="77"/>
      </c>
      <c r="CQ55" s="6">
        <f t="shared" si="77"/>
      </c>
      <c r="CR55" s="6">
        <f t="shared" si="77"/>
      </c>
      <c r="CS55" s="6">
        <f t="shared" si="77"/>
      </c>
      <c r="CT55" s="6">
        <f t="shared" si="77"/>
      </c>
      <c r="CU55" s="6">
        <f t="shared" si="77"/>
      </c>
      <c r="CV55" s="6">
        <f t="shared" si="77"/>
      </c>
      <c r="CW55" s="6">
        <f t="shared" si="77"/>
      </c>
      <c r="CX55" s="6">
        <f t="shared" si="77"/>
      </c>
      <c r="CY55" s="6">
        <f t="shared" si="77"/>
      </c>
      <c r="CZ55" s="6">
        <f t="shared" si="77"/>
      </c>
      <c r="DA55" s="6">
        <f t="shared" si="77"/>
      </c>
      <c r="DB55" s="6">
        <f t="shared" si="77"/>
      </c>
      <c r="DC55" s="6">
        <f t="shared" si="77"/>
      </c>
      <c r="DD55" s="6">
        <f t="shared" si="77"/>
      </c>
      <c r="DE55" s="6">
        <f t="shared" si="77"/>
      </c>
      <c r="DF55" s="6">
        <f t="shared" si="77"/>
      </c>
      <c r="DG55" s="6">
        <f t="shared" si="77"/>
      </c>
      <c r="DH55" s="6">
        <f t="shared" si="77"/>
      </c>
      <c r="DI55" s="6">
        <f aca="true" t="shared" si="78" ref="DI55:DN55">UPPER(MID($AU$55,(COLUMN(DI55)-($AV$55+(COLUMN($AW$55)-$AV$55-1))),1))</f>
      </c>
      <c r="DJ55" s="6">
        <f t="shared" si="78"/>
      </c>
      <c r="DK55" s="6">
        <f t="shared" si="78"/>
      </c>
      <c r="DL55" s="6">
        <f t="shared" si="78"/>
      </c>
      <c r="DM55" s="6">
        <f t="shared" si="78"/>
      </c>
      <c r="DN55" s="6">
        <f t="shared" si="78"/>
      </c>
    </row>
    <row r="56" spans="1:118" ht="12.75" customHeight="1">
      <c r="A56" s="848"/>
      <c r="B56" s="849"/>
      <c r="C56" s="849"/>
      <c r="D56" s="849"/>
      <c r="E56" s="849"/>
      <c r="F56" s="849"/>
      <c r="G56" s="849"/>
      <c r="H56" s="849"/>
      <c r="I56" s="849"/>
      <c r="J56" s="849"/>
      <c r="K56" s="849"/>
      <c r="L56" s="849"/>
      <c r="M56" s="849"/>
      <c r="N56" s="849"/>
      <c r="O56" s="849"/>
      <c r="P56" s="849"/>
      <c r="Q56" s="849"/>
      <c r="R56" s="849"/>
      <c r="S56" s="849"/>
      <c r="T56" s="849"/>
      <c r="U56" s="849"/>
      <c r="V56" s="850"/>
      <c r="W56" s="881"/>
      <c r="X56" s="879"/>
      <c r="Y56" s="879"/>
      <c r="Z56" s="879"/>
      <c r="AA56" s="879"/>
      <c r="AB56" s="879"/>
      <c r="AC56" s="879"/>
      <c r="AD56" s="879"/>
      <c r="AE56" s="879"/>
      <c r="AF56" s="879"/>
      <c r="AG56" s="879"/>
      <c r="AH56" s="879"/>
      <c r="AI56" s="879"/>
      <c r="AJ56" s="879"/>
      <c r="AK56" s="879"/>
      <c r="AL56" s="879"/>
      <c r="AM56" s="879"/>
      <c r="AN56" s="879"/>
      <c r="AO56" s="879"/>
      <c r="AP56" s="879"/>
      <c r="AQ56" s="879"/>
      <c r="AR56" s="880"/>
      <c r="AS56" s="843"/>
      <c r="AU56" s="6">
        <f>IF(Fld_BNK_SW="x",Fld_Bank_SW3,"")</f>
      </c>
      <c r="AV56" s="6">
        <f>IF(AU56=0,"",LEN(AU56))</f>
        <v>0</v>
      </c>
      <c r="AW56" s="6">
        <f aca="true" t="shared" si="79" ref="AW56:CB56">UPPER(MID($AU$56,(COLUMN(AW56)-($AV$56+(COLUMN($AW$56)-$AV$56-1))),1))</f>
      </c>
      <c r="AX56" s="6">
        <f t="shared" si="79"/>
      </c>
      <c r="AY56" s="6">
        <f t="shared" si="79"/>
      </c>
      <c r="AZ56" s="6">
        <f t="shared" si="79"/>
      </c>
      <c r="BA56" s="6">
        <f t="shared" si="79"/>
      </c>
      <c r="BB56" s="6">
        <f t="shared" si="79"/>
      </c>
      <c r="BC56" s="6">
        <f t="shared" si="79"/>
      </c>
      <c r="BD56" s="6">
        <f t="shared" si="79"/>
      </c>
      <c r="BE56" s="6">
        <f t="shared" si="79"/>
      </c>
      <c r="BF56" s="6">
        <f t="shared" si="79"/>
      </c>
      <c r="BG56" s="6">
        <f t="shared" si="79"/>
      </c>
      <c r="BH56" s="6">
        <f t="shared" si="79"/>
      </c>
      <c r="BI56" s="6">
        <f t="shared" si="79"/>
      </c>
      <c r="BJ56" s="6">
        <f t="shared" si="79"/>
      </c>
      <c r="BK56" s="6">
        <f t="shared" si="79"/>
      </c>
      <c r="BL56" s="6">
        <f t="shared" si="79"/>
      </c>
      <c r="BM56" s="6">
        <f t="shared" si="79"/>
      </c>
      <c r="BN56" s="6">
        <f t="shared" si="79"/>
      </c>
      <c r="BO56" s="6">
        <f t="shared" si="79"/>
      </c>
      <c r="BP56" s="6">
        <f t="shared" si="79"/>
      </c>
      <c r="BQ56" s="6">
        <f t="shared" si="79"/>
      </c>
      <c r="BR56" s="6">
        <f t="shared" si="79"/>
      </c>
      <c r="BS56" s="6">
        <f t="shared" si="79"/>
      </c>
      <c r="BT56" s="6">
        <f t="shared" si="79"/>
      </c>
      <c r="BU56" s="6">
        <f t="shared" si="79"/>
      </c>
      <c r="BV56" s="6">
        <f t="shared" si="79"/>
      </c>
      <c r="BW56" s="6">
        <f t="shared" si="79"/>
      </c>
      <c r="BX56" s="6">
        <f t="shared" si="79"/>
      </c>
      <c r="BY56" s="6">
        <f t="shared" si="79"/>
      </c>
      <c r="BZ56" s="6">
        <f t="shared" si="79"/>
      </c>
      <c r="CA56" s="6">
        <f t="shared" si="79"/>
      </c>
      <c r="CB56" s="6">
        <f t="shared" si="79"/>
      </c>
      <c r="CC56" s="6">
        <f aca="true" t="shared" si="80" ref="CC56:DH56">UPPER(MID($AU$56,(COLUMN(CC56)-($AV$56+(COLUMN($AW$56)-$AV$56-1))),1))</f>
      </c>
      <c r="CD56" s="6">
        <f t="shared" si="80"/>
      </c>
      <c r="CE56" s="6">
        <f t="shared" si="80"/>
      </c>
      <c r="CF56" s="6">
        <f t="shared" si="80"/>
      </c>
      <c r="CG56" s="6">
        <f t="shared" si="80"/>
      </c>
      <c r="CH56" s="6">
        <f t="shared" si="80"/>
      </c>
      <c r="CI56" s="6">
        <f t="shared" si="80"/>
      </c>
      <c r="CJ56" s="6">
        <f t="shared" si="80"/>
      </c>
      <c r="CK56" s="6">
        <f t="shared" si="80"/>
      </c>
      <c r="CL56" s="6">
        <f t="shared" si="80"/>
      </c>
      <c r="CM56" s="6">
        <f t="shared" si="80"/>
      </c>
      <c r="CN56" s="6">
        <f t="shared" si="80"/>
      </c>
      <c r="CO56" s="6">
        <f t="shared" si="80"/>
      </c>
      <c r="CP56" s="6">
        <f t="shared" si="80"/>
      </c>
      <c r="CQ56" s="6">
        <f t="shared" si="80"/>
      </c>
      <c r="CR56" s="6">
        <f t="shared" si="80"/>
      </c>
      <c r="CS56" s="6">
        <f t="shared" si="80"/>
      </c>
      <c r="CT56" s="6">
        <f t="shared" si="80"/>
      </c>
      <c r="CU56" s="6">
        <f t="shared" si="80"/>
      </c>
      <c r="CV56" s="6">
        <f t="shared" si="80"/>
      </c>
      <c r="CW56" s="6">
        <f t="shared" si="80"/>
      </c>
      <c r="CX56" s="6">
        <f t="shared" si="80"/>
      </c>
      <c r="CY56" s="6">
        <f t="shared" si="80"/>
      </c>
      <c r="CZ56" s="6">
        <f t="shared" si="80"/>
      </c>
      <c r="DA56" s="6">
        <f t="shared" si="80"/>
      </c>
      <c r="DB56" s="6">
        <f t="shared" si="80"/>
      </c>
      <c r="DC56" s="6">
        <f t="shared" si="80"/>
      </c>
      <c r="DD56" s="6">
        <f t="shared" si="80"/>
      </c>
      <c r="DE56" s="6">
        <f t="shared" si="80"/>
      </c>
      <c r="DF56" s="6">
        <f t="shared" si="80"/>
      </c>
      <c r="DG56" s="6">
        <f t="shared" si="80"/>
      </c>
      <c r="DH56" s="6">
        <f t="shared" si="80"/>
      </c>
      <c r="DI56" s="6">
        <f aca="true" t="shared" si="81" ref="DI56:DN56">UPPER(MID($AU$56,(COLUMN(DI56)-($AV$56+(COLUMN($AW$56)-$AV$56-1))),1))</f>
      </c>
      <c r="DJ56" s="6">
        <f t="shared" si="81"/>
      </c>
      <c r="DK56" s="6">
        <f t="shared" si="81"/>
      </c>
      <c r="DL56" s="6">
        <f t="shared" si="81"/>
      </c>
      <c r="DM56" s="6">
        <f t="shared" si="81"/>
      </c>
      <c r="DN56" s="6">
        <f t="shared" si="81"/>
      </c>
    </row>
    <row r="57" spans="1:45" ht="6.75" customHeight="1">
      <c r="A57" s="863"/>
      <c r="B57" s="864"/>
      <c r="C57" s="864"/>
      <c r="D57" s="864"/>
      <c r="E57" s="864"/>
      <c r="F57" s="864"/>
      <c r="G57" s="864"/>
      <c r="H57" s="864"/>
      <c r="I57" s="864"/>
      <c r="J57" s="864"/>
      <c r="K57" s="864"/>
      <c r="L57" s="864"/>
      <c r="M57" s="864"/>
      <c r="N57" s="864"/>
      <c r="O57" s="864"/>
      <c r="P57" s="864"/>
      <c r="Q57" s="864"/>
      <c r="R57" s="864"/>
      <c r="S57" s="864"/>
      <c r="T57" s="864"/>
      <c r="U57" s="864"/>
      <c r="V57" s="865"/>
      <c r="W57" s="863"/>
      <c r="X57" s="864"/>
      <c r="Y57" s="864"/>
      <c r="Z57" s="864"/>
      <c r="AA57" s="864"/>
      <c r="AB57" s="864"/>
      <c r="AC57" s="864"/>
      <c r="AD57" s="864"/>
      <c r="AE57" s="864"/>
      <c r="AF57" s="864"/>
      <c r="AG57" s="864"/>
      <c r="AH57" s="864"/>
      <c r="AI57" s="864"/>
      <c r="AJ57" s="864"/>
      <c r="AK57" s="864"/>
      <c r="AL57" s="864"/>
      <c r="AM57" s="864"/>
      <c r="AN57" s="864"/>
      <c r="AO57" s="864"/>
      <c r="AP57" s="864"/>
      <c r="AQ57" s="864"/>
      <c r="AR57" s="865"/>
      <c r="AS57" s="843"/>
    </row>
    <row r="58" spans="1:55" ht="15.75" customHeight="1">
      <c r="A58" s="863"/>
      <c r="B58" s="864"/>
      <c r="C58" s="864"/>
      <c r="D58" s="864"/>
      <c r="E58" s="864"/>
      <c r="F58" s="864"/>
      <c r="G58" s="864"/>
      <c r="H58" s="864"/>
      <c r="I58" s="864"/>
      <c r="J58" s="864"/>
      <c r="K58" s="864"/>
      <c r="L58" s="864"/>
      <c r="M58" s="864"/>
      <c r="N58" s="864"/>
      <c r="O58" s="864"/>
      <c r="P58" s="864"/>
      <c r="Q58" s="864"/>
      <c r="R58" s="864"/>
      <c r="S58" s="864"/>
      <c r="T58" s="864"/>
      <c r="U58" s="864"/>
      <c r="V58" s="865"/>
      <c r="W58" s="863"/>
      <c r="X58" s="864"/>
      <c r="Y58" s="864"/>
      <c r="Z58" s="864"/>
      <c r="AA58" s="864"/>
      <c r="AB58" s="864"/>
      <c r="AC58" s="864"/>
      <c r="AD58" s="864"/>
      <c r="AE58" s="864"/>
      <c r="AF58" s="864"/>
      <c r="AG58" s="864"/>
      <c r="AH58" s="864"/>
      <c r="AI58" s="864"/>
      <c r="AJ58" s="864"/>
      <c r="AK58" s="864"/>
      <c r="AL58" s="864"/>
      <c r="AM58" s="864"/>
      <c r="AN58" s="864"/>
      <c r="AO58" s="864"/>
      <c r="AP58" s="864"/>
      <c r="AQ58" s="864"/>
      <c r="AR58" s="865"/>
      <c r="AS58" s="843"/>
      <c r="BC58" s="6"/>
    </row>
    <row r="59" spans="1:55" s="314" customFormat="1" ht="6.75" customHeight="1">
      <c r="A59" s="863"/>
      <c r="B59" s="864"/>
      <c r="C59" s="864"/>
      <c r="D59" s="864"/>
      <c r="E59" s="864"/>
      <c r="F59" s="864"/>
      <c r="G59" s="864"/>
      <c r="H59" s="864"/>
      <c r="I59" s="864"/>
      <c r="J59" s="864"/>
      <c r="K59" s="864"/>
      <c r="L59" s="864"/>
      <c r="M59" s="864"/>
      <c r="N59" s="864"/>
      <c r="O59" s="864"/>
      <c r="P59" s="864"/>
      <c r="Q59" s="864"/>
      <c r="R59" s="864"/>
      <c r="S59" s="864"/>
      <c r="T59" s="864"/>
      <c r="U59" s="864"/>
      <c r="V59" s="865"/>
      <c r="W59" s="863"/>
      <c r="X59" s="864"/>
      <c r="Y59" s="864"/>
      <c r="Z59" s="864"/>
      <c r="AA59" s="864"/>
      <c r="AB59" s="864"/>
      <c r="AC59" s="864"/>
      <c r="AD59" s="864"/>
      <c r="AE59" s="864"/>
      <c r="AF59" s="864"/>
      <c r="AG59" s="864"/>
      <c r="AH59" s="864"/>
      <c r="AI59" s="864"/>
      <c r="AJ59" s="864"/>
      <c r="AK59" s="864"/>
      <c r="AL59" s="864"/>
      <c r="AM59" s="864"/>
      <c r="AN59" s="864"/>
      <c r="AO59" s="864"/>
      <c r="AP59" s="864"/>
      <c r="AQ59" s="864"/>
      <c r="AR59" s="865"/>
      <c r="AS59" s="843"/>
      <c r="BC59" s="319"/>
    </row>
    <row r="60" spans="1:55" ht="15">
      <c r="A60" s="863"/>
      <c r="B60" s="864"/>
      <c r="C60" s="864"/>
      <c r="D60" s="864"/>
      <c r="E60" s="864"/>
      <c r="F60" s="864"/>
      <c r="G60" s="864"/>
      <c r="H60" s="864"/>
      <c r="I60" s="864"/>
      <c r="J60" s="864"/>
      <c r="K60" s="864"/>
      <c r="L60" s="864"/>
      <c r="M60" s="864"/>
      <c r="N60" s="864"/>
      <c r="O60" s="864"/>
      <c r="P60" s="864"/>
      <c r="Q60" s="864"/>
      <c r="R60" s="864"/>
      <c r="S60" s="864"/>
      <c r="T60" s="864"/>
      <c r="U60" s="864"/>
      <c r="V60" s="865"/>
      <c r="W60" s="863"/>
      <c r="X60" s="864"/>
      <c r="Y60" s="864"/>
      <c r="Z60" s="864"/>
      <c r="AA60" s="864"/>
      <c r="AB60" s="864"/>
      <c r="AC60" s="864"/>
      <c r="AD60" s="864"/>
      <c r="AE60" s="864"/>
      <c r="AF60" s="864"/>
      <c r="AG60" s="864"/>
      <c r="AH60" s="864"/>
      <c r="AI60" s="864"/>
      <c r="AJ60" s="864"/>
      <c r="AK60" s="864"/>
      <c r="AL60" s="864"/>
      <c r="AM60" s="864"/>
      <c r="AN60" s="864"/>
      <c r="AO60" s="864"/>
      <c r="AP60" s="864"/>
      <c r="AQ60" s="864"/>
      <c r="AR60" s="865"/>
      <c r="AS60" s="843"/>
      <c r="BC60" s="6"/>
    </row>
    <row r="61" spans="1:45" ht="6.75" customHeight="1">
      <c r="A61" s="863"/>
      <c r="B61" s="864"/>
      <c r="C61" s="864"/>
      <c r="D61" s="864"/>
      <c r="E61" s="864"/>
      <c r="F61" s="864"/>
      <c r="G61" s="864"/>
      <c r="H61" s="864"/>
      <c r="I61" s="864"/>
      <c r="J61" s="864"/>
      <c r="K61" s="864"/>
      <c r="L61" s="864"/>
      <c r="M61" s="864"/>
      <c r="N61" s="864"/>
      <c r="O61" s="864"/>
      <c r="P61" s="864"/>
      <c r="Q61" s="864"/>
      <c r="R61" s="864"/>
      <c r="S61" s="864"/>
      <c r="T61" s="864"/>
      <c r="U61" s="864"/>
      <c r="V61" s="865"/>
      <c r="W61" s="863"/>
      <c r="X61" s="864"/>
      <c r="Y61" s="864"/>
      <c r="Z61" s="864"/>
      <c r="AA61" s="864"/>
      <c r="AB61" s="864"/>
      <c r="AC61" s="864"/>
      <c r="AD61" s="864"/>
      <c r="AE61" s="864"/>
      <c r="AF61" s="864"/>
      <c r="AG61" s="864"/>
      <c r="AH61" s="864"/>
      <c r="AI61" s="864"/>
      <c r="AJ61" s="864"/>
      <c r="AK61" s="864"/>
      <c r="AL61" s="864"/>
      <c r="AM61" s="864"/>
      <c r="AN61" s="864"/>
      <c r="AO61" s="864"/>
      <c r="AP61" s="864"/>
      <c r="AQ61" s="864"/>
      <c r="AR61" s="865"/>
      <c r="AS61" s="843"/>
    </row>
    <row r="62" spans="1:55" ht="15.75" customHeight="1">
      <c r="A62" s="863"/>
      <c r="B62" s="864"/>
      <c r="C62" s="864"/>
      <c r="D62" s="864"/>
      <c r="E62" s="864"/>
      <c r="F62" s="864"/>
      <c r="G62" s="864"/>
      <c r="H62" s="864"/>
      <c r="I62" s="864"/>
      <c r="J62" s="864"/>
      <c r="K62" s="864"/>
      <c r="L62" s="864"/>
      <c r="M62" s="864"/>
      <c r="N62" s="864"/>
      <c r="O62" s="864"/>
      <c r="P62" s="864"/>
      <c r="Q62" s="864"/>
      <c r="R62" s="864"/>
      <c r="S62" s="864"/>
      <c r="T62" s="864"/>
      <c r="U62" s="864"/>
      <c r="V62" s="865"/>
      <c r="W62" s="863"/>
      <c r="X62" s="864"/>
      <c r="Y62" s="864"/>
      <c r="Z62" s="864"/>
      <c r="AA62" s="864"/>
      <c r="AB62" s="864"/>
      <c r="AC62" s="864"/>
      <c r="AD62" s="864"/>
      <c r="AE62" s="864"/>
      <c r="AF62" s="864"/>
      <c r="AG62" s="864"/>
      <c r="AH62" s="864"/>
      <c r="AI62" s="864"/>
      <c r="AJ62" s="864"/>
      <c r="AK62" s="864"/>
      <c r="AL62" s="864"/>
      <c r="AM62" s="864"/>
      <c r="AN62" s="864"/>
      <c r="AO62" s="864"/>
      <c r="AP62" s="864"/>
      <c r="AQ62" s="864"/>
      <c r="AR62" s="865"/>
      <c r="AS62" s="843"/>
      <c r="BC62" s="6"/>
    </row>
    <row r="63" spans="1:55" ht="6.75" customHeight="1">
      <c r="A63" s="863"/>
      <c r="B63" s="864"/>
      <c r="C63" s="864"/>
      <c r="D63" s="864"/>
      <c r="E63" s="864"/>
      <c r="F63" s="864"/>
      <c r="G63" s="864"/>
      <c r="H63" s="864"/>
      <c r="I63" s="864"/>
      <c r="J63" s="864"/>
      <c r="K63" s="864"/>
      <c r="L63" s="864"/>
      <c r="M63" s="864"/>
      <c r="N63" s="864"/>
      <c r="O63" s="864"/>
      <c r="P63" s="864"/>
      <c r="Q63" s="864"/>
      <c r="R63" s="864"/>
      <c r="S63" s="864"/>
      <c r="T63" s="864"/>
      <c r="U63" s="864"/>
      <c r="V63" s="865"/>
      <c r="W63" s="863"/>
      <c r="X63" s="864"/>
      <c r="Y63" s="864"/>
      <c r="Z63" s="864"/>
      <c r="AA63" s="864"/>
      <c r="AB63" s="864"/>
      <c r="AC63" s="864"/>
      <c r="AD63" s="864"/>
      <c r="AE63" s="864"/>
      <c r="AF63" s="864"/>
      <c r="AG63" s="864"/>
      <c r="AH63" s="864"/>
      <c r="AI63" s="864"/>
      <c r="AJ63" s="864"/>
      <c r="AK63" s="864"/>
      <c r="AL63" s="864"/>
      <c r="AM63" s="864"/>
      <c r="AN63" s="864"/>
      <c r="AO63" s="864"/>
      <c r="AP63" s="864"/>
      <c r="AQ63" s="864"/>
      <c r="AR63" s="865"/>
      <c r="AS63" s="843"/>
      <c r="BC63" s="6"/>
    </row>
    <row r="64" spans="1:55" ht="15">
      <c r="A64" s="863"/>
      <c r="B64" s="864"/>
      <c r="C64" s="864"/>
      <c r="D64" s="864"/>
      <c r="E64" s="864"/>
      <c r="F64" s="864"/>
      <c r="G64" s="864"/>
      <c r="H64" s="864"/>
      <c r="I64" s="864"/>
      <c r="J64" s="864"/>
      <c r="K64" s="864"/>
      <c r="L64" s="864"/>
      <c r="M64" s="864"/>
      <c r="N64" s="864"/>
      <c r="O64" s="864"/>
      <c r="P64" s="864"/>
      <c r="Q64" s="864"/>
      <c r="R64" s="864"/>
      <c r="S64" s="864"/>
      <c r="T64" s="864"/>
      <c r="U64" s="864"/>
      <c r="V64" s="865"/>
      <c r="W64" s="863"/>
      <c r="X64" s="864"/>
      <c r="Y64" s="864"/>
      <c r="Z64" s="864"/>
      <c r="AA64" s="864"/>
      <c r="AB64" s="864"/>
      <c r="AC64" s="864"/>
      <c r="AD64" s="864"/>
      <c r="AE64" s="864"/>
      <c r="AF64" s="864"/>
      <c r="AG64" s="864"/>
      <c r="AH64" s="864"/>
      <c r="AI64" s="864"/>
      <c r="AJ64" s="864"/>
      <c r="AK64" s="864"/>
      <c r="AL64" s="864"/>
      <c r="AM64" s="864"/>
      <c r="AN64" s="864"/>
      <c r="AO64" s="864"/>
      <c r="AP64" s="864"/>
      <c r="AQ64" s="864"/>
      <c r="AR64" s="865"/>
      <c r="AS64" s="843"/>
      <c r="BC64" s="6"/>
    </row>
    <row r="65" spans="1:55" ht="6.75" customHeight="1">
      <c r="A65" s="863"/>
      <c r="B65" s="864"/>
      <c r="C65" s="864"/>
      <c r="D65" s="864"/>
      <c r="E65" s="864"/>
      <c r="F65" s="864"/>
      <c r="G65" s="864"/>
      <c r="H65" s="864"/>
      <c r="I65" s="864"/>
      <c r="J65" s="864"/>
      <c r="K65" s="864"/>
      <c r="L65" s="864"/>
      <c r="M65" s="864"/>
      <c r="N65" s="864"/>
      <c r="O65" s="864"/>
      <c r="P65" s="864"/>
      <c r="Q65" s="864"/>
      <c r="R65" s="864"/>
      <c r="S65" s="864"/>
      <c r="T65" s="864"/>
      <c r="U65" s="864"/>
      <c r="V65" s="865"/>
      <c r="W65" s="863"/>
      <c r="X65" s="864"/>
      <c r="Y65" s="864"/>
      <c r="Z65" s="864"/>
      <c r="AA65" s="864"/>
      <c r="AB65" s="864"/>
      <c r="AC65" s="864"/>
      <c r="AD65" s="864"/>
      <c r="AE65" s="864"/>
      <c r="AF65" s="864"/>
      <c r="AG65" s="864"/>
      <c r="AH65" s="864"/>
      <c r="AI65" s="864"/>
      <c r="AJ65" s="864"/>
      <c r="AK65" s="864"/>
      <c r="AL65" s="864"/>
      <c r="AM65" s="864"/>
      <c r="AN65" s="864"/>
      <c r="AO65" s="864"/>
      <c r="AP65" s="864"/>
      <c r="AQ65" s="864"/>
      <c r="AR65" s="865"/>
      <c r="AS65" s="843"/>
      <c r="BC65" s="6"/>
    </row>
    <row r="66" spans="1:55" ht="15.75" customHeight="1">
      <c r="A66" s="863"/>
      <c r="B66" s="864"/>
      <c r="C66" s="864"/>
      <c r="D66" s="864"/>
      <c r="E66" s="864"/>
      <c r="F66" s="864"/>
      <c r="G66" s="864"/>
      <c r="H66" s="864"/>
      <c r="I66" s="864"/>
      <c r="J66" s="864"/>
      <c r="K66" s="864"/>
      <c r="L66" s="864"/>
      <c r="M66" s="864"/>
      <c r="N66" s="864"/>
      <c r="O66" s="864"/>
      <c r="P66" s="864"/>
      <c r="Q66" s="864"/>
      <c r="R66" s="864"/>
      <c r="S66" s="864"/>
      <c r="T66" s="864"/>
      <c r="U66" s="864"/>
      <c r="V66" s="865"/>
      <c r="W66" s="863"/>
      <c r="X66" s="864"/>
      <c r="Y66" s="864"/>
      <c r="Z66" s="864"/>
      <c r="AA66" s="864"/>
      <c r="AB66" s="864"/>
      <c r="AC66" s="864"/>
      <c r="AD66" s="864"/>
      <c r="AE66" s="864"/>
      <c r="AF66" s="864"/>
      <c r="AG66" s="864"/>
      <c r="AH66" s="864"/>
      <c r="AI66" s="864"/>
      <c r="AJ66" s="864"/>
      <c r="AK66" s="864"/>
      <c r="AL66" s="864"/>
      <c r="AM66" s="864"/>
      <c r="AN66" s="864"/>
      <c r="AO66" s="864"/>
      <c r="AP66" s="864"/>
      <c r="AQ66" s="864"/>
      <c r="AR66" s="865"/>
      <c r="AS66" s="843"/>
      <c r="BC66" s="6"/>
    </row>
    <row r="67" spans="1:55" ht="6.75" customHeight="1">
      <c r="A67" s="863"/>
      <c r="B67" s="864"/>
      <c r="C67" s="864"/>
      <c r="D67" s="864"/>
      <c r="E67" s="864"/>
      <c r="F67" s="864"/>
      <c r="G67" s="864"/>
      <c r="H67" s="864"/>
      <c r="I67" s="864"/>
      <c r="J67" s="864"/>
      <c r="K67" s="864"/>
      <c r="L67" s="864"/>
      <c r="M67" s="864"/>
      <c r="N67" s="864"/>
      <c r="O67" s="864"/>
      <c r="P67" s="864"/>
      <c r="Q67" s="864"/>
      <c r="R67" s="864"/>
      <c r="S67" s="864"/>
      <c r="T67" s="864"/>
      <c r="U67" s="864"/>
      <c r="V67" s="865"/>
      <c r="W67" s="863"/>
      <c r="X67" s="864"/>
      <c r="Y67" s="864"/>
      <c r="Z67" s="864"/>
      <c r="AA67" s="864"/>
      <c r="AB67" s="864"/>
      <c r="AC67" s="864"/>
      <c r="AD67" s="864"/>
      <c r="AE67" s="864"/>
      <c r="AF67" s="864"/>
      <c r="AG67" s="864"/>
      <c r="AH67" s="864"/>
      <c r="AI67" s="864"/>
      <c r="AJ67" s="864"/>
      <c r="AK67" s="864"/>
      <c r="AL67" s="864"/>
      <c r="AM67" s="864"/>
      <c r="AN67" s="864"/>
      <c r="AO67" s="864"/>
      <c r="AP67" s="864"/>
      <c r="AQ67" s="864"/>
      <c r="AR67" s="865"/>
      <c r="AS67" s="843"/>
      <c r="BC67" s="6"/>
    </row>
    <row r="68" spans="1:55" ht="15.75" customHeight="1">
      <c r="A68" s="863"/>
      <c r="B68" s="864"/>
      <c r="C68" s="864"/>
      <c r="D68" s="864"/>
      <c r="E68" s="864"/>
      <c r="F68" s="864"/>
      <c r="G68" s="864"/>
      <c r="H68" s="864"/>
      <c r="I68" s="864"/>
      <c r="J68" s="864"/>
      <c r="K68" s="864"/>
      <c r="L68" s="864"/>
      <c r="M68" s="864"/>
      <c r="N68" s="864"/>
      <c r="O68" s="864"/>
      <c r="P68" s="864"/>
      <c r="Q68" s="864"/>
      <c r="R68" s="864"/>
      <c r="S68" s="864"/>
      <c r="T68" s="864"/>
      <c r="U68" s="864"/>
      <c r="V68" s="865"/>
      <c r="W68" s="863"/>
      <c r="X68" s="864"/>
      <c r="Y68" s="864"/>
      <c r="Z68" s="864"/>
      <c r="AA68" s="864"/>
      <c r="AB68" s="864"/>
      <c r="AC68" s="864"/>
      <c r="AD68" s="864"/>
      <c r="AE68" s="864"/>
      <c r="AF68" s="864"/>
      <c r="AG68" s="864"/>
      <c r="AH68" s="864"/>
      <c r="AI68" s="864"/>
      <c r="AJ68" s="864"/>
      <c r="AK68" s="864"/>
      <c r="AL68" s="864"/>
      <c r="AM68" s="864"/>
      <c r="AN68" s="864"/>
      <c r="AO68" s="864"/>
      <c r="AP68" s="864"/>
      <c r="AQ68" s="864"/>
      <c r="AR68" s="865"/>
      <c r="AS68" s="843"/>
      <c r="BC68" s="6"/>
    </row>
    <row r="69" spans="1:45" ht="6.75" customHeight="1" thickBot="1">
      <c r="A69" s="866"/>
      <c r="B69" s="867"/>
      <c r="C69" s="867"/>
      <c r="D69" s="867"/>
      <c r="E69" s="867"/>
      <c r="F69" s="867"/>
      <c r="G69" s="867"/>
      <c r="H69" s="867"/>
      <c r="I69" s="867"/>
      <c r="J69" s="867"/>
      <c r="K69" s="867"/>
      <c r="L69" s="867"/>
      <c r="M69" s="867"/>
      <c r="N69" s="867"/>
      <c r="O69" s="867"/>
      <c r="P69" s="867"/>
      <c r="Q69" s="867"/>
      <c r="R69" s="867"/>
      <c r="S69" s="867"/>
      <c r="T69" s="867"/>
      <c r="U69" s="867"/>
      <c r="V69" s="868"/>
      <c r="W69" s="866"/>
      <c r="X69" s="867"/>
      <c r="Y69" s="867"/>
      <c r="Z69" s="867"/>
      <c r="AA69" s="867"/>
      <c r="AB69" s="867"/>
      <c r="AC69" s="867"/>
      <c r="AD69" s="867"/>
      <c r="AE69" s="867"/>
      <c r="AF69" s="867"/>
      <c r="AG69" s="867"/>
      <c r="AH69" s="867"/>
      <c r="AI69" s="867"/>
      <c r="AJ69" s="867"/>
      <c r="AK69" s="867"/>
      <c r="AL69" s="867"/>
      <c r="AM69" s="867"/>
      <c r="AN69" s="867"/>
      <c r="AO69" s="867"/>
      <c r="AP69" s="867"/>
      <c r="AQ69" s="867"/>
      <c r="AR69" s="868"/>
      <c r="AS69" s="843"/>
    </row>
    <row r="70" spans="1:45" ht="40.5" customHeight="1">
      <c r="A70" s="821"/>
      <c r="B70" s="821"/>
      <c r="C70" s="821"/>
      <c r="D70" s="821"/>
      <c r="E70" s="821"/>
      <c r="F70" s="821"/>
      <c r="G70" s="821"/>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43"/>
    </row>
    <row r="71" spans="1:45" ht="15" customHeight="1">
      <c r="A71" s="835" t="s">
        <v>729</v>
      </c>
      <c r="B71" s="835"/>
      <c r="C71" s="835"/>
      <c r="D71" s="872"/>
      <c r="E71" s="872"/>
      <c r="F71" s="872"/>
      <c r="G71" s="872"/>
      <c r="H71" s="872"/>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c r="AL71" s="872"/>
      <c r="AM71" s="872"/>
      <c r="AN71" s="872"/>
      <c r="AO71" s="872"/>
      <c r="AP71" s="872"/>
      <c r="AQ71" s="872"/>
      <c r="AR71" s="314"/>
      <c r="AS71" s="843"/>
    </row>
    <row r="72" spans="1:45" ht="15" customHeight="1">
      <c r="A72" s="821"/>
      <c r="B72" s="821"/>
      <c r="C72" s="821"/>
      <c r="D72" s="872"/>
      <c r="E72" s="872"/>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72"/>
      <c r="AD72" s="872"/>
      <c r="AE72" s="872"/>
      <c r="AF72" s="872"/>
      <c r="AG72" s="872"/>
      <c r="AH72" s="872"/>
      <c r="AI72" s="872"/>
      <c r="AJ72" s="872"/>
      <c r="AK72" s="872"/>
      <c r="AL72" s="872"/>
      <c r="AM72" s="872"/>
      <c r="AN72" s="872"/>
      <c r="AO72" s="872"/>
      <c r="AP72" s="872"/>
      <c r="AQ72" s="872"/>
      <c r="AR72" s="314"/>
      <c r="AS72" s="843"/>
    </row>
    <row r="73" spans="1:45" ht="15" customHeight="1">
      <c r="A73" s="835"/>
      <c r="B73" s="835"/>
      <c r="C73" s="835"/>
      <c r="D73" s="872"/>
      <c r="E73" s="872"/>
      <c r="F73" s="872"/>
      <c r="G73" s="872"/>
      <c r="H73" s="872"/>
      <c r="I73" s="872"/>
      <c r="J73" s="872"/>
      <c r="K73" s="872"/>
      <c r="L73" s="872"/>
      <c r="M73" s="872"/>
      <c r="N73" s="872"/>
      <c r="O73" s="872"/>
      <c r="P73" s="872"/>
      <c r="Q73" s="872"/>
      <c r="R73" s="872"/>
      <c r="S73" s="872"/>
      <c r="T73" s="872"/>
      <c r="U73" s="872"/>
      <c r="V73" s="872"/>
      <c r="W73" s="872"/>
      <c r="X73" s="872"/>
      <c r="Y73" s="872"/>
      <c r="Z73" s="872"/>
      <c r="AA73" s="872"/>
      <c r="AB73" s="872"/>
      <c r="AC73" s="872"/>
      <c r="AD73" s="872"/>
      <c r="AE73" s="872"/>
      <c r="AF73" s="872"/>
      <c r="AG73" s="872"/>
      <c r="AH73" s="872"/>
      <c r="AI73" s="872"/>
      <c r="AJ73" s="872"/>
      <c r="AK73" s="872"/>
      <c r="AL73" s="872"/>
      <c r="AM73" s="872"/>
      <c r="AN73" s="872"/>
      <c r="AO73" s="872"/>
      <c r="AP73" s="872"/>
      <c r="AQ73" s="872"/>
      <c r="AR73" s="314"/>
      <c r="AS73" s="843"/>
    </row>
    <row r="74" spans="1:45" ht="59.25" customHeight="1">
      <c r="A74" s="847"/>
      <c r="B74" s="847"/>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3"/>
    </row>
    <row r="75" spans="1:45" ht="15">
      <c r="A75" s="847" t="s">
        <v>639</v>
      </c>
      <c r="B75" s="847"/>
      <c r="C75" s="847"/>
      <c r="D75" s="847"/>
      <c r="E75" s="847"/>
      <c r="F75" s="847"/>
      <c r="G75" s="847"/>
      <c r="H75" s="847"/>
      <c r="I75" s="847"/>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3"/>
    </row>
    <row r="76" spans="1:45" ht="15.75" customHeight="1">
      <c r="A76" s="825" t="s">
        <v>640</v>
      </c>
      <c r="B76" s="825"/>
      <c r="C76" s="825"/>
      <c r="D76" s="825"/>
      <c r="E76" s="825"/>
      <c r="F76" s="825"/>
      <c r="G76" s="825"/>
      <c r="H76" s="825"/>
      <c r="I76" s="825"/>
      <c r="J76" s="825"/>
      <c r="K76" s="825"/>
      <c r="L76" s="825"/>
      <c r="M76" s="825"/>
      <c r="N76" s="825"/>
      <c r="O76" s="825"/>
      <c r="P76" s="825"/>
      <c r="Q76" s="825"/>
      <c r="R76" s="825"/>
      <c r="S76" s="825"/>
      <c r="T76" s="825"/>
      <c r="U76" s="825"/>
      <c r="V76" s="825"/>
      <c r="W76" s="825"/>
      <c r="X76" s="825"/>
      <c r="Y76" s="825"/>
      <c r="Z76" s="825"/>
      <c r="AA76" s="825"/>
      <c r="AB76" s="825"/>
      <c r="AC76" s="825"/>
      <c r="AD76" s="825"/>
      <c r="AE76" s="825"/>
      <c r="AF76" s="825"/>
      <c r="AG76" s="825"/>
      <c r="AH76" s="825"/>
      <c r="AI76" s="825"/>
      <c r="AJ76" s="825"/>
      <c r="AK76" s="825"/>
      <c r="AL76" s="825"/>
      <c r="AM76" s="825"/>
      <c r="AN76" s="825"/>
      <c r="AO76" s="825"/>
      <c r="AP76" s="825"/>
      <c r="AQ76" s="825"/>
      <c r="AR76" s="825"/>
      <c r="AS76" s="843"/>
    </row>
    <row r="77" spans="1:45" ht="40.5" customHeight="1" thickBot="1">
      <c r="A77" s="845"/>
      <c r="B77" s="845"/>
      <c r="C77" s="845"/>
      <c r="D77" s="845"/>
      <c r="E77" s="845"/>
      <c r="F77" s="845"/>
      <c r="G77" s="845"/>
      <c r="H77" s="845"/>
      <c r="I77" s="845"/>
      <c r="J77" s="845"/>
      <c r="K77" s="845"/>
      <c r="L77" s="845"/>
      <c r="M77" s="845"/>
      <c r="N77" s="845"/>
      <c r="O77" s="845"/>
      <c r="P77" s="845"/>
      <c r="Q77" s="845"/>
      <c r="R77" s="845"/>
      <c r="S77" s="845"/>
      <c r="T77" s="845"/>
      <c r="U77" s="845"/>
      <c r="V77" s="845"/>
      <c r="W77" s="845"/>
      <c r="X77" s="845"/>
      <c r="Y77" s="845"/>
      <c r="Z77" s="845"/>
      <c r="AA77" s="845"/>
      <c r="AB77" s="845"/>
      <c r="AC77" s="845"/>
      <c r="AD77" s="845"/>
      <c r="AE77" s="845"/>
      <c r="AF77" s="845"/>
      <c r="AG77" s="845"/>
      <c r="AH77" s="845"/>
      <c r="AI77" s="845"/>
      <c r="AJ77" s="845"/>
      <c r="AK77" s="845"/>
      <c r="AL77" s="845"/>
      <c r="AM77" s="845"/>
      <c r="AN77" s="845"/>
      <c r="AO77" s="845"/>
      <c r="AP77" s="845"/>
      <c r="AQ77" s="845"/>
      <c r="AR77" s="845"/>
      <c r="AS77" s="843"/>
    </row>
    <row r="78" spans="1:45" ht="6.75" customHeight="1" thickTop="1">
      <c r="A78" s="846"/>
      <c r="B78" s="844"/>
      <c r="C78" s="844"/>
      <c r="D78" s="844"/>
      <c r="E78" s="844"/>
      <c r="F78" s="844"/>
      <c r="G78" s="844"/>
      <c r="H78" s="844"/>
      <c r="I78" s="844"/>
      <c r="J78" s="844"/>
      <c r="K78" s="844"/>
      <c r="L78" s="844"/>
      <c r="M78" s="844"/>
      <c r="N78" s="844"/>
      <c r="O78" s="844"/>
      <c r="P78" s="844"/>
      <c r="Q78" s="844"/>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54"/>
      <c r="AS78" s="843"/>
    </row>
    <row r="79" spans="1:45" ht="15">
      <c r="A79" s="841" t="s">
        <v>641</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842"/>
      <c r="AP79" s="842"/>
      <c r="AQ79" s="842"/>
      <c r="AR79" s="855"/>
      <c r="AS79" s="843"/>
    </row>
    <row r="80" spans="1:45" ht="6.75" customHeight="1">
      <c r="A80" s="820"/>
      <c r="B80" s="821"/>
      <c r="C80" s="821"/>
      <c r="D80" s="821"/>
      <c r="E80" s="821"/>
      <c r="F80" s="821"/>
      <c r="G80" s="821"/>
      <c r="H80" s="821"/>
      <c r="I80" s="821"/>
      <c r="J80" s="821"/>
      <c r="K80" s="821"/>
      <c r="L80" s="821"/>
      <c r="M80" s="821"/>
      <c r="N80" s="821"/>
      <c r="O80" s="821"/>
      <c r="P80" s="821"/>
      <c r="Q80" s="821"/>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56"/>
      <c r="AS80" s="843"/>
    </row>
    <row r="81" spans="1:45" ht="15.75" customHeight="1">
      <c r="A81" s="818" t="s">
        <v>642</v>
      </c>
      <c r="B81" s="819"/>
      <c r="C81" s="819"/>
      <c r="D81" s="819"/>
      <c r="E81" s="819"/>
      <c r="F81" s="819"/>
      <c r="G81" s="819"/>
      <c r="H81" s="314"/>
      <c r="I81" s="323">
        <f aca="true" t="shared" si="82" ref="I81:AQ81">IF(ISERR(AW$7),"",AW$7)</f>
      </c>
      <c r="J81" s="323">
        <f t="shared" si="82"/>
      </c>
      <c r="K81" s="323">
        <f t="shared" si="82"/>
      </c>
      <c r="L81" s="323">
        <f t="shared" si="82"/>
      </c>
      <c r="M81" s="323">
        <f t="shared" si="82"/>
      </c>
      <c r="N81" s="323">
        <f t="shared" si="82"/>
      </c>
      <c r="O81" s="323">
        <f t="shared" si="82"/>
      </c>
      <c r="P81" s="323">
        <f t="shared" si="82"/>
      </c>
      <c r="Q81" s="323">
        <f t="shared" si="82"/>
      </c>
      <c r="R81" s="323">
        <f t="shared" si="82"/>
      </c>
      <c r="S81" s="323">
        <f t="shared" si="82"/>
      </c>
      <c r="T81" s="323">
        <f t="shared" si="82"/>
      </c>
      <c r="U81" s="323">
        <f t="shared" si="82"/>
      </c>
      <c r="V81" s="323">
        <f t="shared" si="82"/>
      </c>
      <c r="W81" s="323">
        <f t="shared" si="82"/>
      </c>
      <c r="X81" s="323">
        <f t="shared" si="82"/>
      </c>
      <c r="Y81" s="323">
        <f t="shared" si="82"/>
      </c>
      <c r="Z81" s="323">
        <f t="shared" si="82"/>
      </c>
      <c r="AA81" s="323">
        <f t="shared" si="82"/>
      </c>
      <c r="AB81" s="323">
        <f t="shared" si="82"/>
      </c>
      <c r="AC81" s="323">
        <f t="shared" si="82"/>
      </c>
      <c r="AD81" s="323">
        <f t="shared" si="82"/>
      </c>
      <c r="AE81" s="323">
        <f t="shared" si="82"/>
      </c>
      <c r="AF81" s="323">
        <f t="shared" si="82"/>
      </c>
      <c r="AG81" s="323">
        <f t="shared" si="82"/>
      </c>
      <c r="AH81" s="323">
        <f t="shared" si="82"/>
      </c>
      <c r="AI81" s="323">
        <f t="shared" si="82"/>
      </c>
      <c r="AJ81" s="323">
        <f t="shared" si="82"/>
      </c>
      <c r="AK81" s="323">
        <f t="shared" si="82"/>
      </c>
      <c r="AL81" s="323">
        <f t="shared" si="82"/>
      </c>
      <c r="AM81" s="323">
        <f t="shared" si="82"/>
      </c>
      <c r="AN81" s="323">
        <f t="shared" si="82"/>
      </c>
      <c r="AO81" s="323">
        <f t="shared" si="82"/>
      </c>
      <c r="AP81" s="323">
        <f t="shared" si="82"/>
      </c>
      <c r="AQ81" s="324">
        <f t="shared" si="82"/>
      </c>
      <c r="AR81" s="316"/>
      <c r="AS81" s="843"/>
    </row>
    <row r="82" spans="1:45" ht="6.75" customHeight="1">
      <c r="A82" s="826"/>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869"/>
      <c r="AS82" s="843"/>
    </row>
    <row r="83" spans="1:45" ht="15">
      <c r="A83" s="820"/>
      <c r="B83" s="821"/>
      <c r="C83" s="821"/>
      <c r="D83" s="821"/>
      <c r="E83" s="821"/>
      <c r="F83" s="821"/>
      <c r="G83" s="821"/>
      <c r="H83" s="857"/>
      <c r="I83" s="323">
        <f aca="true" t="shared" si="83" ref="I83:AQ83">IF(ISERR(CF$7),"",CF$7)</f>
      </c>
      <c r="J83" s="323">
        <f t="shared" si="83"/>
      </c>
      <c r="K83" s="323">
        <f t="shared" si="83"/>
      </c>
      <c r="L83" s="323">
        <f t="shared" si="83"/>
      </c>
      <c r="M83" s="323">
        <f t="shared" si="83"/>
      </c>
      <c r="N83" s="323">
        <f t="shared" si="83"/>
      </c>
      <c r="O83" s="323">
        <f t="shared" si="83"/>
      </c>
      <c r="P83" s="323">
        <f t="shared" si="83"/>
      </c>
      <c r="Q83" s="323">
        <f t="shared" si="83"/>
      </c>
      <c r="R83" s="323">
        <f t="shared" si="83"/>
      </c>
      <c r="S83" s="323">
        <f t="shared" si="83"/>
      </c>
      <c r="T83" s="323">
        <f t="shared" si="83"/>
      </c>
      <c r="U83" s="323">
        <f t="shared" si="83"/>
      </c>
      <c r="V83" s="323">
        <f t="shared" si="83"/>
      </c>
      <c r="W83" s="323">
        <f t="shared" si="83"/>
      </c>
      <c r="X83" s="323">
        <f t="shared" si="83"/>
      </c>
      <c r="Y83" s="323">
        <f t="shared" si="83"/>
      </c>
      <c r="Z83" s="323">
        <f t="shared" si="83"/>
      </c>
      <c r="AA83" s="323">
        <f t="shared" si="83"/>
      </c>
      <c r="AB83" s="323">
        <f t="shared" si="83"/>
      </c>
      <c r="AC83" s="323">
        <f t="shared" si="83"/>
      </c>
      <c r="AD83" s="323">
        <f t="shared" si="83"/>
      </c>
      <c r="AE83" s="323">
        <f t="shared" si="83"/>
      </c>
      <c r="AF83" s="323">
        <f t="shared" si="83"/>
      </c>
      <c r="AG83" s="323">
        <f t="shared" si="83"/>
      </c>
      <c r="AH83" s="323">
        <f t="shared" si="83"/>
      </c>
      <c r="AI83" s="323">
        <f t="shared" si="83"/>
      </c>
      <c r="AJ83" s="323">
        <f t="shared" si="83"/>
      </c>
      <c r="AK83" s="323">
        <f t="shared" si="83"/>
      </c>
      <c r="AL83" s="323">
        <f t="shared" si="83"/>
      </c>
      <c r="AM83" s="323">
        <f t="shared" si="83"/>
      </c>
      <c r="AN83" s="323">
        <f t="shared" si="83"/>
      </c>
      <c r="AO83" s="323">
        <f t="shared" si="83"/>
      </c>
      <c r="AP83" s="323">
        <f t="shared" si="83"/>
      </c>
      <c r="AQ83" s="324">
        <f t="shared" si="83"/>
      </c>
      <c r="AR83" s="316"/>
      <c r="AS83" s="843"/>
    </row>
    <row r="84" spans="1:45" ht="6.75" customHeight="1">
      <c r="A84" s="820"/>
      <c r="B84" s="821"/>
      <c r="C84" s="821"/>
      <c r="D84" s="821"/>
      <c r="E84" s="821"/>
      <c r="F84" s="821"/>
      <c r="G84" s="821"/>
      <c r="H84" s="821"/>
      <c r="I84" s="821"/>
      <c r="J84" s="821"/>
      <c r="K84" s="821"/>
      <c r="L84" s="821"/>
      <c r="M84" s="821"/>
      <c r="N84" s="821"/>
      <c r="O84" s="821"/>
      <c r="P84" s="821"/>
      <c r="Q84" s="821"/>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56"/>
      <c r="AS84" s="843"/>
    </row>
    <row r="85" spans="1:45" ht="15.75" customHeight="1">
      <c r="A85" s="870" t="s">
        <v>643</v>
      </c>
      <c r="B85" s="547"/>
      <c r="C85" s="547"/>
      <c r="D85" s="547"/>
      <c r="E85" s="547"/>
      <c r="F85" s="547"/>
      <c r="G85" s="547"/>
      <c r="H85" s="314"/>
      <c r="I85" s="323">
        <f aca="true" t="shared" si="84" ref="I85:AQ85">IF(ISERR(AW$11),"",AW$11)</f>
      </c>
      <c r="J85" s="323">
        <f t="shared" si="84"/>
      </c>
      <c r="K85" s="323">
        <f t="shared" si="84"/>
      </c>
      <c r="L85" s="323">
        <f t="shared" si="84"/>
      </c>
      <c r="M85" s="323">
        <f t="shared" si="84"/>
      </c>
      <c r="N85" s="323">
        <f t="shared" si="84"/>
      </c>
      <c r="O85" s="323">
        <f t="shared" si="84"/>
      </c>
      <c r="P85" s="323">
        <f t="shared" si="84"/>
      </c>
      <c r="Q85" s="323">
        <f t="shared" si="84"/>
      </c>
      <c r="R85" s="323">
        <f t="shared" si="84"/>
      </c>
      <c r="S85" s="323">
        <f t="shared" si="84"/>
      </c>
      <c r="T85" s="323">
        <f t="shared" si="84"/>
      </c>
      <c r="U85" s="323">
        <f t="shared" si="84"/>
      </c>
      <c r="V85" s="323">
        <f t="shared" si="84"/>
      </c>
      <c r="W85" s="323">
        <f t="shared" si="84"/>
      </c>
      <c r="X85" s="323">
        <f t="shared" si="84"/>
      </c>
      <c r="Y85" s="323">
        <f t="shared" si="84"/>
      </c>
      <c r="Z85" s="323">
        <f t="shared" si="84"/>
      </c>
      <c r="AA85" s="323">
        <f t="shared" si="84"/>
      </c>
      <c r="AB85" s="323">
        <f t="shared" si="84"/>
      </c>
      <c r="AC85" s="323">
        <f t="shared" si="84"/>
      </c>
      <c r="AD85" s="323">
        <f t="shared" si="84"/>
      </c>
      <c r="AE85" s="323">
        <f t="shared" si="84"/>
      </c>
      <c r="AF85" s="323">
        <f t="shared" si="84"/>
      </c>
      <c r="AG85" s="323">
        <f t="shared" si="84"/>
      </c>
      <c r="AH85" s="323">
        <f t="shared" si="84"/>
      </c>
      <c r="AI85" s="323">
        <f t="shared" si="84"/>
      </c>
      <c r="AJ85" s="323">
        <f t="shared" si="84"/>
      </c>
      <c r="AK85" s="323">
        <f t="shared" si="84"/>
      </c>
      <c r="AL85" s="323">
        <f t="shared" si="84"/>
      </c>
      <c r="AM85" s="323">
        <f t="shared" si="84"/>
      </c>
      <c r="AN85" s="323">
        <f t="shared" si="84"/>
      </c>
      <c r="AO85" s="323">
        <f t="shared" si="84"/>
      </c>
      <c r="AP85" s="323">
        <f t="shared" si="84"/>
      </c>
      <c r="AQ85" s="324">
        <f t="shared" si="84"/>
      </c>
      <c r="AR85" s="316"/>
      <c r="AS85" s="843"/>
    </row>
    <row r="86" spans="1:45" ht="6.75" customHeight="1">
      <c r="A86" s="820"/>
      <c r="B86" s="821"/>
      <c r="C86" s="821"/>
      <c r="D86" s="821"/>
      <c r="E86" s="821"/>
      <c r="F86" s="821"/>
      <c r="G86" s="821"/>
      <c r="H86" s="821"/>
      <c r="I86" s="821"/>
      <c r="J86" s="821"/>
      <c r="K86" s="821"/>
      <c r="L86" s="821"/>
      <c r="M86" s="821"/>
      <c r="N86" s="821"/>
      <c r="O86" s="821"/>
      <c r="P86" s="821"/>
      <c r="Q86" s="821"/>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56"/>
      <c r="AS86" s="843"/>
    </row>
    <row r="87" spans="1:45" ht="15">
      <c r="A87" s="820"/>
      <c r="B87" s="821"/>
      <c r="C87" s="821"/>
      <c r="D87" s="821"/>
      <c r="E87" s="821"/>
      <c r="F87" s="821"/>
      <c r="G87" s="821"/>
      <c r="H87" s="857"/>
      <c r="I87" s="323">
        <f aca="true" t="shared" si="85" ref="I87:AQ87">IF(ISERR(AW$13),"",AW$13)</f>
      </c>
      <c r="J87" s="323">
        <f t="shared" si="85"/>
      </c>
      <c r="K87" s="323">
        <f t="shared" si="85"/>
      </c>
      <c r="L87" s="323">
        <f t="shared" si="85"/>
      </c>
      <c r="M87" s="323">
        <f t="shared" si="85"/>
      </c>
      <c r="N87" s="323">
        <f t="shared" si="85"/>
      </c>
      <c r="O87" s="323">
        <f t="shared" si="85"/>
      </c>
      <c r="P87" s="323">
        <f t="shared" si="85"/>
      </c>
      <c r="Q87" s="323">
        <f t="shared" si="85"/>
      </c>
      <c r="R87" s="323">
        <f t="shared" si="85"/>
      </c>
      <c r="S87" s="323">
        <f t="shared" si="85"/>
      </c>
      <c r="T87" s="323">
        <f t="shared" si="85"/>
      </c>
      <c r="U87" s="323">
        <f t="shared" si="85"/>
      </c>
      <c r="V87" s="323">
        <f t="shared" si="85"/>
      </c>
      <c r="W87" s="323">
        <f t="shared" si="85"/>
      </c>
      <c r="X87" s="323">
        <f t="shared" si="85"/>
      </c>
      <c r="Y87" s="323">
        <f t="shared" si="85"/>
      </c>
      <c r="Z87" s="323">
        <f t="shared" si="85"/>
      </c>
      <c r="AA87" s="323">
        <f t="shared" si="85"/>
      </c>
      <c r="AB87" s="323">
        <f t="shared" si="85"/>
      </c>
      <c r="AC87" s="323">
        <f t="shared" si="85"/>
      </c>
      <c r="AD87" s="323">
        <f t="shared" si="85"/>
      </c>
      <c r="AE87" s="323">
        <f t="shared" si="85"/>
      </c>
      <c r="AF87" s="323">
        <f t="shared" si="85"/>
      </c>
      <c r="AG87" s="323">
        <f t="shared" si="85"/>
      </c>
      <c r="AH87" s="323">
        <f t="shared" si="85"/>
      </c>
      <c r="AI87" s="323">
        <f t="shared" si="85"/>
      </c>
      <c r="AJ87" s="323">
        <f t="shared" si="85"/>
      </c>
      <c r="AK87" s="323">
        <f t="shared" si="85"/>
      </c>
      <c r="AL87" s="323">
        <f t="shared" si="85"/>
      </c>
      <c r="AM87" s="323">
        <f t="shared" si="85"/>
      </c>
      <c r="AN87" s="323">
        <f t="shared" si="85"/>
      </c>
      <c r="AO87" s="323">
        <f t="shared" si="85"/>
      </c>
      <c r="AP87" s="323">
        <f t="shared" si="85"/>
      </c>
      <c r="AQ87" s="324">
        <f t="shared" si="85"/>
      </c>
      <c r="AR87" s="316"/>
      <c r="AS87" s="843"/>
    </row>
    <row r="88" spans="1:45" ht="6.75" customHeight="1">
      <c r="A88" s="820"/>
      <c r="B88" s="821"/>
      <c r="C88" s="821"/>
      <c r="D88" s="821"/>
      <c r="E88" s="821"/>
      <c r="F88" s="821"/>
      <c r="G88" s="821"/>
      <c r="H88" s="821"/>
      <c r="I88" s="821"/>
      <c r="J88" s="821"/>
      <c r="K88" s="821"/>
      <c r="L88" s="821"/>
      <c r="M88" s="821"/>
      <c r="N88" s="821"/>
      <c r="O88" s="821"/>
      <c r="P88" s="821"/>
      <c r="Q88" s="821"/>
      <c r="R88" s="821"/>
      <c r="S88" s="821"/>
      <c r="T88" s="821"/>
      <c r="U88" s="821"/>
      <c r="V88" s="821"/>
      <c r="W88" s="821"/>
      <c r="X88" s="821"/>
      <c r="Y88" s="821"/>
      <c r="Z88" s="821"/>
      <c r="AA88" s="821"/>
      <c r="AB88" s="821"/>
      <c r="AC88" s="821"/>
      <c r="AD88" s="821"/>
      <c r="AE88" s="821"/>
      <c r="AF88" s="821"/>
      <c r="AG88" s="821"/>
      <c r="AH88" s="821"/>
      <c r="AI88" s="821"/>
      <c r="AJ88" s="821"/>
      <c r="AK88" s="821"/>
      <c r="AL88" s="821"/>
      <c r="AM88" s="821"/>
      <c r="AN88" s="821"/>
      <c r="AO88" s="821"/>
      <c r="AP88" s="821"/>
      <c r="AQ88" s="821"/>
      <c r="AR88" s="856"/>
      <c r="AS88" s="843"/>
    </row>
    <row r="89" spans="1:45" ht="15.75" customHeight="1">
      <c r="A89" s="818" t="s">
        <v>700</v>
      </c>
      <c r="B89" s="819"/>
      <c r="C89" s="819"/>
      <c r="D89" s="819"/>
      <c r="E89" s="819"/>
      <c r="F89" s="819"/>
      <c r="G89" s="819"/>
      <c r="H89" s="314"/>
      <c r="I89" s="323">
        <f aca="true" t="shared" si="86" ref="I89:AQ89">IF(ISERR(AW$15),"",AW$15)</f>
      </c>
      <c r="J89" s="323">
        <f t="shared" si="86"/>
      </c>
      <c r="K89" s="323">
        <f t="shared" si="86"/>
      </c>
      <c r="L89" s="323">
        <f t="shared" si="86"/>
      </c>
      <c r="M89" s="323">
        <f t="shared" si="86"/>
      </c>
      <c r="N89" s="323">
        <f t="shared" si="86"/>
      </c>
      <c r="O89" s="323">
        <f t="shared" si="86"/>
      </c>
      <c r="P89" s="323">
        <f t="shared" si="86"/>
      </c>
      <c r="Q89" s="323">
        <f t="shared" si="86"/>
      </c>
      <c r="R89" s="323">
        <f t="shared" si="86"/>
      </c>
      <c r="S89" s="323">
        <f t="shared" si="86"/>
      </c>
      <c r="T89" s="323">
        <f t="shared" si="86"/>
      </c>
      <c r="U89" s="323">
        <f t="shared" si="86"/>
      </c>
      <c r="V89" s="323">
        <f t="shared" si="86"/>
      </c>
      <c r="W89" s="323">
        <f t="shared" si="86"/>
      </c>
      <c r="X89" s="323">
        <f t="shared" si="86"/>
      </c>
      <c r="Y89" s="323">
        <f t="shared" si="86"/>
      </c>
      <c r="Z89" s="323">
        <f t="shared" si="86"/>
      </c>
      <c r="AA89" s="323">
        <f t="shared" si="86"/>
      </c>
      <c r="AB89" s="323">
        <f t="shared" si="86"/>
      </c>
      <c r="AC89" s="323">
        <f t="shared" si="86"/>
      </c>
      <c r="AD89" s="323">
        <f t="shared" si="86"/>
      </c>
      <c r="AE89" s="323">
        <f t="shared" si="86"/>
      </c>
      <c r="AF89" s="323">
        <f t="shared" si="86"/>
      </c>
      <c r="AG89" s="323">
        <f t="shared" si="86"/>
      </c>
      <c r="AH89" s="323">
        <f t="shared" si="86"/>
      </c>
      <c r="AI89" s="323">
        <f t="shared" si="86"/>
      </c>
      <c r="AJ89" s="323">
        <f t="shared" si="86"/>
      </c>
      <c r="AK89" s="323">
        <f t="shared" si="86"/>
      </c>
      <c r="AL89" s="323">
        <f t="shared" si="86"/>
      </c>
      <c r="AM89" s="323">
        <f t="shared" si="86"/>
      </c>
      <c r="AN89" s="323">
        <f t="shared" si="86"/>
      </c>
      <c r="AO89" s="323">
        <f t="shared" si="86"/>
      </c>
      <c r="AP89" s="323">
        <f t="shared" si="86"/>
      </c>
      <c r="AQ89" s="324">
        <f t="shared" si="86"/>
      </c>
      <c r="AR89" s="316"/>
      <c r="AS89" s="843"/>
    </row>
    <row r="90" spans="1:45" ht="6.75" customHeight="1">
      <c r="A90" s="820"/>
      <c r="B90" s="821"/>
      <c r="C90" s="821"/>
      <c r="D90" s="821"/>
      <c r="E90" s="821"/>
      <c r="F90" s="821"/>
      <c r="G90" s="821"/>
      <c r="H90" s="821"/>
      <c r="I90" s="821"/>
      <c r="J90" s="821"/>
      <c r="K90" s="821"/>
      <c r="L90" s="821"/>
      <c r="M90" s="821"/>
      <c r="N90" s="821"/>
      <c r="O90" s="821"/>
      <c r="P90" s="821"/>
      <c r="Q90" s="821"/>
      <c r="R90" s="821"/>
      <c r="S90" s="821"/>
      <c r="T90" s="821"/>
      <c r="U90" s="821"/>
      <c r="V90" s="821"/>
      <c r="W90" s="821"/>
      <c r="X90" s="821"/>
      <c r="Y90" s="821"/>
      <c r="Z90" s="821"/>
      <c r="AA90" s="821"/>
      <c r="AB90" s="821"/>
      <c r="AC90" s="821"/>
      <c r="AD90" s="821"/>
      <c r="AE90" s="821"/>
      <c r="AF90" s="821"/>
      <c r="AG90" s="821"/>
      <c r="AH90" s="821"/>
      <c r="AI90" s="821"/>
      <c r="AJ90" s="821"/>
      <c r="AK90" s="821"/>
      <c r="AL90" s="821"/>
      <c r="AM90" s="821"/>
      <c r="AN90" s="821"/>
      <c r="AO90" s="821"/>
      <c r="AP90" s="821"/>
      <c r="AQ90" s="821"/>
      <c r="AR90" s="856"/>
      <c r="AS90" s="843"/>
    </row>
    <row r="91" spans="1:45" ht="15.75" customHeight="1">
      <c r="A91" s="818" t="s">
        <v>644</v>
      </c>
      <c r="B91" s="819"/>
      <c r="C91" s="819"/>
      <c r="D91" s="819"/>
      <c r="E91" s="819"/>
      <c r="F91" s="819"/>
      <c r="G91" s="819"/>
      <c r="H91" s="314"/>
      <c r="I91" s="323">
        <f aca="true" t="shared" si="87" ref="I91:N91">IF(ISERR(AW$17),"",AW$17)</f>
      </c>
      <c r="J91" s="323">
        <f t="shared" si="87"/>
      </c>
      <c r="K91" s="323">
        <f t="shared" si="87"/>
      </c>
      <c r="L91" s="323">
        <f t="shared" si="87"/>
      </c>
      <c r="M91" s="323">
        <f t="shared" si="87"/>
      </c>
      <c r="N91" s="323">
        <f t="shared" si="87"/>
      </c>
      <c r="O91" s="833"/>
      <c r="P91" s="834"/>
      <c r="Q91" s="834"/>
      <c r="R91" s="834"/>
      <c r="S91" s="834"/>
      <c r="T91" s="834"/>
      <c r="U91" s="834"/>
      <c r="V91" s="834"/>
      <c r="W91" s="834"/>
      <c r="X91" s="834"/>
      <c r="Y91" s="834"/>
      <c r="Z91" s="834"/>
      <c r="AA91" s="834"/>
      <c r="AB91" s="834"/>
      <c r="AC91" s="834"/>
      <c r="AD91" s="834"/>
      <c r="AE91" s="834"/>
      <c r="AF91" s="834"/>
      <c r="AG91" s="834"/>
      <c r="AH91" s="834"/>
      <c r="AI91" s="834"/>
      <c r="AJ91" s="834"/>
      <c r="AK91" s="834"/>
      <c r="AL91" s="834"/>
      <c r="AM91" s="834"/>
      <c r="AN91" s="834"/>
      <c r="AO91" s="834"/>
      <c r="AP91" s="834"/>
      <c r="AQ91" s="834"/>
      <c r="AR91" s="830"/>
      <c r="AS91" s="843"/>
    </row>
    <row r="92" spans="1:45" ht="6.75" customHeight="1">
      <c r="A92" s="822"/>
      <c r="B92" s="823"/>
      <c r="C92" s="823"/>
      <c r="D92" s="823"/>
      <c r="E92" s="823"/>
      <c r="F92" s="823"/>
      <c r="G92" s="823"/>
      <c r="H92" s="823"/>
      <c r="I92" s="823"/>
      <c r="J92" s="823"/>
      <c r="K92" s="823"/>
      <c r="L92" s="823"/>
      <c r="M92" s="823"/>
      <c r="N92" s="823"/>
      <c r="O92" s="823"/>
      <c r="P92" s="823"/>
      <c r="Q92" s="823"/>
      <c r="R92" s="823"/>
      <c r="S92" s="823"/>
      <c r="T92" s="823"/>
      <c r="U92" s="823"/>
      <c r="V92" s="823"/>
      <c r="W92" s="823"/>
      <c r="X92" s="823"/>
      <c r="Y92" s="823"/>
      <c r="Z92" s="823"/>
      <c r="AA92" s="823"/>
      <c r="AB92" s="823"/>
      <c r="AC92" s="823"/>
      <c r="AD92" s="823"/>
      <c r="AE92" s="823"/>
      <c r="AF92" s="823"/>
      <c r="AG92" s="823"/>
      <c r="AH92" s="823"/>
      <c r="AI92" s="823"/>
      <c r="AJ92" s="823"/>
      <c r="AK92" s="823"/>
      <c r="AL92" s="823"/>
      <c r="AM92" s="823"/>
      <c r="AN92" s="823"/>
      <c r="AO92" s="823"/>
      <c r="AP92" s="823"/>
      <c r="AQ92" s="823"/>
      <c r="AR92" s="859"/>
      <c r="AS92" s="843"/>
    </row>
    <row r="93" spans="1:45" ht="15.75" customHeight="1">
      <c r="A93" s="818" t="s">
        <v>701</v>
      </c>
      <c r="B93" s="819"/>
      <c r="C93" s="819"/>
      <c r="D93" s="819"/>
      <c r="E93" s="819"/>
      <c r="F93" s="819"/>
      <c r="G93" s="819"/>
      <c r="H93" s="314"/>
      <c r="I93" s="323">
        <f aca="true" t="shared" si="88" ref="I93:AQ93">IF(ISERR(AW$19),"",AW$19)</f>
      </c>
      <c r="J93" s="323">
        <f t="shared" si="88"/>
      </c>
      <c r="K93" s="323">
        <f t="shared" si="88"/>
      </c>
      <c r="L93" s="323">
        <f t="shared" si="88"/>
      </c>
      <c r="M93" s="323">
        <f t="shared" si="88"/>
      </c>
      <c r="N93" s="323">
        <f t="shared" si="88"/>
      </c>
      <c r="O93" s="323">
        <f t="shared" si="88"/>
      </c>
      <c r="P93" s="323">
        <f t="shared" si="88"/>
      </c>
      <c r="Q93" s="323">
        <f t="shared" si="88"/>
      </c>
      <c r="R93" s="323">
        <f t="shared" si="88"/>
      </c>
      <c r="S93" s="323">
        <f t="shared" si="88"/>
      </c>
      <c r="T93" s="323">
        <f t="shared" si="88"/>
      </c>
      <c r="U93" s="323">
        <f t="shared" si="88"/>
      </c>
      <c r="V93" s="323">
        <f t="shared" si="88"/>
      </c>
      <c r="W93" s="323">
        <f t="shared" si="88"/>
      </c>
      <c r="X93" s="323">
        <f t="shared" si="88"/>
      </c>
      <c r="Y93" s="323">
        <f t="shared" si="88"/>
      </c>
      <c r="Z93" s="323">
        <f t="shared" si="88"/>
      </c>
      <c r="AA93" s="323">
        <f t="shared" si="88"/>
      </c>
      <c r="AB93" s="323">
        <f t="shared" si="88"/>
      </c>
      <c r="AC93" s="323">
        <f t="shared" si="88"/>
      </c>
      <c r="AD93" s="323">
        <f t="shared" si="88"/>
      </c>
      <c r="AE93" s="323">
        <f t="shared" si="88"/>
      </c>
      <c r="AF93" s="323">
        <f t="shared" si="88"/>
      </c>
      <c r="AG93" s="323">
        <f t="shared" si="88"/>
      </c>
      <c r="AH93" s="323">
        <f t="shared" si="88"/>
      </c>
      <c r="AI93" s="323">
        <f t="shared" si="88"/>
      </c>
      <c r="AJ93" s="323">
        <f t="shared" si="88"/>
      </c>
      <c r="AK93" s="323">
        <f t="shared" si="88"/>
      </c>
      <c r="AL93" s="323">
        <f t="shared" si="88"/>
      </c>
      <c r="AM93" s="323">
        <f t="shared" si="88"/>
      </c>
      <c r="AN93" s="323">
        <f t="shared" si="88"/>
      </c>
      <c r="AO93" s="323">
        <f t="shared" si="88"/>
      </c>
      <c r="AP93" s="323">
        <f t="shared" si="88"/>
      </c>
      <c r="AQ93" s="324">
        <f t="shared" si="88"/>
      </c>
      <c r="AR93" s="316"/>
      <c r="AS93" s="843"/>
    </row>
    <row r="94" spans="1:45" ht="6.75" customHeight="1">
      <c r="A94" s="822"/>
      <c r="B94" s="823"/>
      <c r="C94" s="823"/>
      <c r="D94" s="823"/>
      <c r="E94" s="823"/>
      <c r="F94" s="823"/>
      <c r="G94" s="823"/>
      <c r="H94" s="823"/>
      <c r="I94" s="823"/>
      <c r="J94" s="823"/>
      <c r="K94" s="823"/>
      <c r="L94" s="823"/>
      <c r="M94" s="823"/>
      <c r="N94" s="823"/>
      <c r="O94" s="823"/>
      <c r="P94" s="823"/>
      <c r="Q94" s="823"/>
      <c r="R94" s="823"/>
      <c r="S94" s="823"/>
      <c r="T94" s="823"/>
      <c r="U94" s="823"/>
      <c r="V94" s="823"/>
      <c r="W94" s="823"/>
      <c r="X94" s="823"/>
      <c r="Y94" s="823"/>
      <c r="Z94" s="823"/>
      <c r="AA94" s="823"/>
      <c r="AB94" s="823"/>
      <c r="AC94" s="823"/>
      <c r="AD94" s="823"/>
      <c r="AE94" s="823"/>
      <c r="AF94" s="823"/>
      <c r="AG94" s="823"/>
      <c r="AH94" s="823"/>
      <c r="AI94" s="823"/>
      <c r="AJ94" s="823"/>
      <c r="AK94" s="823"/>
      <c r="AL94" s="823"/>
      <c r="AM94" s="823"/>
      <c r="AN94" s="823"/>
      <c r="AO94" s="823"/>
      <c r="AP94" s="823"/>
      <c r="AQ94" s="823"/>
      <c r="AR94" s="859"/>
      <c r="AS94" s="843"/>
    </row>
    <row r="95" spans="1:45" ht="15.75" customHeight="1">
      <c r="A95" s="818" t="s">
        <v>703</v>
      </c>
      <c r="B95" s="819"/>
      <c r="C95" s="819"/>
      <c r="D95" s="819"/>
      <c r="E95" s="819"/>
      <c r="F95" s="819"/>
      <c r="G95" s="819"/>
      <c r="H95" s="314"/>
      <c r="I95" s="323">
        <f aca="true" t="shared" si="89" ref="I95:AL95">IF(ISERR(AW$21),"",AW$21)</f>
      </c>
      <c r="J95" s="323">
        <f t="shared" si="89"/>
      </c>
      <c r="K95" s="323">
        <f t="shared" si="89"/>
      </c>
      <c r="L95" s="323">
        <f t="shared" si="89"/>
      </c>
      <c r="M95" s="323">
        <f t="shared" si="89"/>
      </c>
      <c r="N95" s="323">
        <f t="shared" si="89"/>
      </c>
      <c r="O95" s="323">
        <f t="shared" si="89"/>
      </c>
      <c r="P95" s="323">
        <f t="shared" si="89"/>
      </c>
      <c r="Q95" s="323">
        <f t="shared" si="89"/>
      </c>
      <c r="R95" s="323">
        <f t="shared" si="89"/>
      </c>
      <c r="S95" s="323">
        <f t="shared" si="89"/>
      </c>
      <c r="T95" s="323">
        <f t="shared" si="89"/>
      </c>
      <c r="U95" s="323">
        <f t="shared" si="89"/>
      </c>
      <c r="V95" s="323">
        <f t="shared" si="89"/>
      </c>
      <c r="W95" s="323">
        <f t="shared" si="89"/>
      </c>
      <c r="X95" s="323">
        <f t="shared" si="89"/>
      </c>
      <c r="Y95" s="323">
        <f t="shared" si="89"/>
      </c>
      <c r="Z95" s="323">
        <f t="shared" si="89"/>
      </c>
      <c r="AA95" s="323">
        <f t="shared" si="89"/>
      </c>
      <c r="AB95" s="323">
        <f t="shared" si="89"/>
      </c>
      <c r="AC95" s="323">
        <f t="shared" si="89"/>
      </c>
      <c r="AD95" s="323">
        <f t="shared" si="89"/>
      </c>
      <c r="AE95" s="323">
        <f t="shared" si="89"/>
      </c>
      <c r="AF95" s="323">
        <f t="shared" si="89"/>
      </c>
      <c r="AG95" s="323">
        <f t="shared" si="89"/>
      </c>
      <c r="AH95" s="323">
        <f t="shared" si="89"/>
      </c>
      <c r="AI95" s="323">
        <f t="shared" si="89"/>
      </c>
      <c r="AJ95" s="323">
        <f t="shared" si="89"/>
      </c>
      <c r="AK95" s="323">
        <f t="shared" si="89"/>
      </c>
      <c r="AL95" s="324">
        <f t="shared" si="89"/>
      </c>
      <c r="AM95" s="834"/>
      <c r="AN95" s="834"/>
      <c r="AO95" s="834"/>
      <c r="AP95" s="834"/>
      <c r="AQ95" s="834"/>
      <c r="AR95" s="830"/>
      <c r="AS95" s="843"/>
    </row>
    <row r="96" spans="1:45" ht="6.75" customHeight="1">
      <c r="A96" s="822"/>
      <c r="B96" s="823"/>
      <c r="C96" s="823"/>
      <c r="D96" s="823"/>
      <c r="E96" s="823"/>
      <c r="F96" s="823"/>
      <c r="G96" s="823"/>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3"/>
      <c r="AL96" s="823"/>
      <c r="AM96" s="823"/>
      <c r="AN96" s="823"/>
      <c r="AO96" s="823"/>
      <c r="AP96" s="823"/>
      <c r="AQ96" s="823"/>
      <c r="AR96" s="859"/>
      <c r="AS96" s="843"/>
    </row>
    <row r="97" spans="1:45" ht="15.75" customHeight="1">
      <c r="A97" s="818" t="s">
        <v>723</v>
      </c>
      <c r="B97" s="819"/>
      <c r="C97" s="819"/>
      <c r="D97" s="819"/>
      <c r="E97" s="819"/>
      <c r="F97" s="819"/>
      <c r="G97" s="819"/>
      <c r="H97" s="314"/>
      <c r="I97" s="323">
        <f aca="true" t="shared" si="90" ref="I97:AL97">IF(ISERR(AW$23),"",AW$23)</f>
      </c>
      <c r="J97" s="323">
        <f t="shared" si="90"/>
      </c>
      <c r="K97" s="323">
        <f t="shared" si="90"/>
      </c>
      <c r="L97" s="323">
        <f t="shared" si="90"/>
      </c>
      <c r="M97" s="323">
        <f t="shared" si="90"/>
      </c>
      <c r="N97" s="323">
        <f t="shared" si="90"/>
      </c>
      <c r="O97" s="323">
        <f t="shared" si="90"/>
      </c>
      <c r="P97" s="323">
        <f t="shared" si="90"/>
      </c>
      <c r="Q97" s="323">
        <f t="shared" si="90"/>
      </c>
      <c r="R97" s="323">
        <f t="shared" si="90"/>
      </c>
      <c r="S97" s="323">
        <f t="shared" si="90"/>
      </c>
      <c r="T97" s="323">
        <f t="shared" si="90"/>
      </c>
      <c r="U97" s="323">
        <f t="shared" si="90"/>
      </c>
      <c r="V97" s="323">
        <f t="shared" si="90"/>
      </c>
      <c r="W97" s="323">
        <f t="shared" si="90"/>
      </c>
      <c r="X97" s="323">
        <f t="shared" si="90"/>
      </c>
      <c r="Y97" s="323">
        <f t="shared" si="90"/>
      </c>
      <c r="Z97" s="323">
        <f t="shared" si="90"/>
      </c>
      <c r="AA97" s="323">
        <f t="shared" si="90"/>
      </c>
      <c r="AB97" s="323">
        <f t="shared" si="90"/>
      </c>
      <c r="AC97" s="323">
        <f t="shared" si="90"/>
      </c>
      <c r="AD97" s="323">
        <f t="shared" si="90"/>
      </c>
      <c r="AE97" s="323">
        <f t="shared" si="90"/>
      </c>
      <c r="AF97" s="323">
        <f t="shared" si="90"/>
      </c>
      <c r="AG97" s="323">
        <f t="shared" si="90"/>
      </c>
      <c r="AH97" s="323">
        <f t="shared" si="90"/>
      </c>
      <c r="AI97" s="323">
        <f t="shared" si="90"/>
      </c>
      <c r="AJ97" s="323">
        <f t="shared" si="90"/>
      </c>
      <c r="AK97" s="323">
        <f t="shared" si="90"/>
      </c>
      <c r="AL97" s="324">
        <f t="shared" si="90"/>
      </c>
      <c r="AM97" s="834"/>
      <c r="AN97" s="834"/>
      <c r="AO97" s="834"/>
      <c r="AP97" s="834"/>
      <c r="AQ97" s="834"/>
      <c r="AR97" s="830"/>
      <c r="AS97" s="843"/>
    </row>
    <row r="98" spans="1:45" ht="6.75" customHeight="1">
      <c r="A98" s="822"/>
      <c r="B98" s="823"/>
      <c r="C98" s="823"/>
      <c r="D98" s="823"/>
      <c r="E98" s="823"/>
      <c r="F98" s="823"/>
      <c r="G98" s="823"/>
      <c r="H98" s="823"/>
      <c r="I98" s="823"/>
      <c r="J98" s="823"/>
      <c r="K98" s="823"/>
      <c r="L98" s="823"/>
      <c r="M98" s="823"/>
      <c r="N98" s="823"/>
      <c r="O98" s="823"/>
      <c r="P98" s="823"/>
      <c r="Q98" s="823"/>
      <c r="R98" s="823"/>
      <c r="S98" s="823"/>
      <c r="T98" s="823"/>
      <c r="U98" s="823"/>
      <c r="V98" s="823"/>
      <c r="W98" s="823"/>
      <c r="X98" s="823"/>
      <c r="Y98" s="823"/>
      <c r="Z98" s="823"/>
      <c r="AA98" s="823"/>
      <c r="AB98" s="823"/>
      <c r="AC98" s="823"/>
      <c r="AD98" s="823"/>
      <c r="AE98" s="823"/>
      <c r="AF98" s="823"/>
      <c r="AG98" s="823"/>
      <c r="AH98" s="823"/>
      <c r="AI98" s="823"/>
      <c r="AJ98" s="823"/>
      <c r="AK98" s="823"/>
      <c r="AL98" s="823"/>
      <c r="AM98" s="823"/>
      <c r="AN98" s="823"/>
      <c r="AO98" s="823"/>
      <c r="AP98" s="823"/>
      <c r="AQ98" s="823"/>
      <c r="AR98" s="859"/>
      <c r="AS98" s="843"/>
    </row>
    <row r="99" spans="1:45" ht="15" customHeight="1">
      <c r="A99" s="818" t="s">
        <v>702</v>
      </c>
      <c r="B99" s="819"/>
      <c r="C99" s="819"/>
      <c r="D99" s="819"/>
      <c r="E99" s="819"/>
      <c r="F99" s="819"/>
      <c r="G99" s="819"/>
      <c r="H99" s="315"/>
      <c r="I99" s="318">
        <f aca="true" t="shared" si="91" ref="I99:AQ99">IF(ISERR(AW$25),"",AW$25)</f>
      </c>
      <c r="J99" s="318">
        <f t="shared" si="91"/>
      </c>
      <c r="K99" s="318">
        <f t="shared" si="91"/>
      </c>
      <c r="L99" s="318">
        <f t="shared" si="91"/>
      </c>
      <c r="M99" s="318">
        <f t="shared" si="91"/>
      </c>
      <c r="N99" s="318">
        <f t="shared" si="91"/>
      </c>
      <c r="O99" s="318">
        <f t="shared" si="91"/>
      </c>
      <c r="P99" s="318">
        <f t="shared" si="91"/>
      </c>
      <c r="Q99" s="318">
        <f t="shared" si="91"/>
      </c>
      <c r="R99" s="318">
        <f t="shared" si="91"/>
      </c>
      <c r="S99" s="318">
        <f t="shared" si="91"/>
      </c>
      <c r="T99" s="318">
        <f t="shared" si="91"/>
      </c>
      <c r="U99" s="318">
        <f t="shared" si="91"/>
      </c>
      <c r="V99" s="318">
        <f t="shared" si="91"/>
      </c>
      <c r="W99" s="318">
        <f t="shared" si="91"/>
      </c>
      <c r="X99" s="318">
        <f t="shared" si="91"/>
      </c>
      <c r="Y99" s="318">
        <f t="shared" si="91"/>
      </c>
      <c r="Z99" s="318">
        <f t="shared" si="91"/>
      </c>
      <c r="AA99" s="318">
        <f t="shared" si="91"/>
      </c>
      <c r="AB99" s="318">
        <f t="shared" si="91"/>
      </c>
      <c r="AC99" s="318">
        <f t="shared" si="91"/>
      </c>
      <c r="AD99" s="318">
        <f t="shared" si="91"/>
      </c>
      <c r="AE99" s="318">
        <f t="shared" si="91"/>
      </c>
      <c r="AF99" s="318">
        <f t="shared" si="91"/>
      </c>
      <c r="AG99" s="318">
        <f t="shared" si="91"/>
      </c>
      <c r="AH99" s="318">
        <f t="shared" si="91"/>
      </c>
      <c r="AI99" s="318">
        <f t="shared" si="91"/>
      </c>
      <c r="AJ99" s="318">
        <f t="shared" si="91"/>
      </c>
      <c r="AK99" s="318">
        <f t="shared" si="91"/>
      </c>
      <c r="AL99" s="318">
        <f t="shared" si="91"/>
      </c>
      <c r="AM99" s="318">
        <f t="shared" si="91"/>
      </c>
      <c r="AN99" s="318">
        <f t="shared" si="91"/>
      </c>
      <c r="AO99" s="318">
        <f t="shared" si="91"/>
      </c>
      <c r="AP99" s="318">
        <f t="shared" si="91"/>
      </c>
      <c r="AQ99" s="318">
        <f t="shared" si="91"/>
      </c>
      <c r="AR99" s="317"/>
      <c r="AS99" s="843"/>
    </row>
    <row r="100" spans="1:45" ht="6.75" customHeight="1">
      <c r="A100" s="822"/>
      <c r="B100" s="823"/>
      <c r="C100" s="823"/>
      <c r="D100" s="823"/>
      <c r="E100" s="823"/>
      <c r="F100" s="823"/>
      <c r="G100" s="823"/>
      <c r="H100" s="823"/>
      <c r="I100" s="823"/>
      <c r="J100" s="823"/>
      <c r="K100" s="823"/>
      <c r="L100" s="823"/>
      <c r="M100" s="823"/>
      <c r="N100" s="823"/>
      <c r="O100" s="823"/>
      <c r="P100" s="823"/>
      <c r="Q100" s="823"/>
      <c r="R100" s="823"/>
      <c r="S100" s="823"/>
      <c r="T100" s="823"/>
      <c r="U100" s="823"/>
      <c r="V100" s="823"/>
      <c r="W100" s="823"/>
      <c r="X100" s="823"/>
      <c r="Y100" s="823"/>
      <c r="Z100" s="823"/>
      <c r="AA100" s="823"/>
      <c r="AB100" s="823"/>
      <c r="AC100" s="823"/>
      <c r="AD100" s="823"/>
      <c r="AE100" s="823"/>
      <c r="AF100" s="823"/>
      <c r="AG100" s="823"/>
      <c r="AH100" s="823"/>
      <c r="AI100" s="823"/>
      <c r="AJ100" s="823"/>
      <c r="AK100" s="823"/>
      <c r="AL100" s="823"/>
      <c r="AM100" s="823"/>
      <c r="AN100" s="823"/>
      <c r="AO100" s="823"/>
      <c r="AP100" s="823"/>
      <c r="AQ100" s="823"/>
      <c r="AR100" s="859"/>
      <c r="AS100" s="843"/>
    </row>
    <row r="101" spans="1:45" ht="15.75" customHeight="1">
      <c r="A101" s="870" t="s">
        <v>645</v>
      </c>
      <c r="B101" s="547"/>
      <c r="C101" s="547"/>
      <c r="D101" s="547"/>
      <c r="E101" s="547"/>
      <c r="F101" s="547"/>
      <c r="G101" s="547"/>
      <c r="H101" s="314"/>
      <c r="I101" s="323">
        <f aca="true" t="shared" si="92" ref="I101:W101">IF(ISERR(AW$27),"",AW$27)</f>
      </c>
      <c r="J101" s="323">
        <f t="shared" si="92"/>
      </c>
      <c r="K101" s="323">
        <f t="shared" si="92"/>
      </c>
      <c r="L101" s="323">
        <f t="shared" si="92"/>
      </c>
      <c r="M101" s="323">
        <f t="shared" si="92"/>
      </c>
      <c r="N101" s="323">
        <f t="shared" si="92"/>
      </c>
      <c r="O101" s="323">
        <f t="shared" si="92"/>
      </c>
      <c r="P101" s="323">
        <f t="shared" si="92"/>
      </c>
      <c r="Q101" s="323">
        <f t="shared" si="92"/>
      </c>
      <c r="R101" s="323">
        <f t="shared" si="92"/>
      </c>
      <c r="S101" s="323">
        <f t="shared" si="92"/>
      </c>
      <c r="T101" s="323">
        <f t="shared" si="92"/>
      </c>
      <c r="U101" s="323">
        <f t="shared" si="92"/>
      </c>
      <c r="V101" s="323">
        <f t="shared" si="92"/>
      </c>
      <c r="W101" s="323">
        <f t="shared" si="92"/>
      </c>
      <c r="X101" s="833"/>
      <c r="Y101" s="834"/>
      <c r="Z101" s="834"/>
      <c r="AA101" s="834"/>
      <c r="AB101" s="834"/>
      <c r="AC101" s="834"/>
      <c r="AD101" s="834"/>
      <c r="AE101" s="834"/>
      <c r="AF101" s="834"/>
      <c r="AG101" s="834"/>
      <c r="AH101" s="834"/>
      <c r="AI101" s="834"/>
      <c r="AJ101" s="834"/>
      <c r="AK101" s="834"/>
      <c r="AL101" s="834"/>
      <c r="AM101" s="834"/>
      <c r="AN101" s="834"/>
      <c r="AO101" s="834"/>
      <c r="AP101" s="834"/>
      <c r="AQ101" s="834"/>
      <c r="AR101" s="830"/>
      <c r="AS101" s="843"/>
    </row>
    <row r="102" spans="1:45" ht="6.75" customHeight="1" thickBot="1">
      <c r="A102" s="831"/>
      <c r="B102" s="832"/>
      <c r="C102" s="832"/>
      <c r="D102" s="832"/>
      <c r="E102" s="832"/>
      <c r="F102" s="832"/>
      <c r="G102" s="832"/>
      <c r="H102" s="832"/>
      <c r="I102" s="832"/>
      <c r="J102" s="832"/>
      <c r="K102" s="832"/>
      <c r="L102" s="832"/>
      <c r="M102" s="832"/>
      <c r="N102" s="832"/>
      <c r="O102" s="832"/>
      <c r="P102" s="832"/>
      <c r="Q102" s="832"/>
      <c r="R102" s="832"/>
      <c r="S102" s="832"/>
      <c r="T102" s="832"/>
      <c r="U102" s="832"/>
      <c r="V102" s="832"/>
      <c r="W102" s="832"/>
      <c r="X102" s="832"/>
      <c r="Y102" s="832"/>
      <c r="Z102" s="832"/>
      <c r="AA102" s="832"/>
      <c r="AB102" s="832"/>
      <c r="AC102" s="832"/>
      <c r="AD102" s="832"/>
      <c r="AE102" s="832"/>
      <c r="AF102" s="832"/>
      <c r="AG102" s="832"/>
      <c r="AH102" s="832"/>
      <c r="AI102" s="832"/>
      <c r="AJ102" s="832"/>
      <c r="AK102" s="832"/>
      <c r="AL102" s="832"/>
      <c r="AM102" s="832"/>
      <c r="AN102" s="832"/>
      <c r="AO102" s="832"/>
      <c r="AP102" s="832"/>
      <c r="AQ102" s="832"/>
      <c r="AR102" s="860"/>
      <c r="AS102" s="843"/>
    </row>
    <row r="103" spans="1:45" ht="40.5" customHeight="1" thickBot="1" thickTop="1">
      <c r="A103" s="827"/>
      <c r="B103" s="827"/>
      <c r="C103" s="827"/>
      <c r="D103" s="827"/>
      <c r="E103" s="827"/>
      <c r="F103" s="827"/>
      <c r="G103" s="827"/>
      <c r="H103" s="827"/>
      <c r="I103" s="827"/>
      <c r="J103" s="827"/>
      <c r="K103" s="827"/>
      <c r="L103" s="827"/>
      <c r="M103" s="827"/>
      <c r="N103" s="827"/>
      <c r="O103" s="827"/>
      <c r="P103" s="827"/>
      <c r="Q103" s="827"/>
      <c r="R103" s="827"/>
      <c r="S103" s="827"/>
      <c r="T103" s="827"/>
      <c r="U103" s="827"/>
      <c r="V103" s="827"/>
      <c r="W103" s="827"/>
      <c r="X103" s="827"/>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43"/>
    </row>
    <row r="104" spans="1:45" ht="6.75" customHeight="1" thickTop="1">
      <c r="A104" s="828"/>
      <c r="B104" s="829"/>
      <c r="C104" s="829"/>
      <c r="D104" s="829"/>
      <c r="E104" s="829"/>
      <c r="F104" s="829"/>
      <c r="G104" s="829"/>
      <c r="H104" s="829"/>
      <c r="I104" s="829"/>
      <c r="J104" s="829"/>
      <c r="K104" s="829"/>
      <c r="L104" s="829"/>
      <c r="M104" s="829"/>
      <c r="N104" s="829"/>
      <c r="O104" s="829"/>
      <c r="P104" s="829"/>
      <c r="Q104" s="829"/>
      <c r="R104" s="829"/>
      <c r="S104" s="829"/>
      <c r="T104" s="829"/>
      <c r="U104" s="829"/>
      <c r="V104" s="829"/>
      <c r="W104" s="829"/>
      <c r="X104" s="829"/>
      <c r="Y104" s="829"/>
      <c r="Z104" s="829"/>
      <c r="AA104" s="829"/>
      <c r="AB104" s="829"/>
      <c r="AC104" s="829"/>
      <c r="AD104" s="829"/>
      <c r="AE104" s="829"/>
      <c r="AF104" s="829"/>
      <c r="AG104" s="829"/>
      <c r="AH104" s="829"/>
      <c r="AI104" s="829"/>
      <c r="AJ104" s="829"/>
      <c r="AK104" s="829"/>
      <c r="AL104" s="829"/>
      <c r="AM104" s="829"/>
      <c r="AN104" s="829"/>
      <c r="AO104" s="829"/>
      <c r="AP104" s="829"/>
      <c r="AQ104" s="829"/>
      <c r="AR104" s="861"/>
      <c r="AS104" s="843"/>
    </row>
    <row r="105" spans="1:45" ht="17.25" customHeight="1">
      <c r="A105" s="841" t="s">
        <v>646</v>
      </c>
      <c r="B105" s="842"/>
      <c r="C105" s="842"/>
      <c r="D105" s="842"/>
      <c r="E105" s="842"/>
      <c r="F105" s="842"/>
      <c r="G105" s="842"/>
      <c r="H105" s="842"/>
      <c r="I105" s="842"/>
      <c r="J105" s="842"/>
      <c r="K105" s="842"/>
      <c r="L105" s="842"/>
      <c r="M105" s="842"/>
      <c r="N105" s="842"/>
      <c r="O105" s="842"/>
      <c r="P105" s="842"/>
      <c r="Q105" s="842"/>
      <c r="R105" s="842"/>
      <c r="S105" s="842"/>
      <c r="T105" s="842"/>
      <c r="U105" s="842"/>
      <c r="V105" s="842"/>
      <c r="W105" s="842"/>
      <c r="X105" s="842"/>
      <c r="Y105" s="842"/>
      <c r="Z105" s="842"/>
      <c r="AA105" s="842"/>
      <c r="AB105" s="842"/>
      <c r="AC105" s="842"/>
      <c r="AD105" s="842"/>
      <c r="AE105" s="842"/>
      <c r="AF105" s="842"/>
      <c r="AG105" s="842"/>
      <c r="AH105" s="842"/>
      <c r="AI105" s="842"/>
      <c r="AJ105" s="842"/>
      <c r="AK105" s="842"/>
      <c r="AL105" s="842"/>
      <c r="AM105" s="842"/>
      <c r="AN105" s="842"/>
      <c r="AO105" s="842"/>
      <c r="AP105" s="842"/>
      <c r="AQ105" s="842"/>
      <c r="AR105" s="855"/>
      <c r="AS105" s="843"/>
    </row>
    <row r="106" spans="1:45" ht="6.75" customHeight="1">
      <c r="A106" s="822"/>
      <c r="B106" s="823"/>
      <c r="C106" s="823"/>
      <c r="D106" s="823"/>
      <c r="E106" s="823"/>
      <c r="F106" s="823"/>
      <c r="G106" s="823"/>
      <c r="H106" s="823"/>
      <c r="I106" s="823"/>
      <c r="J106" s="823"/>
      <c r="K106" s="823"/>
      <c r="L106" s="823"/>
      <c r="M106" s="823"/>
      <c r="N106" s="823"/>
      <c r="O106" s="823"/>
      <c r="P106" s="823"/>
      <c r="Q106" s="823"/>
      <c r="R106" s="823"/>
      <c r="S106" s="823"/>
      <c r="T106" s="823"/>
      <c r="U106" s="823"/>
      <c r="V106" s="823"/>
      <c r="W106" s="823"/>
      <c r="X106" s="823"/>
      <c r="Y106" s="823"/>
      <c r="Z106" s="823"/>
      <c r="AA106" s="823"/>
      <c r="AB106" s="823"/>
      <c r="AC106" s="823"/>
      <c r="AD106" s="823"/>
      <c r="AE106" s="823"/>
      <c r="AF106" s="823"/>
      <c r="AG106" s="823"/>
      <c r="AH106" s="823"/>
      <c r="AI106" s="823"/>
      <c r="AJ106" s="823"/>
      <c r="AK106" s="823"/>
      <c r="AL106" s="823"/>
      <c r="AM106" s="823"/>
      <c r="AN106" s="823"/>
      <c r="AO106" s="823"/>
      <c r="AP106" s="823"/>
      <c r="AQ106" s="823"/>
      <c r="AR106" s="859"/>
      <c r="AS106" s="843"/>
    </row>
    <row r="107" spans="1:45" ht="15.75" customHeight="1">
      <c r="A107" s="818" t="str">
        <f>A81</f>
        <v>NAMN</v>
      </c>
      <c r="B107" s="819"/>
      <c r="C107" s="819"/>
      <c r="D107" s="819"/>
      <c r="E107" s="819"/>
      <c r="F107" s="819"/>
      <c r="G107" s="819"/>
      <c r="H107" s="314"/>
      <c r="I107" s="323">
        <f aca="true" t="shared" si="93" ref="I107:AQ107">IF(ISERR(AW$33),"",AW$33)</f>
      </c>
      <c r="J107" s="323">
        <f t="shared" si="93"/>
      </c>
      <c r="K107" s="323">
        <f t="shared" si="93"/>
      </c>
      <c r="L107" s="323">
        <f t="shared" si="93"/>
      </c>
      <c r="M107" s="323">
        <f t="shared" si="93"/>
      </c>
      <c r="N107" s="323">
        <f t="shared" si="93"/>
      </c>
      <c r="O107" s="323">
        <f t="shared" si="93"/>
      </c>
      <c r="P107" s="323">
        <f t="shared" si="93"/>
      </c>
      <c r="Q107" s="323">
        <f t="shared" si="93"/>
      </c>
      <c r="R107" s="323">
        <f t="shared" si="93"/>
      </c>
      <c r="S107" s="323">
        <f t="shared" si="93"/>
      </c>
      <c r="T107" s="323">
        <f t="shared" si="93"/>
      </c>
      <c r="U107" s="323">
        <f t="shared" si="93"/>
      </c>
      <c r="V107" s="323">
        <f t="shared" si="93"/>
      </c>
      <c r="W107" s="323">
        <f t="shared" si="93"/>
      </c>
      <c r="X107" s="323">
        <f t="shared" si="93"/>
      </c>
      <c r="Y107" s="323">
        <f t="shared" si="93"/>
      </c>
      <c r="Z107" s="323">
        <f t="shared" si="93"/>
      </c>
      <c r="AA107" s="323">
        <f t="shared" si="93"/>
      </c>
      <c r="AB107" s="323">
        <f t="shared" si="93"/>
      </c>
      <c r="AC107" s="323">
        <f t="shared" si="93"/>
      </c>
      <c r="AD107" s="323">
        <f t="shared" si="93"/>
      </c>
      <c r="AE107" s="323">
        <f t="shared" si="93"/>
      </c>
      <c r="AF107" s="323">
        <f t="shared" si="93"/>
      </c>
      <c r="AG107" s="323">
        <f t="shared" si="93"/>
      </c>
      <c r="AH107" s="323">
        <f t="shared" si="93"/>
      </c>
      <c r="AI107" s="323">
        <f t="shared" si="93"/>
      </c>
      <c r="AJ107" s="323">
        <f t="shared" si="93"/>
      </c>
      <c r="AK107" s="323">
        <f t="shared" si="93"/>
      </c>
      <c r="AL107" s="323">
        <f t="shared" si="93"/>
      </c>
      <c r="AM107" s="323">
        <f t="shared" si="93"/>
      </c>
      <c r="AN107" s="323">
        <f t="shared" si="93"/>
      </c>
      <c r="AO107" s="323">
        <f t="shared" si="93"/>
      </c>
      <c r="AP107" s="323">
        <f t="shared" si="93"/>
      </c>
      <c r="AQ107" s="324">
        <f t="shared" si="93"/>
      </c>
      <c r="AR107" s="316"/>
      <c r="AS107" s="843"/>
    </row>
    <row r="108" spans="1:45" ht="6.75" customHeight="1">
      <c r="A108" s="822"/>
      <c r="B108" s="823"/>
      <c r="C108" s="823"/>
      <c r="D108" s="823"/>
      <c r="E108" s="823"/>
      <c r="F108" s="823"/>
      <c r="G108" s="823"/>
      <c r="H108" s="823"/>
      <c r="I108" s="823"/>
      <c r="J108" s="823"/>
      <c r="K108" s="823"/>
      <c r="L108" s="823"/>
      <c r="M108" s="823"/>
      <c r="N108" s="823"/>
      <c r="O108" s="823"/>
      <c r="P108" s="823"/>
      <c r="Q108" s="823"/>
      <c r="R108" s="823"/>
      <c r="S108" s="823"/>
      <c r="T108" s="823"/>
      <c r="U108" s="823"/>
      <c r="V108" s="823"/>
      <c r="W108" s="823"/>
      <c r="X108" s="823"/>
      <c r="Y108" s="823"/>
      <c r="Z108" s="823"/>
      <c r="AA108" s="823"/>
      <c r="AB108" s="823"/>
      <c r="AC108" s="823"/>
      <c r="AD108" s="823"/>
      <c r="AE108" s="823"/>
      <c r="AF108" s="823"/>
      <c r="AG108" s="823"/>
      <c r="AH108" s="823"/>
      <c r="AI108" s="823"/>
      <c r="AJ108" s="823"/>
      <c r="AK108" s="823"/>
      <c r="AL108" s="823"/>
      <c r="AM108" s="823"/>
      <c r="AN108" s="823"/>
      <c r="AO108" s="823"/>
      <c r="AP108" s="823"/>
      <c r="AQ108" s="823"/>
      <c r="AR108" s="859"/>
      <c r="AS108" s="843"/>
    </row>
    <row r="109" spans="1:45" ht="15.75" customHeight="1">
      <c r="A109" s="826"/>
      <c r="B109" s="456"/>
      <c r="C109" s="456"/>
      <c r="D109" s="456"/>
      <c r="E109" s="456"/>
      <c r="F109" s="456"/>
      <c r="G109" s="456"/>
      <c r="H109" s="839"/>
      <c r="I109" s="323">
        <f aca="true" t="shared" si="94" ref="I109:AQ109">IF(ISERR(CF$33),"",CF$33)</f>
      </c>
      <c r="J109" s="323">
        <f t="shared" si="94"/>
      </c>
      <c r="K109" s="323">
        <f t="shared" si="94"/>
      </c>
      <c r="L109" s="323">
        <f t="shared" si="94"/>
      </c>
      <c r="M109" s="323">
        <f t="shared" si="94"/>
      </c>
      <c r="N109" s="323">
        <f t="shared" si="94"/>
      </c>
      <c r="O109" s="323">
        <f t="shared" si="94"/>
      </c>
      <c r="P109" s="323">
        <f t="shared" si="94"/>
      </c>
      <c r="Q109" s="323">
        <f t="shared" si="94"/>
      </c>
      <c r="R109" s="323">
        <f t="shared" si="94"/>
      </c>
      <c r="S109" s="323">
        <f t="shared" si="94"/>
      </c>
      <c r="T109" s="323">
        <f t="shared" si="94"/>
      </c>
      <c r="U109" s="323">
        <f t="shared" si="94"/>
      </c>
      <c r="V109" s="323">
        <f t="shared" si="94"/>
      </c>
      <c r="W109" s="323">
        <f t="shared" si="94"/>
      </c>
      <c r="X109" s="323">
        <f t="shared" si="94"/>
      </c>
      <c r="Y109" s="323">
        <f t="shared" si="94"/>
      </c>
      <c r="Z109" s="323">
        <f t="shared" si="94"/>
      </c>
      <c r="AA109" s="323">
        <f t="shared" si="94"/>
      </c>
      <c r="AB109" s="323">
        <f t="shared" si="94"/>
      </c>
      <c r="AC109" s="323">
        <f t="shared" si="94"/>
      </c>
      <c r="AD109" s="323">
        <f t="shared" si="94"/>
      </c>
      <c r="AE109" s="323">
        <f t="shared" si="94"/>
      </c>
      <c r="AF109" s="323">
        <f t="shared" si="94"/>
      </c>
      <c r="AG109" s="323">
        <f t="shared" si="94"/>
      </c>
      <c r="AH109" s="323">
        <f t="shared" si="94"/>
      </c>
      <c r="AI109" s="323">
        <f t="shared" si="94"/>
      </c>
      <c r="AJ109" s="323">
        <f t="shared" si="94"/>
      </c>
      <c r="AK109" s="323">
        <f t="shared" si="94"/>
      </c>
      <c r="AL109" s="323">
        <f t="shared" si="94"/>
      </c>
      <c r="AM109" s="323">
        <f t="shared" si="94"/>
      </c>
      <c r="AN109" s="323">
        <f t="shared" si="94"/>
      </c>
      <c r="AO109" s="323">
        <f t="shared" si="94"/>
      </c>
      <c r="AP109" s="323">
        <f t="shared" si="94"/>
      </c>
      <c r="AQ109" s="324">
        <f t="shared" si="94"/>
      </c>
      <c r="AR109" s="316"/>
      <c r="AS109" s="843"/>
    </row>
    <row r="110" spans="1:45" ht="6.75" customHeight="1">
      <c r="A110" s="822"/>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3"/>
      <c r="AA110" s="823"/>
      <c r="AB110" s="823"/>
      <c r="AC110" s="823"/>
      <c r="AD110" s="823"/>
      <c r="AE110" s="823"/>
      <c r="AF110" s="823"/>
      <c r="AG110" s="823"/>
      <c r="AH110" s="823"/>
      <c r="AI110" s="823"/>
      <c r="AJ110" s="823"/>
      <c r="AK110" s="823"/>
      <c r="AL110" s="823"/>
      <c r="AM110" s="823"/>
      <c r="AN110" s="823"/>
      <c r="AO110" s="823"/>
      <c r="AP110" s="823"/>
      <c r="AQ110" s="823"/>
      <c r="AR110" s="859"/>
      <c r="AS110" s="843"/>
    </row>
    <row r="111" spans="1:45" ht="15.75" customHeight="1">
      <c r="A111" s="870" t="str">
        <f>A85</f>
        <v>ADRESS</v>
      </c>
      <c r="B111" s="547"/>
      <c r="C111" s="547"/>
      <c r="D111" s="547"/>
      <c r="E111" s="547"/>
      <c r="F111" s="547"/>
      <c r="G111" s="547"/>
      <c r="H111" s="314"/>
      <c r="I111" s="323">
        <f aca="true" t="shared" si="95" ref="I111:AQ111">IF(ISERR(AW$37),"",AW$37)</f>
      </c>
      <c r="J111" s="323">
        <f t="shared" si="95"/>
      </c>
      <c r="K111" s="323">
        <f t="shared" si="95"/>
      </c>
      <c r="L111" s="323">
        <f t="shared" si="95"/>
      </c>
      <c r="M111" s="323">
        <f t="shared" si="95"/>
      </c>
      <c r="N111" s="323">
        <f t="shared" si="95"/>
      </c>
      <c r="O111" s="323">
        <f t="shared" si="95"/>
      </c>
      <c r="P111" s="323">
        <f t="shared" si="95"/>
      </c>
      <c r="Q111" s="323">
        <f t="shared" si="95"/>
      </c>
      <c r="R111" s="323">
        <f t="shared" si="95"/>
      </c>
      <c r="S111" s="323">
        <f t="shared" si="95"/>
      </c>
      <c r="T111" s="323">
        <f t="shared" si="95"/>
      </c>
      <c r="U111" s="323">
        <f t="shared" si="95"/>
      </c>
      <c r="V111" s="323">
        <f t="shared" si="95"/>
      </c>
      <c r="W111" s="323">
        <f t="shared" si="95"/>
      </c>
      <c r="X111" s="323">
        <f t="shared" si="95"/>
      </c>
      <c r="Y111" s="323">
        <f t="shared" si="95"/>
      </c>
      <c r="Z111" s="323">
        <f t="shared" si="95"/>
      </c>
      <c r="AA111" s="323">
        <f t="shared" si="95"/>
      </c>
      <c r="AB111" s="323">
        <f t="shared" si="95"/>
      </c>
      <c r="AC111" s="323">
        <f t="shared" si="95"/>
      </c>
      <c r="AD111" s="323">
        <f t="shared" si="95"/>
      </c>
      <c r="AE111" s="323">
        <f t="shared" si="95"/>
      </c>
      <c r="AF111" s="323">
        <f t="shared" si="95"/>
      </c>
      <c r="AG111" s="323">
        <f t="shared" si="95"/>
      </c>
      <c r="AH111" s="323">
        <f t="shared" si="95"/>
      </c>
      <c r="AI111" s="323">
        <f t="shared" si="95"/>
      </c>
      <c r="AJ111" s="323">
        <f t="shared" si="95"/>
      </c>
      <c r="AK111" s="323">
        <f t="shared" si="95"/>
      </c>
      <c r="AL111" s="323">
        <f t="shared" si="95"/>
      </c>
      <c r="AM111" s="323">
        <f t="shared" si="95"/>
      </c>
      <c r="AN111" s="323">
        <f t="shared" si="95"/>
      </c>
      <c r="AO111" s="323">
        <f t="shared" si="95"/>
      </c>
      <c r="AP111" s="323">
        <f t="shared" si="95"/>
      </c>
      <c r="AQ111" s="324">
        <f t="shared" si="95"/>
      </c>
      <c r="AR111" s="316"/>
      <c r="AS111" s="843"/>
    </row>
    <row r="112" spans="1:45" ht="6.75" customHeight="1">
      <c r="A112" s="822"/>
      <c r="B112" s="823"/>
      <c r="C112" s="823"/>
      <c r="D112" s="823"/>
      <c r="E112" s="823"/>
      <c r="F112" s="823"/>
      <c r="G112" s="823"/>
      <c r="H112" s="823"/>
      <c r="I112" s="823"/>
      <c r="J112" s="823"/>
      <c r="K112" s="823"/>
      <c r="L112" s="823"/>
      <c r="M112" s="823"/>
      <c r="N112" s="823"/>
      <c r="O112" s="823"/>
      <c r="P112" s="823"/>
      <c r="Q112" s="823"/>
      <c r="R112" s="823"/>
      <c r="S112" s="823"/>
      <c r="T112" s="823"/>
      <c r="U112" s="823"/>
      <c r="V112" s="823"/>
      <c r="W112" s="823"/>
      <c r="X112" s="823"/>
      <c r="Y112" s="823"/>
      <c r="Z112" s="823"/>
      <c r="AA112" s="823"/>
      <c r="AB112" s="823"/>
      <c r="AC112" s="823"/>
      <c r="AD112" s="823"/>
      <c r="AE112" s="823"/>
      <c r="AF112" s="823"/>
      <c r="AG112" s="823"/>
      <c r="AH112" s="823"/>
      <c r="AI112" s="823"/>
      <c r="AJ112" s="823"/>
      <c r="AK112" s="823"/>
      <c r="AL112" s="823"/>
      <c r="AM112" s="823"/>
      <c r="AN112" s="823"/>
      <c r="AO112" s="823"/>
      <c r="AP112" s="823"/>
      <c r="AQ112" s="823"/>
      <c r="AR112" s="859"/>
      <c r="AS112" s="843"/>
    </row>
    <row r="113" spans="1:45" ht="15.75" customHeight="1">
      <c r="A113" s="826"/>
      <c r="B113" s="456"/>
      <c r="C113" s="456"/>
      <c r="D113" s="456"/>
      <c r="E113" s="456"/>
      <c r="F113" s="456"/>
      <c r="G113" s="456"/>
      <c r="H113" s="839"/>
      <c r="I113" s="323">
        <f aca="true" t="shared" si="96" ref="I113:AQ113">IF(ISERR(CF$37),"",CF$37)</f>
      </c>
      <c r="J113" s="323">
        <f t="shared" si="96"/>
      </c>
      <c r="K113" s="323">
        <f t="shared" si="96"/>
      </c>
      <c r="L113" s="323">
        <f t="shared" si="96"/>
      </c>
      <c r="M113" s="323">
        <f t="shared" si="96"/>
      </c>
      <c r="N113" s="323">
        <f t="shared" si="96"/>
      </c>
      <c r="O113" s="323">
        <f t="shared" si="96"/>
      </c>
      <c r="P113" s="323">
        <f t="shared" si="96"/>
      </c>
      <c r="Q113" s="323">
        <f t="shared" si="96"/>
      </c>
      <c r="R113" s="323">
        <f t="shared" si="96"/>
      </c>
      <c r="S113" s="323">
        <f t="shared" si="96"/>
      </c>
      <c r="T113" s="323">
        <f t="shared" si="96"/>
      </c>
      <c r="U113" s="323">
        <f t="shared" si="96"/>
      </c>
      <c r="V113" s="323">
        <f t="shared" si="96"/>
      </c>
      <c r="W113" s="323">
        <f t="shared" si="96"/>
      </c>
      <c r="X113" s="323">
        <f t="shared" si="96"/>
      </c>
      <c r="Y113" s="323">
        <f t="shared" si="96"/>
      </c>
      <c r="Z113" s="323">
        <f t="shared" si="96"/>
      </c>
      <c r="AA113" s="323">
        <f t="shared" si="96"/>
      </c>
      <c r="AB113" s="323">
        <f t="shared" si="96"/>
      </c>
      <c r="AC113" s="323">
        <f t="shared" si="96"/>
      </c>
      <c r="AD113" s="323">
        <f t="shared" si="96"/>
      </c>
      <c r="AE113" s="323">
        <f t="shared" si="96"/>
      </c>
      <c r="AF113" s="323">
        <f t="shared" si="96"/>
      </c>
      <c r="AG113" s="323">
        <f t="shared" si="96"/>
      </c>
      <c r="AH113" s="323">
        <f t="shared" si="96"/>
      </c>
      <c r="AI113" s="323">
        <f t="shared" si="96"/>
      </c>
      <c r="AJ113" s="323">
        <f t="shared" si="96"/>
      </c>
      <c r="AK113" s="323">
        <f t="shared" si="96"/>
      </c>
      <c r="AL113" s="323">
        <f t="shared" si="96"/>
      </c>
      <c r="AM113" s="323">
        <f t="shared" si="96"/>
      </c>
      <c r="AN113" s="323">
        <f t="shared" si="96"/>
      </c>
      <c r="AO113" s="323">
        <f t="shared" si="96"/>
      </c>
      <c r="AP113" s="323">
        <f t="shared" si="96"/>
      </c>
      <c r="AQ113" s="324">
        <f t="shared" si="96"/>
      </c>
      <c r="AR113" s="316"/>
      <c r="AS113" s="843"/>
    </row>
    <row r="114" spans="1:45" ht="6.75" customHeight="1">
      <c r="A114" s="820"/>
      <c r="B114" s="821"/>
      <c r="C114" s="821"/>
      <c r="D114" s="821"/>
      <c r="E114" s="821"/>
      <c r="F114" s="821"/>
      <c r="G114" s="821"/>
      <c r="H114" s="821"/>
      <c r="I114" s="821"/>
      <c r="J114" s="821"/>
      <c r="K114" s="821"/>
      <c r="L114" s="821"/>
      <c r="M114" s="821"/>
      <c r="N114" s="821"/>
      <c r="O114" s="821"/>
      <c r="P114" s="821"/>
      <c r="Q114" s="821"/>
      <c r="R114" s="821"/>
      <c r="S114" s="821"/>
      <c r="T114" s="821"/>
      <c r="U114" s="821"/>
      <c r="V114" s="821"/>
      <c r="W114" s="821"/>
      <c r="X114" s="821"/>
      <c r="Y114" s="821"/>
      <c r="Z114" s="821"/>
      <c r="AA114" s="821"/>
      <c r="AB114" s="821"/>
      <c r="AC114" s="821"/>
      <c r="AD114" s="821"/>
      <c r="AE114" s="821"/>
      <c r="AF114" s="821"/>
      <c r="AG114" s="821"/>
      <c r="AH114" s="821"/>
      <c r="AI114" s="821"/>
      <c r="AJ114" s="821"/>
      <c r="AK114" s="821"/>
      <c r="AL114" s="821"/>
      <c r="AM114" s="821"/>
      <c r="AN114" s="821"/>
      <c r="AO114" s="821"/>
      <c r="AP114" s="821"/>
      <c r="AQ114" s="821"/>
      <c r="AR114" s="856"/>
      <c r="AS114" s="843"/>
    </row>
    <row r="115" spans="1:45" ht="15.75" customHeight="1">
      <c r="A115" s="818" t="str">
        <f>A89</f>
        <v>ORT</v>
      </c>
      <c r="B115" s="819"/>
      <c r="C115" s="819"/>
      <c r="D115" s="819"/>
      <c r="E115" s="819"/>
      <c r="F115" s="819"/>
      <c r="G115" s="819"/>
      <c r="H115" s="314"/>
      <c r="I115" s="323">
        <f aca="true" t="shared" si="97" ref="I115:AQ115">IF(ISERR(AW$41),"",AW$41)</f>
      </c>
      <c r="J115" s="323">
        <f t="shared" si="97"/>
      </c>
      <c r="K115" s="323">
        <f t="shared" si="97"/>
      </c>
      <c r="L115" s="323">
        <f t="shared" si="97"/>
      </c>
      <c r="M115" s="323">
        <f t="shared" si="97"/>
      </c>
      <c r="N115" s="323">
        <f t="shared" si="97"/>
      </c>
      <c r="O115" s="323">
        <f t="shared" si="97"/>
      </c>
      <c r="P115" s="323">
        <f t="shared" si="97"/>
      </c>
      <c r="Q115" s="323">
        <f t="shared" si="97"/>
      </c>
      <c r="R115" s="323">
        <f t="shared" si="97"/>
      </c>
      <c r="S115" s="323">
        <f t="shared" si="97"/>
      </c>
      <c r="T115" s="323">
        <f t="shared" si="97"/>
      </c>
      <c r="U115" s="323">
        <f t="shared" si="97"/>
      </c>
      <c r="V115" s="323">
        <f t="shared" si="97"/>
      </c>
      <c r="W115" s="323">
        <f t="shared" si="97"/>
      </c>
      <c r="X115" s="323">
        <f t="shared" si="97"/>
      </c>
      <c r="Y115" s="323">
        <f t="shared" si="97"/>
      </c>
      <c r="Z115" s="323">
        <f t="shared" si="97"/>
      </c>
      <c r="AA115" s="323">
        <f t="shared" si="97"/>
      </c>
      <c r="AB115" s="323">
        <f t="shared" si="97"/>
      </c>
      <c r="AC115" s="323">
        <f t="shared" si="97"/>
      </c>
      <c r="AD115" s="323">
        <f t="shared" si="97"/>
      </c>
      <c r="AE115" s="323">
        <f t="shared" si="97"/>
      </c>
      <c r="AF115" s="323">
        <f t="shared" si="97"/>
      </c>
      <c r="AG115" s="323">
        <f t="shared" si="97"/>
      </c>
      <c r="AH115" s="323">
        <f t="shared" si="97"/>
      </c>
      <c r="AI115" s="323">
        <f t="shared" si="97"/>
      </c>
      <c r="AJ115" s="323">
        <f t="shared" si="97"/>
      </c>
      <c r="AK115" s="323">
        <f t="shared" si="97"/>
      </c>
      <c r="AL115" s="323">
        <f t="shared" si="97"/>
      </c>
      <c r="AM115" s="323">
        <f t="shared" si="97"/>
      </c>
      <c r="AN115" s="323">
        <f t="shared" si="97"/>
      </c>
      <c r="AO115" s="323">
        <f t="shared" si="97"/>
      </c>
      <c r="AP115" s="323">
        <f t="shared" si="97"/>
      </c>
      <c r="AQ115" s="324">
        <f t="shared" si="97"/>
      </c>
      <c r="AR115" s="316"/>
      <c r="AS115" s="843"/>
    </row>
    <row r="116" spans="1:45" ht="6.75" customHeight="1">
      <c r="A116" s="820"/>
      <c r="B116" s="821"/>
      <c r="C116" s="821"/>
      <c r="D116" s="821"/>
      <c r="E116" s="821"/>
      <c r="F116" s="821"/>
      <c r="G116" s="821"/>
      <c r="H116" s="821"/>
      <c r="I116" s="821"/>
      <c r="J116" s="821"/>
      <c r="K116" s="821"/>
      <c r="L116" s="821"/>
      <c r="M116" s="821"/>
      <c r="N116" s="821"/>
      <c r="O116" s="821"/>
      <c r="P116" s="821"/>
      <c r="Q116" s="821"/>
      <c r="R116" s="821"/>
      <c r="S116" s="821"/>
      <c r="T116" s="821"/>
      <c r="U116" s="821"/>
      <c r="V116" s="821"/>
      <c r="W116" s="821"/>
      <c r="X116" s="821"/>
      <c r="Y116" s="821"/>
      <c r="Z116" s="821"/>
      <c r="AA116" s="821"/>
      <c r="AB116" s="821"/>
      <c r="AC116" s="821"/>
      <c r="AD116" s="821"/>
      <c r="AE116" s="821"/>
      <c r="AF116" s="821"/>
      <c r="AG116" s="821"/>
      <c r="AH116" s="821"/>
      <c r="AI116" s="821"/>
      <c r="AJ116" s="821"/>
      <c r="AK116" s="821"/>
      <c r="AL116" s="821"/>
      <c r="AM116" s="821"/>
      <c r="AN116" s="821"/>
      <c r="AO116" s="821"/>
      <c r="AP116" s="821"/>
      <c r="AQ116" s="821"/>
      <c r="AR116" s="856"/>
      <c r="AS116" s="843"/>
    </row>
    <row r="117" spans="1:45" ht="15.75" customHeight="1">
      <c r="A117" s="818" t="str">
        <f>A91</f>
        <v>POSTADRESS</v>
      </c>
      <c r="B117" s="819"/>
      <c r="C117" s="819"/>
      <c r="D117" s="819"/>
      <c r="E117" s="819"/>
      <c r="F117" s="819"/>
      <c r="G117" s="819"/>
      <c r="H117" s="314"/>
      <c r="I117" s="323">
        <f aca="true" t="shared" si="98" ref="I117:N117">IF(ISERR(AW$43),"",AW$43)</f>
      </c>
      <c r="J117" s="323">
        <f t="shared" si="98"/>
      </c>
      <c r="K117" s="323">
        <f t="shared" si="98"/>
      </c>
      <c r="L117" s="323">
        <f t="shared" si="98"/>
      </c>
      <c r="M117" s="323">
        <f t="shared" si="98"/>
      </c>
      <c r="N117" s="323">
        <f t="shared" si="98"/>
      </c>
      <c r="O117" s="833"/>
      <c r="P117" s="834"/>
      <c r="Q117" s="834"/>
      <c r="R117" s="834"/>
      <c r="S117" s="834"/>
      <c r="T117" s="834"/>
      <c r="U117" s="834"/>
      <c r="V117" s="834"/>
      <c r="W117" s="834"/>
      <c r="X117" s="834"/>
      <c r="Y117" s="834"/>
      <c r="Z117" s="834"/>
      <c r="AA117" s="834"/>
      <c r="AB117" s="834"/>
      <c r="AC117" s="834"/>
      <c r="AD117" s="834"/>
      <c r="AE117" s="834"/>
      <c r="AF117" s="834"/>
      <c r="AG117" s="834"/>
      <c r="AH117" s="834"/>
      <c r="AI117" s="834"/>
      <c r="AJ117" s="834"/>
      <c r="AK117" s="834"/>
      <c r="AL117" s="834"/>
      <c r="AM117" s="834"/>
      <c r="AN117" s="834"/>
      <c r="AO117" s="834"/>
      <c r="AP117" s="834"/>
      <c r="AQ117" s="834"/>
      <c r="AR117" s="830"/>
      <c r="AS117" s="843"/>
    </row>
    <row r="118" spans="1:45" ht="6.75" customHeight="1">
      <c r="A118" s="822"/>
      <c r="B118" s="823"/>
      <c r="C118" s="823"/>
      <c r="D118" s="823"/>
      <c r="E118" s="823"/>
      <c r="F118" s="823"/>
      <c r="G118" s="823"/>
      <c r="H118" s="823"/>
      <c r="I118" s="823"/>
      <c r="J118" s="823"/>
      <c r="K118" s="823"/>
      <c r="L118" s="823"/>
      <c r="M118" s="823"/>
      <c r="N118" s="823"/>
      <c r="O118" s="823"/>
      <c r="P118" s="823"/>
      <c r="Q118" s="823"/>
      <c r="R118" s="823"/>
      <c r="S118" s="823"/>
      <c r="T118" s="823"/>
      <c r="U118" s="823"/>
      <c r="V118" s="823"/>
      <c r="W118" s="823"/>
      <c r="X118" s="823"/>
      <c r="Y118" s="823"/>
      <c r="Z118" s="823"/>
      <c r="AA118" s="823"/>
      <c r="AB118" s="823"/>
      <c r="AC118" s="823"/>
      <c r="AD118" s="823"/>
      <c r="AE118" s="823"/>
      <c r="AF118" s="823"/>
      <c r="AG118" s="823"/>
      <c r="AH118" s="823"/>
      <c r="AI118" s="823"/>
      <c r="AJ118" s="823"/>
      <c r="AK118" s="823"/>
      <c r="AL118" s="823"/>
      <c r="AM118" s="823"/>
      <c r="AN118" s="823"/>
      <c r="AO118" s="823"/>
      <c r="AP118" s="823"/>
      <c r="AQ118" s="823"/>
      <c r="AR118" s="859"/>
      <c r="AS118" s="843"/>
    </row>
    <row r="119" spans="1:45" ht="15.75" customHeight="1">
      <c r="A119" s="870" t="s">
        <v>637</v>
      </c>
      <c r="B119" s="547"/>
      <c r="C119" s="547"/>
      <c r="D119" s="547"/>
      <c r="E119" s="547"/>
      <c r="F119" s="547"/>
      <c r="G119" s="547"/>
      <c r="H119" s="314"/>
      <c r="I119" s="361">
        <f>IF(ISERR(AW$51),"",AW$51)</f>
      </c>
      <c r="J119" s="361">
        <f>IF(ISERR(AX$51),"",AX$51)</f>
      </c>
      <c r="K119" s="361">
        <f>IF(ISERR(AY$51),"",AY$51)</f>
      </c>
      <c r="L119" s="361">
        <f>IF(ISERR(AZ$51),"",AZ$51)</f>
      </c>
      <c r="M119" s="836"/>
      <c r="N119" s="453"/>
      <c r="O119" s="453"/>
      <c r="P119" s="453"/>
      <c r="Q119" s="453"/>
      <c r="R119" s="453"/>
      <c r="S119" s="453"/>
      <c r="T119" s="453"/>
      <c r="U119" s="453"/>
      <c r="V119" s="453"/>
      <c r="W119" s="873" t="s">
        <v>647</v>
      </c>
      <c r="X119" s="873"/>
      <c r="Y119" s="873"/>
      <c r="Z119" s="873"/>
      <c r="AA119" s="873"/>
      <c r="AB119" s="873"/>
      <c r="AC119" s="873"/>
      <c r="AD119" s="873"/>
      <c r="AE119" s="882"/>
      <c r="AF119" s="361">
        <f aca="true" t="shared" si="99" ref="AF119:AO119">IF(ISERR(AW$45),"",AW$45)</f>
      </c>
      <c r="AG119" s="361">
        <f t="shared" si="99"/>
      </c>
      <c r="AH119" s="361">
        <f t="shared" si="99"/>
      </c>
      <c r="AI119" s="361">
        <f t="shared" si="99"/>
      </c>
      <c r="AJ119" s="361">
        <f t="shared" si="99"/>
      </c>
      <c r="AK119" s="361">
        <f t="shared" si="99"/>
      </c>
      <c r="AL119" s="361">
        <f t="shared" si="99"/>
      </c>
      <c r="AM119" s="361">
        <f t="shared" si="99"/>
      </c>
      <c r="AN119" s="361">
        <f t="shared" si="99"/>
      </c>
      <c r="AO119" s="361">
        <f t="shared" si="99"/>
      </c>
      <c r="AP119" s="836"/>
      <c r="AQ119" s="453"/>
      <c r="AR119" s="858"/>
      <c r="AS119" s="843"/>
    </row>
    <row r="120" spans="1:45" ht="6.75" customHeight="1">
      <c r="A120" s="822"/>
      <c r="B120" s="823"/>
      <c r="C120" s="823"/>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3"/>
      <c r="AA120" s="823"/>
      <c r="AB120" s="823"/>
      <c r="AC120" s="823"/>
      <c r="AD120" s="823"/>
      <c r="AE120" s="823"/>
      <c r="AF120" s="823"/>
      <c r="AG120" s="823"/>
      <c r="AH120" s="823"/>
      <c r="AI120" s="823"/>
      <c r="AJ120" s="823"/>
      <c r="AK120" s="823"/>
      <c r="AL120" s="823"/>
      <c r="AM120" s="823"/>
      <c r="AN120" s="823"/>
      <c r="AO120" s="823"/>
      <c r="AP120" s="823"/>
      <c r="AQ120" s="823"/>
      <c r="AR120" s="859"/>
      <c r="AS120" s="843"/>
    </row>
    <row r="121" spans="1:45" ht="15.75" customHeight="1">
      <c r="A121" s="886"/>
      <c r="B121" s="864"/>
      <c r="C121" s="864"/>
      <c r="D121" s="864"/>
      <c r="E121" s="864"/>
      <c r="F121" s="864"/>
      <c r="G121" s="864"/>
      <c r="H121" s="864"/>
      <c r="I121" s="864"/>
      <c r="J121" s="864"/>
      <c r="K121" s="864"/>
      <c r="L121" s="864"/>
      <c r="M121" s="864"/>
      <c r="N121" s="864"/>
      <c r="O121" s="864"/>
      <c r="P121" s="873" t="s">
        <v>648</v>
      </c>
      <c r="Q121" s="873"/>
      <c r="R121" s="873"/>
      <c r="S121" s="873"/>
      <c r="T121" s="873"/>
      <c r="U121" s="873"/>
      <c r="V121" s="873"/>
      <c r="W121" s="873"/>
      <c r="X121" s="873"/>
      <c r="Y121" s="873"/>
      <c r="Z121" s="873"/>
      <c r="AA121" s="873"/>
      <c r="AB121" s="873"/>
      <c r="AC121" s="873"/>
      <c r="AD121" s="882"/>
      <c r="AE121" s="361">
        <f aca="true" t="shared" si="100" ref="AE121:AJ121">IF(ISERR(AW$55),"",AW$55)</f>
      </c>
      <c r="AF121" s="361">
        <f t="shared" si="100"/>
      </c>
      <c r="AG121" s="361">
        <f t="shared" si="100"/>
      </c>
      <c r="AH121" s="361">
        <f t="shared" si="100"/>
      </c>
      <c r="AI121" s="361">
        <f t="shared" si="100"/>
      </c>
      <c r="AJ121" s="362">
        <f t="shared" si="100"/>
      </c>
      <c r="AK121" s="57"/>
      <c r="AL121" s="362">
        <f>IF(ISERR(AW$56),"",AW$56)</f>
      </c>
      <c r="AM121" s="362">
        <f>IF(ISERR(AX$56),"",AX$56)</f>
      </c>
      <c r="AN121" s="362">
        <f>IF(ISERR(AY$56),"",AY$56)</f>
      </c>
      <c r="AO121" s="362">
        <f>IF(ISERR(AZ$56),"",AZ$56)</f>
      </c>
      <c r="AP121" s="874"/>
      <c r="AQ121" s="875"/>
      <c r="AR121" s="876"/>
      <c r="AS121" s="843"/>
    </row>
    <row r="122" spans="1:45" ht="6.75" customHeight="1">
      <c r="A122" s="822"/>
      <c r="B122" s="823"/>
      <c r="C122" s="823"/>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3"/>
      <c r="AL122" s="823"/>
      <c r="AM122" s="823"/>
      <c r="AN122" s="823"/>
      <c r="AO122" s="823"/>
      <c r="AP122" s="823"/>
      <c r="AQ122" s="823"/>
      <c r="AR122" s="859"/>
      <c r="AS122" s="843"/>
    </row>
    <row r="123" spans="1:45" ht="15" customHeight="1">
      <c r="A123" s="818" t="s">
        <v>649</v>
      </c>
      <c r="B123" s="819"/>
      <c r="C123" s="819"/>
      <c r="D123" s="819"/>
      <c r="E123" s="819"/>
      <c r="F123" s="819"/>
      <c r="G123" s="819"/>
      <c r="H123" s="314"/>
      <c r="I123" s="323">
        <f aca="true" t="shared" si="101" ref="I123:AQ123">IF(ISERR(AW$49),"",AW$49)</f>
      </c>
      <c r="J123" s="323">
        <f t="shared" si="101"/>
      </c>
      <c r="K123" s="323">
        <f t="shared" si="101"/>
      </c>
      <c r="L123" s="323">
        <f t="shared" si="101"/>
      </c>
      <c r="M123" s="323">
        <f t="shared" si="101"/>
      </c>
      <c r="N123" s="323">
        <f t="shared" si="101"/>
      </c>
      <c r="O123" s="323">
        <f t="shared" si="101"/>
      </c>
      <c r="P123" s="323">
        <f t="shared" si="101"/>
      </c>
      <c r="Q123" s="323">
        <f t="shared" si="101"/>
      </c>
      <c r="R123" s="323">
        <f t="shared" si="101"/>
      </c>
      <c r="S123" s="323">
        <f t="shared" si="101"/>
      </c>
      <c r="T123" s="323">
        <f t="shared" si="101"/>
      </c>
      <c r="U123" s="323">
        <f t="shared" si="101"/>
      </c>
      <c r="V123" s="323">
        <f t="shared" si="101"/>
      </c>
      <c r="W123" s="323">
        <f t="shared" si="101"/>
      </c>
      <c r="X123" s="323">
        <f t="shared" si="101"/>
      </c>
      <c r="Y123" s="323">
        <f t="shared" si="101"/>
      </c>
      <c r="Z123" s="323">
        <f t="shared" si="101"/>
      </c>
      <c r="AA123" s="323">
        <f t="shared" si="101"/>
      </c>
      <c r="AB123" s="323">
        <f t="shared" si="101"/>
      </c>
      <c r="AC123" s="323">
        <f t="shared" si="101"/>
      </c>
      <c r="AD123" s="323">
        <f t="shared" si="101"/>
      </c>
      <c r="AE123" s="323">
        <f t="shared" si="101"/>
      </c>
      <c r="AF123" s="323">
        <f t="shared" si="101"/>
      </c>
      <c r="AG123" s="323">
        <f t="shared" si="101"/>
      </c>
      <c r="AH123" s="323">
        <f t="shared" si="101"/>
      </c>
      <c r="AI123" s="323">
        <f t="shared" si="101"/>
      </c>
      <c r="AJ123" s="323">
        <f t="shared" si="101"/>
      </c>
      <c r="AK123" s="323">
        <f t="shared" si="101"/>
      </c>
      <c r="AL123" s="323">
        <f t="shared" si="101"/>
      </c>
      <c r="AM123" s="323">
        <f t="shared" si="101"/>
      </c>
      <c r="AN123" s="323">
        <f t="shared" si="101"/>
      </c>
      <c r="AO123" s="323">
        <f t="shared" si="101"/>
      </c>
      <c r="AP123" s="323">
        <f t="shared" si="101"/>
      </c>
      <c r="AQ123" s="324">
        <f t="shared" si="101"/>
      </c>
      <c r="AR123" s="317"/>
      <c r="AS123" s="843"/>
    </row>
    <row r="124" spans="1:45" ht="6.75" customHeight="1">
      <c r="A124" s="822"/>
      <c r="B124" s="823"/>
      <c r="C124" s="823"/>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3"/>
      <c r="AA124" s="823"/>
      <c r="AB124" s="823"/>
      <c r="AC124" s="823"/>
      <c r="AD124" s="823"/>
      <c r="AE124" s="823"/>
      <c r="AF124" s="823"/>
      <c r="AG124" s="823"/>
      <c r="AH124" s="823"/>
      <c r="AI124" s="823"/>
      <c r="AJ124" s="823"/>
      <c r="AK124" s="823"/>
      <c r="AL124" s="823"/>
      <c r="AM124" s="823"/>
      <c r="AN124" s="823"/>
      <c r="AO124" s="823"/>
      <c r="AP124" s="823"/>
      <c r="AQ124" s="823"/>
      <c r="AR124" s="859"/>
      <c r="AS124" s="843"/>
    </row>
    <row r="125" spans="1:45" ht="15.75" customHeight="1">
      <c r="A125" s="818" t="s">
        <v>650</v>
      </c>
      <c r="B125" s="819"/>
      <c r="C125" s="819"/>
      <c r="D125" s="819"/>
      <c r="E125" s="819"/>
      <c r="F125" s="819"/>
      <c r="G125" s="819"/>
      <c r="H125" s="314"/>
      <c r="I125" s="323">
        <f>IF(ISERR(AW$47),"",AW$47)</f>
      </c>
      <c r="J125" s="323">
        <f>IF(ISERR(AX$47),"",AX$47)</f>
      </c>
      <c r="K125" s="323">
        <f>IF(ISERR(AY$47),"",AY$47)</f>
      </c>
      <c r="L125" s="883"/>
      <c r="M125" s="884"/>
      <c r="N125" s="884"/>
      <c r="O125" s="884"/>
      <c r="P125" s="884"/>
      <c r="Q125" s="884"/>
      <c r="R125" s="884"/>
      <c r="S125" s="884"/>
      <c r="T125" s="884"/>
      <c r="U125" s="884"/>
      <c r="V125" s="884"/>
      <c r="W125" s="884"/>
      <c r="X125" s="884"/>
      <c r="Y125" s="884"/>
      <c r="Z125" s="884"/>
      <c r="AA125" s="884"/>
      <c r="AB125" s="884"/>
      <c r="AC125" s="884"/>
      <c r="AD125" s="884"/>
      <c r="AE125" s="884"/>
      <c r="AF125" s="884"/>
      <c r="AG125" s="884"/>
      <c r="AH125" s="884"/>
      <c r="AI125" s="884"/>
      <c r="AJ125" s="884"/>
      <c r="AK125" s="884"/>
      <c r="AL125" s="884"/>
      <c r="AM125" s="884"/>
      <c r="AN125" s="884"/>
      <c r="AO125" s="884"/>
      <c r="AP125" s="884"/>
      <c r="AQ125" s="884"/>
      <c r="AR125" s="885"/>
      <c r="AS125" s="843"/>
    </row>
    <row r="126" spans="1:45" ht="6.75" customHeight="1" thickBot="1">
      <c r="A126" s="837"/>
      <c r="B126" s="838"/>
      <c r="C126" s="838"/>
      <c r="D126" s="838"/>
      <c r="E126" s="838"/>
      <c r="F126" s="838"/>
      <c r="G126" s="838"/>
      <c r="H126" s="838"/>
      <c r="I126" s="838"/>
      <c r="J126" s="838"/>
      <c r="K126" s="838"/>
      <c r="L126" s="838"/>
      <c r="M126" s="838"/>
      <c r="N126" s="838"/>
      <c r="O126" s="838"/>
      <c r="P126" s="838"/>
      <c r="Q126" s="838"/>
      <c r="R126" s="838"/>
      <c r="S126" s="838"/>
      <c r="T126" s="838"/>
      <c r="U126" s="838"/>
      <c r="V126" s="838"/>
      <c r="W126" s="838"/>
      <c r="X126" s="838"/>
      <c r="Y126" s="838"/>
      <c r="Z126" s="838"/>
      <c r="AA126" s="838"/>
      <c r="AB126" s="838"/>
      <c r="AC126" s="838"/>
      <c r="AD126" s="838"/>
      <c r="AE126" s="838"/>
      <c r="AF126" s="838"/>
      <c r="AG126" s="838"/>
      <c r="AH126" s="838"/>
      <c r="AI126" s="838"/>
      <c r="AJ126" s="838"/>
      <c r="AK126" s="838"/>
      <c r="AL126" s="838"/>
      <c r="AM126" s="838"/>
      <c r="AN126" s="838"/>
      <c r="AO126" s="838"/>
      <c r="AP126" s="838"/>
      <c r="AQ126" s="838"/>
      <c r="AR126" s="862"/>
      <c r="AS126" s="843"/>
    </row>
    <row r="127" spans="1:45" ht="40.5" customHeight="1" thickBot="1" thickTop="1">
      <c r="A127" s="844"/>
      <c r="B127" s="844"/>
      <c r="C127" s="844"/>
      <c r="D127" s="844"/>
      <c r="E127" s="844"/>
      <c r="F127" s="844"/>
      <c r="G127" s="844"/>
      <c r="H127" s="844"/>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4"/>
      <c r="AL127" s="844"/>
      <c r="AM127" s="844"/>
      <c r="AN127" s="844"/>
      <c r="AO127" s="844"/>
      <c r="AP127" s="844"/>
      <c r="AQ127" s="844"/>
      <c r="AR127" s="844"/>
      <c r="AS127" s="843"/>
    </row>
    <row r="128" spans="1:45" ht="6.75" customHeight="1">
      <c r="A128" s="851"/>
      <c r="B128" s="852"/>
      <c r="C128" s="852"/>
      <c r="D128" s="852"/>
      <c r="E128" s="852"/>
      <c r="F128" s="852"/>
      <c r="G128" s="852"/>
      <c r="H128" s="852"/>
      <c r="I128" s="852"/>
      <c r="J128" s="852"/>
      <c r="K128" s="852"/>
      <c r="L128" s="852"/>
      <c r="M128" s="852"/>
      <c r="N128" s="852"/>
      <c r="O128" s="852"/>
      <c r="P128" s="852"/>
      <c r="Q128" s="852"/>
      <c r="R128" s="852"/>
      <c r="S128" s="852"/>
      <c r="T128" s="852"/>
      <c r="U128" s="852"/>
      <c r="V128" s="853"/>
      <c r="W128" s="852"/>
      <c r="X128" s="852"/>
      <c r="Y128" s="852"/>
      <c r="Z128" s="852"/>
      <c r="AA128" s="852"/>
      <c r="AB128" s="852"/>
      <c r="AC128" s="852"/>
      <c r="AD128" s="852"/>
      <c r="AE128" s="852"/>
      <c r="AF128" s="852"/>
      <c r="AG128" s="852"/>
      <c r="AH128" s="852"/>
      <c r="AI128" s="852"/>
      <c r="AJ128" s="852"/>
      <c r="AK128" s="852"/>
      <c r="AL128" s="852"/>
      <c r="AM128" s="852"/>
      <c r="AN128" s="852"/>
      <c r="AO128" s="852"/>
      <c r="AP128" s="852"/>
      <c r="AQ128" s="852"/>
      <c r="AR128" s="853"/>
      <c r="AS128" s="843"/>
    </row>
    <row r="129" spans="1:45" ht="15">
      <c r="A129" s="848" t="s">
        <v>652</v>
      </c>
      <c r="B129" s="849"/>
      <c r="C129" s="849"/>
      <c r="D129" s="849"/>
      <c r="E129" s="849"/>
      <c r="F129" s="849"/>
      <c r="G129" s="849"/>
      <c r="H129" s="849"/>
      <c r="I129" s="849"/>
      <c r="J129" s="849"/>
      <c r="K129" s="849"/>
      <c r="L129" s="849"/>
      <c r="M129" s="849"/>
      <c r="N129" s="849"/>
      <c r="O129" s="849"/>
      <c r="P129" s="849"/>
      <c r="Q129" s="849"/>
      <c r="R129" s="849"/>
      <c r="S129" s="849"/>
      <c r="T129" s="849"/>
      <c r="U129" s="849"/>
      <c r="V129" s="850"/>
      <c r="W129" s="878" t="s">
        <v>653</v>
      </c>
      <c r="X129" s="879"/>
      <c r="Y129" s="879"/>
      <c r="Z129" s="879"/>
      <c r="AA129" s="879"/>
      <c r="AB129" s="879"/>
      <c r="AC129" s="879"/>
      <c r="AD129" s="879"/>
      <c r="AE129" s="879"/>
      <c r="AF129" s="879"/>
      <c r="AG129" s="879"/>
      <c r="AH129" s="879"/>
      <c r="AI129" s="879"/>
      <c r="AJ129" s="879"/>
      <c r="AK129" s="879"/>
      <c r="AL129" s="879"/>
      <c r="AM129" s="879"/>
      <c r="AN129" s="879"/>
      <c r="AO129" s="879"/>
      <c r="AP129" s="879"/>
      <c r="AQ129" s="879"/>
      <c r="AR129" s="880"/>
      <c r="AS129" s="843"/>
    </row>
    <row r="130" spans="1:45" ht="14.25" customHeight="1">
      <c r="A130" s="848"/>
      <c r="B130" s="849"/>
      <c r="C130" s="849"/>
      <c r="D130" s="849"/>
      <c r="E130" s="849"/>
      <c r="F130" s="849"/>
      <c r="G130" s="849"/>
      <c r="H130" s="849"/>
      <c r="I130" s="849"/>
      <c r="J130" s="849"/>
      <c r="K130" s="849"/>
      <c r="L130" s="849"/>
      <c r="M130" s="849"/>
      <c r="N130" s="849"/>
      <c r="O130" s="849"/>
      <c r="P130" s="849"/>
      <c r="Q130" s="849"/>
      <c r="R130" s="849"/>
      <c r="S130" s="849"/>
      <c r="T130" s="849"/>
      <c r="U130" s="849"/>
      <c r="V130" s="850"/>
      <c r="W130" s="881"/>
      <c r="X130" s="879"/>
      <c r="Y130" s="879"/>
      <c r="Z130" s="879"/>
      <c r="AA130" s="879"/>
      <c r="AB130" s="879"/>
      <c r="AC130" s="879"/>
      <c r="AD130" s="879"/>
      <c r="AE130" s="879"/>
      <c r="AF130" s="879"/>
      <c r="AG130" s="879"/>
      <c r="AH130" s="879"/>
      <c r="AI130" s="879"/>
      <c r="AJ130" s="879"/>
      <c r="AK130" s="879"/>
      <c r="AL130" s="879"/>
      <c r="AM130" s="879"/>
      <c r="AN130" s="879"/>
      <c r="AO130" s="879"/>
      <c r="AP130" s="879"/>
      <c r="AQ130" s="879"/>
      <c r="AR130" s="880"/>
      <c r="AS130" s="843"/>
    </row>
    <row r="131" spans="1:45" ht="6.75" customHeight="1">
      <c r="A131" s="863"/>
      <c r="B131" s="864"/>
      <c r="C131" s="864"/>
      <c r="D131" s="864"/>
      <c r="E131" s="864"/>
      <c r="F131" s="864"/>
      <c r="G131" s="864"/>
      <c r="H131" s="864"/>
      <c r="I131" s="864"/>
      <c r="J131" s="864"/>
      <c r="K131" s="864"/>
      <c r="L131" s="864"/>
      <c r="M131" s="864"/>
      <c r="N131" s="864"/>
      <c r="O131" s="864"/>
      <c r="P131" s="864"/>
      <c r="Q131" s="864"/>
      <c r="R131" s="864"/>
      <c r="S131" s="864"/>
      <c r="T131" s="864"/>
      <c r="U131" s="864"/>
      <c r="V131" s="865"/>
      <c r="W131" s="863"/>
      <c r="X131" s="864"/>
      <c r="Y131" s="864"/>
      <c r="Z131" s="864"/>
      <c r="AA131" s="864"/>
      <c r="AB131" s="864"/>
      <c r="AC131" s="864"/>
      <c r="AD131" s="864"/>
      <c r="AE131" s="864"/>
      <c r="AF131" s="864"/>
      <c r="AG131" s="864"/>
      <c r="AH131" s="864"/>
      <c r="AI131" s="864"/>
      <c r="AJ131" s="864"/>
      <c r="AK131" s="864"/>
      <c r="AL131" s="864"/>
      <c r="AM131" s="864"/>
      <c r="AN131" s="864"/>
      <c r="AO131" s="864"/>
      <c r="AP131" s="864"/>
      <c r="AQ131" s="864"/>
      <c r="AR131" s="865"/>
      <c r="AS131" s="843"/>
    </row>
    <row r="132" spans="1:45" ht="15.75" customHeight="1">
      <c r="A132" s="863"/>
      <c r="B132" s="864"/>
      <c r="C132" s="864"/>
      <c r="D132" s="864"/>
      <c r="E132" s="864"/>
      <c r="F132" s="864"/>
      <c r="G132" s="864"/>
      <c r="H132" s="864"/>
      <c r="I132" s="864"/>
      <c r="J132" s="864"/>
      <c r="K132" s="864"/>
      <c r="L132" s="864"/>
      <c r="M132" s="864"/>
      <c r="N132" s="864"/>
      <c r="O132" s="864"/>
      <c r="P132" s="864"/>
      <c r="Q132" s="864"/>
      <c r="R132" s="864"/>
      <c r="S132" s="864"/>
      <c r="T132" s="864"/>
      <c r="U132" s="864"/>
      <c r="V132" s="865"/>
      <c r="W132" s="863"/>
      <c r="X132" s="864"/>
      <c r="Y132" s="864"/>
      <c r="Z132" s="864"/>
      <c r="AA132" s="864"/>
      <c r="AB132" s="864"/>
      <c r="AC132" s="864"/>
      <c r="AD132" s="864"/>
      <c r="AE132" s="864"/>
      <c r="AF132" s="864"/>
      <c r="AG132" s="864"/>
      <c r="AH132" s="864"/>
      <c r="AI132" s="864"/>
      <c r="AJ132" s="864"/>
      <c r="AK132" s="864"/>
      <c r="AL132" s="864"/>
      <c r="AM132" s="864"/>
      <c r="AN132" s="864"/>
      <c r="AO132" s="864"/>
      <c r="AP132" s="864"/>
      <c r="AQ132" s="864"/>
      <c r="AR132" s="865"/>
      <c r="AS132" s="843"/>
    </row>
    <row r="133" spans="1:45" ht="6.75" customHeight="1">
      <c r="A133" s="863"/>
      <c r="B133" s="864"/>
      <c r="C133" s="864"/>
      <c r="D133" s="864"/>
      <c r="E133" s="864"/>
      <c r="F133" s="864"/>
      <c r="G133" s="864"/>
      <c r="H133" s="864"/>
      <c r="I133" s="864"/>
      <c r="J133" s="864"/>
      <c r="K133" s="864"/>
      <c r="L133" s="864"/>
      <c r="M133" s="864"/>
      <c r="N133" s="864"/>
      <c r="O133" s="864"/>
      <c r="P133" s="864"/>
      <c r="Q133" s="864"/>
      <c r="R133" s="864"/>
      <c r="S133" s="864"/>
      <c r="T133" s="864"/>
      <c r="U133" s="864"/>
      <c r="V133" s="865"/>
      <c r="W133" s="863"/>
      <c r="X133" s="864"/>
      <c r="Y133" s="864"/>
      <c r="Z133" s="864"/>
      <c r="AA133" s="864"/>
      <c r="AB133" s="864"/>
      <c r="AC133" s="864"/>
      <c r="AD133" s="864"/>
      <c r="AE133" s="864"/>
      <c r="AF133" s="864"/>
      <c r="AG133" s="864"/>
      <c r="AH133" s="864"/>
      <c r="AI133" s="864"/>
      <c r="AJ133" s="864"/>
      <c r="AK133" s="864"/>
      <c r="AL133" s="864"/>
      <c r="AM133" s="864"/>
      <c r="AN133" s="864"/>
      <c r="AO133" s="864"/>
      <c r="AP133" s="864"/>
      <c r="AQ133" s="864"/>
      <c r="AR133" s="865"/>
      <c r="AS133" s="843"/>
    </row>
    <row r="134" spans="1:45" ht="15">
      <c r="A134" s="863"/>
      <c r="B134" s="864"/>
      <c r="C134" s="864"/>
      <c r="D134" s="864"/>
      <c r="E134" s="864"/>
      <c r="F134" s="864"/>
      <c r="G134" s="864"/>
      <c r="H134" s="864"/>
      <c r="I134" s="864"/>
      <c r="J134" s="864"/>
      <c r="K134" s="864"/>
      <c r="L134" s="864"/>
      <c r="M134" s="864"/>
      <c r="N134" s="864"/>
      <c r="O134" s="864"/>
      <c r="P134" s="864"/>
      <c r="Q134" s="864"/>
      <c r="R134" s="864"/>
      <c r="S134" s="864"/>
      <c r="T134" s="864"/>
      <c r="U134" s="864"/>
      <c r="V134" s="865"/>
      <c r="W134" s="863"/>
      <c r="X134" s="864"/>
      <c r="Y134" s="864"/>
      <c r="Z134" s="864"/>
      <c r="AA134" s="864"/>
      <c r="AB134" s="864"/>
      <c r="AC134" s="864"/>
      <c r="AD134" s="864"/>
      <c r="AE134" s="864"/>
      <c r="AF134" s="864"/>
      <c r="AG134" s="864"/>
      <c r="AH134" s="864"/>
      <c r="AI134" s="864"/>
      <c r="AJ134" s="864"/>
      <c r="AK134" s="864"/>
      <c r="AL134" s="864"/>
      <c r="AM134" s="864"/>
      <c r="AN134" s="864"/>
      <c r="AO134" s="864"/>
      <c r="AP134" s="864"/>
      <c r="AQ134" s="864"/>
      <c r="AR134" s="865"/>
      <c r="AS134" s="843"/>
    </row>
    <row r="135" spans="1:45" ht="6.75" customHeight="1">
      <c r="A135" s="863"/>
      <c r="B135" s="864"/>
      <c r="C135" s="864"/>
      <c r="D135" s="864"/>
      <c r="E135" s="864"/>
      <c r="F135" s="864"/>
      <c r="G135" s="864"/>
      <c r="H135" s="864"/>
      <c r="I135" s="864"/>
      <c r="J135" s="864"/>
      <c r="K135" s="864"/>
      <c r="L135" s="864"/>
      <c r="M135" s="864"/>
      <c r="N135" s="864"/>
      <c r="O135" s="864"/>
      <c r="P135" s="864"/>
      <c r="Q135" s="864"/>
      <c r="R135" s="864"/>
      <c r="S135" s="864"/>
      <c r="T135" s="864"/>
      <c r="U135" s="864"/>
      <c r="V135" s="865"/>
      <c r="W135" s="863"/>
      <c r="X135" s="864"/>
      <c r="Y135" s="864"/>
      <c r="Z135" s="864"/>
      <c r="AA135" s="864"/>
      <c r="AB135" s="864"/>
      <c r="AC135" s="864"/>
      <c r="AD135" s="864"/>
      <c r="AE135" s="864"/>
      <c r="AF135" s="864"/>
      <c r="AG135" s="864"/>
      <c r="AH135" s="864"/>
      <c r="AI135" s="864"/>
      <c r="AJ135" s="864"/>
      <c r="AK135" s="864"/>
      <c r="AL135" s="864"/>
      <c r="AM135" s="864"/>
      <c r="AN135" s="864"/>
      <c r="AO135" s="864"/>
      <c r="AP135" s="864"/>
      <c r="AQ135" s="864"/>
      <c r="AR135" s="865"/>
      <c r="AS135" s="843"/>
    </row>
    <row r="136" spans="1:45" ht="15.75" customHeight="1">
      <c r="A136" s="863"/>
      <c r="B136" s="864"/>
      <c r="C136" s="864"/>
      <c r="D136" s="864"/>
      <c r="E136" s="864"/>
      <c r="F136" s="864"/>
      <c r="G136" s="864"/>
      <c r="H136" s="864"/>
      <c r="I136" s="864"/>
      <c r="J136" s="864"/>
      <c r="K136" s="864"/>
      <c r="L136" s="864"/>
      <c r="M136" s="864"/>
      <c r="N136" s="864"/>
      <c r="O136" s="864"/>
      <c r="P136" s="864"/>
      <c r="Q136" s="864"/>
      <c r="R136" s="864"/>
      <c r="S136" s="864"/>
      <c r="T136" s="864"/>
      <c r="U136" s="864"/>
      <c r="V136" s="865"/>
      <c r="W136" s="863"/>
      <c r="X136" s="864"/>
      <c r="Y136" s="864"/>
      <c r="Z136" s="864"/>
      <c r="AA136" s="864"/>
      <c r="AB136" s="864"/>
      <c r="AC136" s="864"/>
      <c r="AD136" s="864"/>
      <c r="AE136" s="864"/>
      <c r="AF136" s="864"/>
      <c r="AG136" s="864"/>
      <c r="AH136" s="864"/>
      <c r="AI136" s="864"/>
      <c r="AJ136" s="864"/>
      <c r="AK136" s="864"/>
      <c r="AL136" s="864"/>
      <c r="AM136" s="864"/>
      <c r="AN136" s="864"/>
      <c r="AO136" s="864"/>
      <c r="AP136" s="864"/>
      <c r="AQ136" s="864"/>
      <c r="AR136" s="865"/>
      <c r="AS136" s="843"/>
    </row>
    <row r="137" spans="1:45" ht="6.75" customHeight="1">
      <c r="A137" s="863"/>
      <c r="B137" s="864"/>
      <c r="C137" s="864"/>
      <c r="D137" s="864"/>
      <c r="E137" s="864"/>
      <c r="F137" s="864"/>
      <c r="G137" s="864"/>
      <c r="H137" s="864"/>
      <c r="I137" s="864"/>
      <c r="J137" s="864"/>
      <c r="K137" s="864"/>
      <c r="L137" s="864"/>
      <c r="M137" s="864"/>
      <c r="N137" s="864"/>
      <c r="O137" s="864"/>
      <c r="P137" s="864"/>
      <c r="Q137" s="864"/>
      <c r="R137" s="864"/>
      <c r="S137" s="864"/>
      <c r="T137" s="864"/>
      <c r="U137" s="864"/>
      <c r="V137" s="865"/>
      <c r="W137" s="863"/>
      <c r="X137" s="864"/>
      <c r="Y137" s="864"/>
      <c r="Z137" s="864"/>
      <c r="AA137" s="864"/>
      <c r="AB137" s="864"/>
      <c r="AC137" s="864"/>
      <c r="AD137" s="864"/>
      <c r="AE137" s="864"/>
      <c r="AF137" s="864"/>
      <c r="AG137" s="864"/>
      <c r="AH137" s="864"/>
      <c r="AI137" s="864"/>
      <c r="AJ137" s="864"/>
      <c r="AK137" s="864"/>
      <c r="AL137" s="864"/>
      <c r="AM137" s="864"/>
      <c r="AN137" s="864"/>
      <c r="AO137" s="864"/>
      <c r="AP137" s="864"/>
      <c r="AQ137" s="864"/>
      <c r="AR137" s="865"/>
      <c r="AS137" s="843"/>
    </row>
    <row r="138" spans="1:45" ht="15">
      <c r="A138" s="863"/>
      <c r="B138" s="864"/>
      <c r="C138" s="864"/>
      <c r="D138" s="864"/>
      <c r="E138" s="864"/>
      <c r="F138" s="864"/>
      <c r="G138" s="864"/>
      <c r="H138" s="864"/>
      <c r="I138" s="864"/>
      <c r="J138" s="864"/>
      <c r="K138" s="864"/>
      <c r="L138" s="864"/>
      <c r="M138" s="864"/>
      <c r="N138" s="864"/>
      <c r="O138" s="864"/>
      <c r="P138" s="864"/>
      <c r="Q138" s="864"/>
      <c r="R138" s="864"/>
      <c r="S138" s="864"/>
      <c r="T138" s="864"/>
      <c r="U138" s="864"/>
      <c r="V138" s="865"/>
      <c r="W138" s="863"/>
      <c r="X138" s="864"/>
      <c r="Y138" s="864"/>
      <c r="Z138" s="864"/>
      <c r="AA138" s="864"/>
      <c r="AB138" s="864"/>
      <c r="AC138" s="864"/>
      <c r="AD138" s="864"/>
      <c r="AE138" s="864"/>
      <c r="AF138" s="864"/>
      <c r="AG138" s="864"/>
      <c r="AH138" s="864"/>
      <c r="AI138" s="864"/>
      <c r="AJ138" s="864"/>
      <c r="AK138" s="864"/>
      <c r="AL138" s="864"/>
      <c r="AM138" s="864"/>
      <c r="AN138" s="864"/>
      <c r="AO138" s="864"/>
      <c r="AP138" s="864"/>
      <c r="AQ138" s="864"/>
      <c r="AR138" s="865"/>
      <c r="AS138" s="843"/>
    </row>
    <row r="139" spans="1:45" ht="6.75" customHeight="1">
      <c r="A139" s="863"/>
      <c r="B139" s="864"/>
      <c r="C139" s="864"/>
      <c r="D139" s="864"/>
      <c r="E139" s="864"/>
      <c r="F139" s="864"/>
      <c r="G139" s="864"/>
      <c r="H139" s="864"/>
      <c r="I139" s="864"/>
      <c r="J139" s="864"/>
      <c r="K139" s="864"/>
      <c r="L139" s="864"/>
      <c r="M139" s="864"/>
      <c r="N139" s="864"/>
      <c r="O139" s="864"/>
      <c r="P139" s="864"/>
      <c r="Q139" s="864"/>
      <c r="R139" s="864"/>
      <c r="S139" s="864"/>
      <c r="T139" s="864"/>
      <c r="U139" s="864"/>
      <c r="V139" s="865"/>
      <c r="W139" s="863"/>
      <c r="X139" s="864"/>
      <c r="Y139" s="864"/>
      <c r="Z139" s="864"/>
      <c r="AA139" s="864"/>
      <c r="AB139" s="864"/>
      <c r="AC139" s="864"/>
      <c r="AD139" s="864"/>
      <c r="AE139" s="864"/>
      <c r="AF139" s="864"/>
      <c r="AG139" s="864"/>
      <c r="AH139" s="864"/>
      <c r="AI139" s="864"/>
      <c r="AJ139" s="864"/>
      <c r="AK139" s="864"/>
      <c r="AL139" s="864"/>
      <c r="AM139" s="864"/>
      <c r="AN139" s="864"/>
      <c r="AO139" s="864"/>
      <c r="AP139" s="864"/>
      <c r="AQ139" s="864"/>
      <c r="AR139" s="865"/>
      <c r="AS139" s="843"/>
    </row>
    <row r="140" spans="1:45" ht="15.75" customHeight="1">
      <c r="A140" s="863"/>
      <c r="B140" s="864"/>
      <c r="C140" s="864"/>
      <c r="D140" s="864"/>
      <c r="E140" s="864"/>
      <c r="F140" s="864"/>
      <c r="G140" s="864"/>
      <c r="H140" s="864"/>
      <c r="I140" s="864"/>
      <c r="J140" s="864"/>
      <c r="K140" s="864"/>
      <c r="L140" s="864"/>
      <c r="M140" s="864"/>
      <c r="N140" s="864"/>
      <c r="O140" s="864"/>
      <c r="P140" s="864"/>
      <c r="Q140" s="864"/>
      <c r="R140" s="864"/>
      <c r="S140" s="864"/>
      <c r="T140" s="864"/>
      <c r="U140" s="864"/>
      <c r="V140" s="865"/>
      <c r="W140" s="863"/>
      <c r="X140" s="864"/>
      <c r="Y140" s="864"/>
      <c r="Z140" s="864"/>
      <c r="AA140" s="864"/>
      <c r="AB140" s="864"/>
      <c r="AC140" s="864"/>
      <c r="AD140" s="864"/>
      <c r="AE140" s="864"/>
      <c r="AF140" s="864"/>
      <c r="AG140" s="864"/>
      <c r="AH140" s="864"/>
      <c r="AI140" s="864"/>
      <c r="AJ140" s="864"/>
      <c r="AK140" s="864"/>
      <c r="AL140" s="864"/>
      <c r="AM140" s="864"/>
      <c r="AN140" s="864"/>
      <c r="AO140" s="864"/>
      <c r="AP140" s="864"/>
      <c r="AQ140" s="864"/>
      <c r="AR140" s="865"/>
      <c r="AS140" s="843"/>
    </row>
    <row r="141" spans="1:45" ht="6.75" customHeight="1">
      <c r="A141" s="863"/>
      <c r="B141" s="864"/>
      <c r="C141" s="864"/>
      <c r="D141" s="864"/>
      <c r="E141" s="864"/>
      <c r="F141" s="864"/>
      <c r="G141" s="864"/>
      <c r="H141" s="864"/>
      <c r="I141" s="864"/>
      <c r="J141" s="864"/>
      <c r="K141" s="864"/>
      <c r="L141" s="864"/>
      <c r="M141" s="864"/>
      <c r="N141" s="864"/>
      <c r="O141" s="864"/>
      <c r="P141" s="864"/>
      <c r="Q141" s="864"/>
      <c r="R141" s="864"/>
      <c r="S141" s="864"/>
      <c r="T141" s="864"/>
      <c r="U141" s="864"/>
      <c r="V141" s="865"/>
      <c r="W141" s="863"/>
      <c r="X141" s="864"/>
      <c r="Y141" s="864"/>
      <c r="Z141" s="864"/>
      <c r="AA141" s="864"/>
      <c r="AB141" s="864"/>
      <c r="AC141" s="864"/>
      <c r="AD141" s="864"/>
      <c r="AE141" s="864"/>
      <c r="AF141" s="864"/>
      <c r="AG141" s="864"/>
      <c r="AH141" s="864"/>
      <c r="AI141" s="864"/>
      <c r="AJ141" s="864"/>
      <c r="AK141" s="864"/>
      <c r="AL141" s="864"/>
      <c r="AM141" s="864"/>
      <c r="AN141" s="864"/>
      <c r="AO141" s="864"/>
      <c r="AP141" s="864"/>
      <c r="AQ141" s="864"/>
      <c r="AR141" s="865"/>
      <c r="AS141" s="843"/>
    </row>
    <row r="142" spans="1:45" ht="15.75" customHeight="1">
      <c r="A142" s="863"/>
      <c r="B142" s="864"/>
      <c r="C142" s="864"/>
      <c r="D142" s="864"/>
      <c r="E142" s="864"/>
      <c r="F142" s="864"/>
      <c r="G142" s="864"/>
      <c r="H142" s="864"/>
      <c r="I142" s="864"/>
      <c r="J142" s="864"/>
      <c r="K142" s="864"/>
      <c r="L142" s="864"/>
      <c r="M142" s="864"/>
      <c r="N142" s="864"/>
      <c r="O142" s="864"/>
      <c r="P142" s="864"/>
      <c r="Q142" s="864"/>
      <c r="R142" s="864"/>
      <c r="S142" s="864"/>
      <c r="T142" s="864"/>
      <c r="U142" s="864"/>
      <c r="V142" s="865"/>
      <c r="W142" s="863"/>
      <c r="X142" s="864"/>
      <c r="Y142" s="864"/>
      <c r="Z142" s="864"/>
      <c r="AA142" s="864"/>
      <c r="AB142" s="864"/>
      <c r="AC142" s="864"/>
      <c r="AD142" s="864"/>
      <c r="AE142" s="864"/>
      <c r="AF142" s="864"/>
      <c r="AG142" s="864"/>
      <c r="AH142" s="864"/>
      <c r="AI142" s="864"/>
      <c r="AJ142" s="864"/>
      <c r="AK142" s="864"/>
      <c r="AL142" s="864"/>
      <c r="AM142" s="864"/>
      <c r="AN142" s="864"/>
      <c r="AO142" s="864"/>
      <c r="AP142" s="864"/>
      <c r="AQ142" s="864"/>
      <c r="AR142" s="865"/>
      <c r="AS142" s="843"/>
    </row>
    <row r="143" spans="1:45" ht="15" thickBot="1">
      <c r="A143" s="866"/>
      <c r="B143" s="867"/>
      <c r="C143" s="867"/>
      <c r="D143" s="867"/>
      <c r="E143" s="867"/>
      <c r="F143" s="867"/>
      <c r="G143" s="867"/>
      <c r="H143" s="867"/>
      <c r="I143" s="867"/>
      <c r="J143" s="867"/>
      <c r="K143" s="867"/>
      <c r="L143" s="867"/>
      <c r="M143" s="867"/>
      <c r="N143" s="867"/>
      <c r="O143" s="867"/>
      <c r="P143" s="867"/>
      <c r="Q143" s="867"/>
      <c r="R143" s="867"/>
      <c r="S143" s="867"/>
      <c r="T143" s="867"/>
      <c r="U143" s="867"/>
      <c r="V143" s="868"/>
      <c r="W143" s="866"/>
      <c r="X143" s="867"/>
      <c r="Y143" s="867"/>
      <c r="Z143" s="867"/>
      <c r="AA143" s="867"/>
      <c r="AB143" s="867"/>
      <c r="AC143" s="867"/>
      <c r="AD143" s="867"/>
      <c r="AE143" s="867"/>
      <c r="AF143" s="867"/>
      <c r="AG143" s="867"/>
      <c r="AH143" s="867"/>
      <c r="AI143" s="867"/>
      <c r="AJ143" s="867"/>
      <c r="AK143" s="867"/>
      <c r="AL143" s="867"/>
      <c r="AM143" s="867"/>
      <c r="AN143" s="867"/>
      <c r="AO143" s="867"/>
      <c r="AP143" s="867"/>
      <c r="AQ143" s="867"/>
      <c r="AR143" s="868"/>
      <c r="AS143" s="843"/>
    </row>
    <row r="144" spans="1:45" ht="40.5" customHeight="1">
      <c r="A144" s="821"/>
      <c r="B144" s="821"/>
      <c r="C144" s="821"/>
      <c r="D144" s="821"/>
      <c r="E144" s="821"/>
      <c r="F144" s="821"/>
      <c r="G144" s="821"/>
      <c r="H144" s="821"/>
      <c r="I144" s="821"/>
      <c r="J144" s="821"/>
      <c r="K144" s="821"/>
      <c r="L144" s="821"/>
      <c r="M144" s="821"/>
      <c r="N144" s="821"/>
      <c r="O144" s="821"/>
      <c r="P144" s="821"/>
      <c r="Q144" s="821"/>
      <c r="R144" s="821"/>
      <c r="S144" s="821"/>
      <c r="T144" s="821"/>
      <c r="U144" s="821"/>
      <c r="V144" s="821"/>
      <c r="W144" s="821"/>
      <c r="X144" s="821"/>
      <c r="Y144" s="821"/>
      <c r="Z144" s="821"/>
      <c r="AA144" s="821"/>
      <c r="AB144" s="821"/>
      <c r="AC144" s="821"/>
      <c r="AD144" s="821"/>
      <c r="AE144" s="821"/>
      <c r="AF144" s="821"/>
      <c r="AG144" s="821"/>
      <c r="AH144" s="821"/>
      <c r="AI144" s="821"/>
      <c r="AJ144" s="821"/>
      <c r="AK144" s="821"/>
      <c r="AL144" s="821"/>
      <c r="AM144" s="821"/>
      <c r="AN144" s="821"/>
      <c r="AO144" s="821"/>
      <c r="AP144" s="821"/>
      <c r="AQ144" s="821"/>
      <c r="AR144" s="821"/>
      <c r="AS144" s="843"/>
    </row>
    <row r="145" spans="1:45" ht="15.75" customHeight="1">
      <c r="A145" s="835" t="s">
        <v>651</v>
      </c>
      <c r="B145" s="835"/>
      <c r="C145" s="835"/>
      <c r="D145" s="835"/>
      <c r="E145" s="872"/>
      <c r="F145" s="872"/>
      <c r="G145" s="872"/>
      <c r="H145" s="872"/>
      <c r="I145" s="872"/>
      <c r="J145" s="872"/>
      <c r="K145" s="872"/>
      <c r="L145" s="872"/>
      <c r="M145" s="872"/>
      <c r="N145" s="872"/>
      <c r="O145" s="872"/>
      <c r="P145" s="872"/>
      <c r="Q145" s="872"/>
      <c r="R145" s="872"/>
      <c r="S145" s="872"/>
      <c r="T145" s="872"/>
      <c r="U145" s="872"/>
      <c r="V145" s="872"/>
      <c r="W145" s="872"/>
      <c r="X145" s="872"/>
      <c r="Y145" s="872"/>
      <c r="Z145" s="872"/>
      <c r="AA145" s="872"/>
      <c r="AB145" s="872"/>
      <c r="AC145" s="872"/>
      <c r="AD145" s="872"/>
      <c r="AE145" s="872"/>
      <c r="AF145" s="872"/>
      <c r="AG145" s="872"/>
      <c r="AH145" s="872"/>
      <c r="AI145" s="872"/>
      <c r="AJ145" s="872"/>
      <c r="AK145" s="872"/>
      <c r="AL145" s="872"/>
      <c r="AM145" s="872"/>
      <c r="AN145" s="872"/>
      <c r="AO145" s="872"/>
      <c r="AP145" s="872"/>
      <c r="AQ145" s="872"/>
      <c r="AR145" s="314"/>
      <c r="AS145" s="843"/>
    </row>
    <row r="146" spans="1:45" ht="15">
      <c r="A146" s="821"/>
      <c r="B146" s="821"/>
      <c r="C146" s="821"/>
      <c r="D146" s="821"/>
      <c r="E146" s="872"/>
      <c r="F146" s="872"/>
      <c r="G146" s="872"/>
      <c r="H146" s="872"/>
      <c r="I146" s="872"/>
      <c r="J146" s="872"/>
      <c r="K146" s="872"/>
      <c r="L146" s="872"/>
      <c r="M146" s="872"/>
      <c r="N146" s="872"/>
      <c r="O146" s="872"/>
      <c r="P146" s="872"/>
      <c r="Q146" s="872"/>
      <c r="R146" s="872"/>
      <c r="S146" s="872"/>
      <c r="T146" s="872"/>
      <c r="U146" s="872"/>
      <c r="V146" s="872"/>
      <c r="W146" s="872"/>
      <c r="X146" s="872"/>
      <c r="Y146" s="872"/>
      <c r="Z146" s="872"/>
      <c r="AA146" s="872"/>
      <c r="AB146" s="872"/>
      <c r="AC146" s="872"/>
      <c r="AD146" s="872"/>
      <c r="AE146" s="872"/>
      <c r="AF146" s="872"/>
      <c r="AG146" s="872"/>
      <c r="AH146" s="872"/>
      <c r="AI146" s="872"/>
      <c r="AJ146" s="872"/>
      <c r="AK146" s="872"/>
      <c r="AL146" s="872"/>
      <c r="AM146" s="872"/>
      <c r="AN146" s="872"/>
      <c r="AO146" s="872"/>
      <c r="AP146" s="872"/>
      <c r="AQ146" s="872"/>
      <c r="AR146" s="314"/>
      <c r="AS146" s="843"/>
    </row>
    <row r="147" spans="1:45" ht="15" customHeight="1">
      <c r="A147" s="835"/>
      <c r="B147" s="835"/>
      <c r="C147" s="835"/>
      <c r="D147" s="835"/>
      <c r="E147" s="872"/>
      <c r="F147" s="872"/>
      <c r="G147" s="872"/>
      <c r="H147" s="872"/>
      <c r="I147" s="872"/>
      <c r="J147" s="872"/>
      <c r="K147" s="872"/>
      <c r="L147" s="872"/>
      <c r="M147" s="872"/>
      <c r="N147" s="872"/>
      <c r="O147" s="872"/>
      <c r="P147" s="872"/>
      <c r="Q147" s="872"/>
      <c r="R147" s="872"/>
      <c r="S147" s="872"/>
      <c r="T147" s="872"/>
      <c r="U147" s="872"/>
      <c r="V147" s="872"/>
      <c r="W147" s="872"/>
      <c r="X147" s="872"/>
      <c r="Y147" s="872"/>
      <c r="Z147" s="872"/>
      <c r="AA147" s="872"/>
      <c r="AB147" s="872"/>
      <c r="AC147" s="872"/>
      <c r="AD147" s="872"/>
      <c r="AE147" s="872"/>
      <c r="AF147" s="872"/>
      <c r="AG147" s="872"/>
      <c r="AH147" s="872"/>
      <c r="AI147" s="872"/>
      <c r="AJ147" s="872"/>
      <c r="AK147" s="872"/>
      <c r="AL147" s="872"/>
      <c r="AM147" s="872"/>
      <c r="AN147" s="872"/>
      <c r="AO147" s="872"/>
      <c r="AP147" s="872"/>
      <c r="AQ147" s="872"/>
      <c r="AR147" s="314"/>
      <c r="AS147" s="843"/>
    </row>
    <row r="148" spans="1:45" ht="28.5" customHeight="1">
      <c r="A148" s="847"/>
      <c r="B148" s="847"/>
      <c r="C148" s="847"/>
      <c r="D148" s="847"/>
      <c r="E148" s="847"/>
      <c r="F148" s="847"/>
      <c r="G148" s="847"/>
      <c r="H148" s="847"/>
      <c r="I148" s="847"/>
      <c r="J148" s="847"/>
      <c r="K148" s="847"/>
      <c r="L148" s="847"/>
      <c r="M148" s="847"/>
      <c r="N148" s="847"/>
      <c r="O148" s="847"/>
      <c r="P148" s="847"/>
      <c r="Q148" s="847"/>
      <c r="R148" s="847"/>
      <c r="S148" s="847"/>
      <c r="T148" s="847"/>
      <c r="U148" s="847"/>
      <c r="V148" s="847"/>
      <c r="W148" s="847"/>
      <c r="X148" s="847"/>
      <c r="Y148" s="847"/>
      <c r="Z148" s="847"/>
      <c r="AA148" s="847"/>
      <c r="AB148" s="847"/>
      <c r="AC148" s="847"/>
      <c r="AD148" s="847"/>
      <c r="AE148" s="847"/>
      <c r="AF148" s="847"/>
      <c r="AG148" s="847"/>
      <c r="AH148" s="847"/>
      <c r="AI148" s="847"/>
      <c r="AJ148" s="847"/>
      <c r="AK148" s="847"/>
      <c r="AL148" s="847"/>
      <c r="AM148" s="847"/>
      <c r="AN148" s="847"/>
      <c r="AO148" s="847"/>
      <c r="AP148" s="847"/>
      <c r="AQ148" s="847"/>
      <c r="AR148" s="847"/>
      <c r="AS148" s="843"/>
    </row>
    <row r="149" ht="21" customHeight="1" hidden="1"/>
  </sheetData>
  <sheetProtection password="DB59" sheet="1" objects="1" scenarios="1"/>
  <mergeCells count="159">
    <mergeCell ref="A99:G99"/>
    <mergeCell ref="A123:G123"/>
    <mergeCell ref="A128:V128"/>
    <mergeCell ref="W128:AR128"/>
    <mergeCell ref="A100:AR100"/>
    <mergeCell ref="A124:AR124"/>
    <mergeCell ref="A101:G101"/>
    <mergeCell ref="X101:AR101"/>
    <mergeCell ref="A102:AR102"/>
    <mergeCell ref="A103:AR103"/>
    <mergeCell ref="AU3:AZ3"/>
    <mergeCell ref="BA3:BG3"/>
    <mergeCell ref="A25:G25"/>
    <mergeCell ref="A49:G49"/>
    <mergeCell ref="A5:AR5"/>
    <mergeCell ref="A6:AR6"/>
    <mergeCell ref="A7:G7"/>
    <mergeCell ref="A8:AR8"/>
    <mergeCell ref="A9:H9"/>
    <mergeCell ref="A10:AR10"/>
    <mergeCell ref="E147:AQ147"/>
    <mergeCell ref="E146:AQ146"/>
    <mergeCell ref="A129:V130"/>
    <mergeCell ref="W129:AR130"/>
    <mergeCell ref="A131:V143"/>
    <mergeCell ref="W131:AR143"/>
    <mergeCell ref="A147:D147"/>
    <mergeCell ref="A144:AR144"/>
    <mergeCell ref="A146:D146"/>
    <mergeCell ref="E145:AQ145"/>
    <mergeCell ref="A1:AR1"/>
    <mergeCell ref="A2:AR2"/>
    <mergeCell ref="A3:AR3"/>
    <mergeCell ref="A4:AR4"/>
    <mergeCell ref="A11:G11"/>
    <mergeCell ref="A12:AR12"/>
    <mergeCell ref="A13:H13"/>
    <mergeCell ref="A14:AR14"/>
    <mergeCell ref="A15:G15"/>
    <mergeCell ref="A16:AR16"/>
    <mergeCell ref="A17:G17"/>
    <mergeCell ref="O17:AR17"/>
    <mergeCell ref="A18:AR18"/>
    <mergeCell ref="A19:G19"/>
    <mergeCell ref="A20:AR20"/>
    <mergeCell ref="A21:G21"/>
    <mergeCell ref="A22:AR22"/>
    <mergeCell ref="AM21:AR21"/>
    <mergeCell ref="A28:AR28"/>
    <mergeCell ref="A29:AR29"/>
    <mergeCell ref="A30:AR30"/>
    <mergeCell ref="A23:G23"/>
    <mergeCell ref="A24:AR24"/>
    <mergeCell ref="A27:G27"/>
    <mergeCell ref="X27:AR27"/>
    <mergeCell ref="AM23:AR23"/>
    <mergeCell ref="A26:AR26"/>
    <mergeCell ref="A31:AR31"/>
    <mergeCell ref="A32:AR32"/>
    <mergeCell ref="A33:G33"/>
    <mergeCell ref="A34:AR34"/>
    <mergeCell ref="A35:H35"/>
    <mergeCell ref="A36:AR36"/>
    <mergeCell ref="A37:G37"/>
    <mergeCell ref="A38:AR38"/>
    <mergeCell ref="A39:H39"/>
    <mergeCell ref="A40:AR40"/>
    <mergeCell ref="A41:G41"/>
    <mergeCell ref="A42:AR42"/>
    <mergeCell ref="A43:G43"/>
    <mergeCell ref="O43:AR43"/>
    <mergeCell ref="A44:AR44"/>
    <mergeCell ref="A45:G45"/>
    <mergeCell ref="M45:U45"/>
    <mergeCell ref="AP45:AR45"/>
    <mergeCell ref="V45:AE45"/>
    <mergeCell ref="A46:AR46"/>
    <mergeCell ref="A47:I47"/>
    <mergeCell ref="J47:AD47"/>
    <mergeCell ref="AP47:AR47"/>
    <mergeCell ref="A48:AR48"/>
    <mergeCell ref="A51:G51"/>
    <mergeCell ref="A52:AR52"/>
    <mergeCell ref="A50:AR50"/>
    <mergeCell ref="L51:AR51"/>
    <mergeCell ref="A53:AR53"/>
    <mergeCell ref="A57:V69"/>
    <mergeCell ref="W57:AR69"/>
    <mergeCell ref="A70:AR70"/>
    <mergeCell ref="A54:V54"/>
    <mergeCell ref="W54:AR54"/>
    <mergeCell ref="A55:V56"/>
    <mergeCell ref="W55:AR56"/>
    <mergeCell ref="A71:C71"/>
    <mergeCell ref="D71:AQ71"/>
    <mergeCell ref="A72:C72"/>
    <mergeCell ref="A73:C73"/>
    <mergeCell ref="A74:AR74"/>
    <mergeCell ref="D72:AQ72"/>
    <mergeCell ref="D73:AQ73"/>
    <mergeCell ref="A75:AR75"/>
    <mergeCell ref="A76:AR76"/>
    <mergeCell ref="A77:AR77"/>
    <mergeCell ref="A78:AR78"/>
    <mergeCell ref="A79:AR79"/>
    <mergeCell ref="A80:AR80"/>
    <mergeCell ref="A81:G81"/>
    <mergeCell ref="A82:AR82"/>
    <mergeCell ref="A83:H83"/>
    <mergeCell ref="A84:AR84"/>
    <mergeCell ref="A85:G85"/>
    <mergeCell ref="A86:AR86"/>
    <mergeCell ref="A91:G91"/>
    <mergeCell ref="O91:AR91"/>
    <mergeCell ref="A92:AR92"/>
    <mergeCell ref="A87:H87"/>
    <mergeCell ref="A88:AR88"/>
    <mergeCell ref="A89:G89"/>
    <mergeCell ref="A90:AR90"/>
    <mergeCell ref="A93:G93"/>
    <mergeCell ref="A94:AR94"/>
    <mergeCell ref="A95:G95"/>
    <mergeCell ref="AM95:AR95"/>
    <mergeCell ref="A96:AR96"/>
    <mergeCell ref="A97:G97"/>
    <mergeCell ref="A98:AR98"/>
    <mergeCell ref="AM97:AR97"/>
    <mergeCell ref="A107:G107"/>
    <mergeCell ref="A108:AR108"/>
    <mergeCell ref="A109:H109"/>
    <mergeCell ref="A104:AR104"/>
    <mergeCell ref="A105:AR105"/>
    <mergeCell ref="A106:AR106"/>
    <mergeCell ref="A114:AR114"/>
    <mergeCell ref="A115:G115"/>
    <mergeCell ref="A116:AR116"/>
    <mergeCell ref="A110:AR110"/>
    <mergeCell ref="A111:G111"/>
    <mergeCell ref="A112:AR112"/>
    <mergeCell ref="A113:H113"/>
    <mergeCell ref="A117:G117"/>
    <mergeCell ref="O117:AR117"/>
    <mergeCell ref="A118:AR118"/>
    <mergeCell ref="M119:V119"/>
    <mergeCell ref="AP119:AR119"/>
    <mergeCell ref="A126:AR126"/>
    <mergeCell ref="A121:O121"/>
    <mergeCell ref="A120:AR120"/>
    <mergeCell ref="AP121:AR121"/>
    <mergeCell ref="A127:AR127"/>
    <mergeCell ref="A122:AR122"/>
    <mergeCell ref="A148:AR148"/>
    <mergeCell ref="AS1:AS148"/>
    <mergeCell ref="A125:G125"/>
    <mergeCell ref="P121:AD121"/>
    <mergeCell ref="W119:AE119"/>
    <mergeCell ref="A119:G119"/>
    <mergeCell ref="A145:D145"/>
    <mergeCell ref="L125:AR125"/>
  </mergeCells>
  <printOptions horizontalCentered="1"/>
  <pageMargins left="0.75" right="0.75" top="1" bottom="1" header="0.5" footer="0.5"/>
  <pageSetup fitToHeight="2"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