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BE"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5">'BE'!$A$1:$AR$289</definedName>
    <definedName name="_xlnm.Print_Area" localSheetId="2">'Check list'!$C$5:$H$303</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<sst xmlns="http://schemas.openxmlformats.org/spreadsheetml/2006/main" count="3730" uniqueCount="2171">
  <si>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</si>
  <si>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</si>
  <si>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</si>
  <si>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</si>
  <si>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</si>
  <si>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</si>
  <si>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</si>
  <si>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</si>
  <si>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</si>
  <si>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</si>
  <si>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</si>
  <si>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</si>
  <si>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</si>
  <si>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</si>
  <si>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</si>
  <si>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</si>
  <si>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</si>
  <si>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</si>
  <si>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</si>
  <si>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</si>
  <si>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</si>
  <si>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</si>
  <si>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</si>
  <si>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</si>
  <si>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</si>
  <si>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</si>
  <si>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</si>
  <si>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</si>
  <si>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</si>
  <si>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</si>
  <si>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</si>
  <si>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</si>
  <si>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</si>
  <si>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</si>
  <si>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</si>
  <si>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</si>
  <si>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</si>
  <si>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</si>
  <si>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</si>
  <si>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</si>
  <si>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</si>
  <si>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</si>
  <si>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</si>
  <si>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</si>
  <si>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</si>
  <si>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</si>
  <si>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</si>
  <si>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</si>
  <si>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</si>
  <si>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</si>
  <si>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</si>
  <si>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</si>
  <si>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</si>
  <si>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</si>
  <si>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</si>
  <si>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</si>
  <si>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</si>
  <si>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</si>
  <si>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</si>
  <si>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</si>
  <si>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</si>
  <si>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</si>
  <si>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</si>
  <si>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</si>
  <si>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</si>
  <si>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</si>
  <si>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</si>
  <si>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</si>
  <si>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</si>
  <si>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</si>
  <si>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</si>
  <si>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</si>
  <si>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</si>
  <si>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</si>
  <si>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</si>
  <si>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</si>
  <si>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</si>
  <si>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</si>
  <si>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</si>
  <si>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</si>
  <si>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</si>
  <si>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</si>
  <si>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</si>
  <si>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</si>
  <si>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</si>
  <si>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</si>
  <si>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</si>
  <si>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</si>
  <si>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</si>
  <si>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</si>
  <si>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</si>
  <si>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</si>
  <si>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</si>
  <si>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</si>
  <si>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</si>
  <si>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</si>
  <si>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</si>
  <si>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</si>
  <si>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</si>
  <si>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</si>
  <si>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</si>
  <si>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</si>
  <si>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</si>
  <si>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</si>
  <si>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</si>
  <si>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</si>
  <si>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</si>
  <si>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</si>
  <si>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</si>
  <si>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</si>
  <si>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</si>
  <si>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</si>
  <si>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</si>
  <si>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</si>
  <si>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</si>
  <si>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</si>
  <si>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</si>
  <si>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</si>
  <si>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</si>
  <si>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</si>
  <si>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</si>
  <si>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</si>
  <si>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</si>
  <si>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</si>
  <si>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</si>
  <si>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</si>
  <si>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</si>
  <si>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</si>
  <si>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</si>
  <si>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</si>
  <si>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</si>
  <si>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</si>
  <si>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</si>
  <si>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</si>
  <si>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</si>
  <si>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</si>
  <si>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</si>
  <si>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</si>
  <si>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</si>
  <si>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</si>
  <si>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</si>
  <si>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</si>
  <si>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</si>
  <si>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</si>
  <si>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</si>
  <si>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</si>
  <si>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</si>
  <si>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</si>
  <si>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</si>
  <si>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</si>
  <si>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</si>
  <si>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</si>
  <si>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</si>
  <si>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</si>
  <si>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</si>
  <si>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</si>
  <si>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</si>
  <si>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</si>
  <si>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</si>
  <si>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</si>
  <si>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</si>
  <si>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</si>
  <si>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</si>
  <si>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</si>
  <si>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</si>
  <si>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</si>
  <si>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</si>
  <si>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</si>
  <si>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</si>
  <si>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</si>
  <si>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</si>
  <si>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</si>
  <si>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</si>
  <si>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</si>
  <si>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</si>
  <si>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</si>
  <si>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</si>
  <si>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</si>
  <si>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</si>
  <si>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</si>
  <si>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</si>
  <si>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</si>
  <si>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</si>
  <si>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</si>
  <si>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</si>
  <si>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</si>
  <si>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</si>
  <si>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</si>
  <si>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</si>
  <si>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</si>
  <si>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</si>
  <si>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</si>
  <si>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</si>
  <si>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</si>
  <si>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</si>
  <si>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</si>
  <si>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</si>
  <si>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</si>
  <si>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</si>
  <si>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</si>
  <si>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</si>
  <si>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</si>
  <si>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</si>
  <si>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</si>
  <si>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</si>
  <si>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</si>
  <si>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</si>
  <si>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</si>
  <si>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</si>
  <si>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</si>
  <si>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</si>
  <si>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</si>
  <si>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</si>
  <si>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</si>
  <si>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</si>
  <si>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</si>
  <si>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</si>
  <si>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</si>
  <si>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</si>
  <si>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</si>
  <si>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</si>
  <si>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</si>
  <si>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</si>
  <si>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</si>
  <si>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</si>
  <si>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</si>
  <si>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</si>
  <si>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</si>
  <si>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</si>
  <si>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</si>
  <si>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</si>
  <si>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</si>
  <si>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</si>
  <si>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</si>
  <si>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</si>
  <si>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</si>
  <si>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</si>
  <si>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</si>
  <si>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</si>
  <si>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</si>
  <si>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</si>
  <si>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</si>
  <si>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</si>
  <si>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</si>
  <si>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</si>
  <si>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</si>
  <si>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</si>
  <si>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</si>
  <si>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</si>
  <si>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</si>
  <si>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</si>
  <si>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</si>
  <si>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</si>
  <si>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</si>
  <si>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</si>
  <si>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</si>
  <si>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</si>
  <si>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</si>
  <si>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</si>
  <si>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</si>
  <si>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</si>
  <si>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</si>
  <si>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</si>
  <si>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</si>
  <si>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</si>
  <si>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</si>
  <si>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</si>
  <si>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</si>
  <si>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</si>
  <si>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</si>
  <si>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</si>
  <si>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</si>
  <si>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</si>
  <si>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</si>
  <si>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</si>
  <si>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</si>
  <si>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</si>
  <si>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</si>
  <si>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</si>
  <si>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</si>
  <si>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</si>
  <si>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</si>
  <si>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</si>
  <si>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</si>
  <si>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</si>
  <si>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</si>
  <si>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</si>
  <si>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</si>
  <si>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</si>
  <si>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</si>
  <si>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</si>
  <si>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</si>
  <si>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</si>
  <si>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</si>
  <si>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</si>
  <si>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</si>
  <si>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</si>
  <si>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</si>
  <si>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</si>
  <si>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</si>
  <si>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</si>
  <si>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</si>
  <si>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</si>
  <si>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</si>
  <si>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</si>
  <si>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</si>
  <si>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</si>
  <si>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</si>
  <si>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</si>
  <si>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</si>
  <si>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</si>
  <si>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</si>
  <si>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</si>
  <si>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</si>
  <si>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</si>
  <si>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</si>
  <si>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</si>
  <si>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</si>
  <si>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</si>
  <si>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</si>
  <si>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</si>
  <si>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</si>
  <si>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</si>
  <si>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</si>
  <si>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</si>
  <si>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</si>
  <si>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</si>
  <si>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</si>
  <si>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</si>
  <si>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</si>
  <si>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</si>
  <si>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</si>
  <si>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</si>
  <si>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</si>
  <si>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</si>
  <si>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</si>
  <si>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</si>
  <si>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</si>
  <si>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</si>
  <si>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</si>
  <si>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</si>
  <si>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</si>
  <si>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</si>
  <si>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</si>
  <si>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</si>
  <si>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</si>
  <si>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</si>
  <si>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</si>
  <si>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</si>
  <si>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</si>
  <si>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</si>
  <si>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</si>
  <si>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</si>
  <si>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</si>
  <si>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</si>
  <si>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</si>
  <si>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</si>
  <si>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</si>
  <si>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</si>
  <si>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</si>
  <si>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</si>
  <si>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</si>
  <si>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</si>
  <si>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</si>
  <si>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</si>
  <si>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</si>
  <si>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</si>
  <si>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</si>
  <si>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</si>
  <si>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</si>
  <si>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</si>
  <si>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</si>
  <si>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</si>
  <si>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</si>
  <si>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</si>
  <si>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</si>
  <si>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</si>
  <si>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</si>
  <si>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</si>
  <si>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</si>
  <si>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</si>
  <si>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</si>
  <si>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</si>
  <si>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</si>
  <si>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</si>
  <si>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</si>
  <si>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</si>
  <si>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</si>
  <si>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FINANZANGABEN</t>
  </si>
  <si>
    <t>KONTOINHABER</t>
  </si>
  <si>
    <t>ANSCHRIFT</t>
  </si>
  <si>
    <t>POSTLEITZAHL</t>
  </si>
  <si>
    <t>MWS NUMMER</t>
  </si>
  <si>
    <t>BANKANGABEN</t>
  </si>
  <si>
    <t>BANKKONTO</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</si>
  <si>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</si>
  <si>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</si>
  <si>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</si>
  <si>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</si>
  <si>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</si>
  <si>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</si>
  <si>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</si>
  <si>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</si>
  <si>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</si>
  <si>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</si>
  <si>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</si>
  <si>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</si>
  <si>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</si>
  <si>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</si>
  <si>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</si>
  <si>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</si>
  <si>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</si>
  <si>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</si>
  <si>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</si>
  <si>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</si>
  <si>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</si>
  <si>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</si>
  <si>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</si>
  <si>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</si>
  <si>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</si>
  <si>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</si>
  <si>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</si>
  <si>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</si>
  <si>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</si>
  <si>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</si>
  <si>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</si>
  <si>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</si>
  <si>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</si>
  <si>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</si>
  <si>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</si>
  <si>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</si>
  <si>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</si>
  <si>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</si>
  <si>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</si>
  <si>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</si>
  <si>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</si>
  <si>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</si>
  <si>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</si>
  <si>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</si>
  <si>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</si>
  <si>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</si>
  <si>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</si>
  <si>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</si>
  <si>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</si>
  <si>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</si>
  <si>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</si>
  <si>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</si>
  <si>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</si>
  <si>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</si>
  <si>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</si>
  <si>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</si>
  <si>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</si>
  <si>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</si>
  <si>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</si>
  <si>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</si>
  <si>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</si>
  <si>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</si>
  <si>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</si>
  <si>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</si>
  <si>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</si>
  <si>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</si>
  <si>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</si>
  <si>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</si>
  <si>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</si>
  <si>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</si>
  <si>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</si>
  <si>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</si>
  <si>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</si>
  <si>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</si>
  <si>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</si>
  <si>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</si>
  <si>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</si>
  <si>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</si>
  <si>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</si>
  <si>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</si>
  <si>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</si>
  <si>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</si>
  <si>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</si>
  <si>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</si>
  <si>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</si>
  <si>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</si>
  <si>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</si>
  <si>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</si>
  <si>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</si>
  <si>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</si>
  <si>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</si>
  <si>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</si>
  <si>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</si>
  <si>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</si>
  <si>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</si>
  <si>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</si>
  <si>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</si>
  <si>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</si>
  <si>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</si>
  <si>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</si>
  <si>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</si>
  <si>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</si>
  <si>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</si>
  <si>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</si>
  <si>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</si>
  <si>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</si>
  <si>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</si>
  <si>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</si>
  <si>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</si>
  <si>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</si>
  <si>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</si>
  <si>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</si>
  <si>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</si>
  <si>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</si>
  <si>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</si>
  <si>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</si>
  <si>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</si>
  <si>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</si>
  <si>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</si>
  <si>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</si>
  <si>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</si>
  <si>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</si>
  <si>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</si>
  <si>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</si>
  <si>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</si>
  <si>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</si>
  <si>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</si>
  <si>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</si>
  <si>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</si>
  <si>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</si>
  <si>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</si>
  <si>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</si>
  <si>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</si>
  <si>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</si>
  <si>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</si>
  <si>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</si>
  <si>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</si>
  <si>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</si>
  <si>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</si>
  <si>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</si>
  <si>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</si>
  <si>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</si>
  <si>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</si>
  <si>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</si>
  <si>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</si>
  <si>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</si>
  <si>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</si>
  <si>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</si>
  <si>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</si>
  <si>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</si>
  <si>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</si>
  <si>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</si>
  <si>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</si>
  <si>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</si>
  <si>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</si>
  <si>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</si>
  <si>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</si>
  <si>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</si>
  <si>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</si>
  <si>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</si>
  <si>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</si>
  <si>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</si>
  <si>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</si>
  <si>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</si>
  <si>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</si>
  <si>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</si>
  <si>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</si>
  <si>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</si>
  <si>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</si>
  <si>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</si>
  <si>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</si>
  <si>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</si>
  <si>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</si>
  <si>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</si>
  <si>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</si>
  <si>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</si>
  <si>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</si>
  <si>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</si>
  <si>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</si>
  <si>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</si>
  <si>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</si>
  <si>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</si>
  <si>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</si>
  <si>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</si>
  <si>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</si>
  <si>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</si>
  <si>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</si>
  <si>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</si>
  <si>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</si>
  <si>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</si>
  <si>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</si>
  <si>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</si>
  <si>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</si>
  <si>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</si>
  <si>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</si>
  <si>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</si>
  <si>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</si>
  <si>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</si>
  <si>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</si>
  <si>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</si>
  <si>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</si>
  <si>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</si>
  <si>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</si>
  <si>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</si>
  <si>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</si>
  <si>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</si>
  <si>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</si>
  <si>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</si>
  <si>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</si>
  <si>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</si>
  <si>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</si>
  <si>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</si>
  <si>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</si>
  <si>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</si>
  <si>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</si>
  <si>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</si>
  <si>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</si>
  <si>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</si>
  <si>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</si>
  <si>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</si>
  <si>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</si>
  <si>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</si>
  <si>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</si>
  <si>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</si>
  <si>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</si>
  <si>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</si>
  <si>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</si>
  <si>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</si>
  <si>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BELGIQUE</t>
  </si>
  <si>
    <t>BELGIUM</t>
  </si>
  <si>
    <t>BELGIË</t>
  </si>
  <si>
    <t>BELGIEN</t>
  </si>
  <si>
    <t>IBAN (facultativ)</t>
  </si>
  <si>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</si>
  <si>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</si>
  <si>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</si>
  <si>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</si>
  <si>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</si>
  <si>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</si>
  <si>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</si>
  <si>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</si>
  <si>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</si>
  <si>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</si>
  <si>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</si>
  <si>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</si>
  <si>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</si>
  <si>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</si>
  <si>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</si>
  <si>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</si>
  <si>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</si>
  <si>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</si>
  <si>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</si>
  <si>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</si>
  <si>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</si>
  <si>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</si>
  <si>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</si>
  <si>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</si>
  <si>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</si>
  <si>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</si>
  <si>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</si>
  <si>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</si>
  <si>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</si>
  <si>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</si>
  <si>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</si>
  <si>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</si>
  <si>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</si>
  <si>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</si>
  <si>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</si>
  <si>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</si>
  <si>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</si>
  <si>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</si>
  <si>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</si>
  <si>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</si>
  <si>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</si>
  <si>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</si>
  <si>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</si>
  <si>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</si>
  <si>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</si>
  <si>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</si>
  <si>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</si>
  <si>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</si>
  <si>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</si>
  <si>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</si>
  <si>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</si>
  <si>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</si>
  <si>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</si>
  <si>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</si>
  <si>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</si>
  <si>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</si>
  <si>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</si>
  <si>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</si>
  <si>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</si>
  <si>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</si>
  <si>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</si>
  <si>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</si>
  <si>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</si>
  <si>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</si>
  <si>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</si>
  <si>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</si>
  <si>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</si>
  <si>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</si>
  <si>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</si>
  <si>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</si>
  <si>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</si>
  <si>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</si>
  <si>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</si>
  <si>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</si>
  <si>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</si>
  <si>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</si>
  <si>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</si>
  <si>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</si>
  <si>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</si>
  <si>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</si>
  <si>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</si>
  <si>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</si>
  <si>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</si>
  <si>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</si>
  <si>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</si>
  <si>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</si>
  <si>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</si>
  <si>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</si>
  <si>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</si>
  <si>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</si>
  <si>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</si>
  <si>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</si>
  <si>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</si>
  <si>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</si>
  <si>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</si>
  <si>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</si>
  <si>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</si>
  <si>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</si>
  <si>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</si>
  <si>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</si>
  <si>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</si>
  <si>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</si>
  <si>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</si>
  <si>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</si>
  <si>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</si>
  <si>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</si>
  <si>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</si>
  <si>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</si>
  <si>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</si>
  <si>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</si>
  <si>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</si>
  <si>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</si>
  <si>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</si>
  <si>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</si>
  <si>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</si>
  <si>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</si>
  <si>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</si>
  <si>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</si>
  <si>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</si>
  <si>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</si>
  <si>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</si>
  <si>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</si>
  <si>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</si>
  <si>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</si>
  <si>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</si>
  <si>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</si>
  <si>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</si>
  <si>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</si>
  <si>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</si>
  <si>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</si>
  <si>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</si>
  <si>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</si>
  <si>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</si>
  <si>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</si>
  <si>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</si>
  <si>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</si>
  <si>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</si>
  <si>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</si>
  <si>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</si>
  <si>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</si>
  <si>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</si>
  <si>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</si>
  <si>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</si>
  <si>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</si>
  <si>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</si>
  <si>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</si>
  <si>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</si>
  <si>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</si>
  <si>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</si>
  <si>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</si>
  <si>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</si>
  <si>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</si>
  <si>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</si>
  <si>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</si>
  <si>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</si>
  <si>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</si>
  <si>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</si>
  <si>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</si>
  <si>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</si>
  <si>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</si>
  <si>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</si>
  <si>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</si>
  <si>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</si>
  <si>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</si>
  <si>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</si>
  <si>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</si>
  <si>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</si>
  <si>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</si>
  <si>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</si>
  <si>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</si>
  <si>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</si>
  <si>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</si>
  <si>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</si>
  <si>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</si>
  <si>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</si>
  <si>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</si>
  <si>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</si>
  <si>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</si>
  <si>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</si>
  <si>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</si>
  <si>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</si>
  <si>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</si>
  <si>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</si>
  <si>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</si>
  <si>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</si>
  <si>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</si>
  <si>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</si>
  <si>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</si>
  <si>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</si>
  <si>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</si>
  <si>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</si>
  <si>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</si>
  <si>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</si>
  <si>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</si>
  <si>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</si>
  <si>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</si>
  <si>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</si>
  <si>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</si>
  <si>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</si>
  <si>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</si>
  <si>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</si>
  <si>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</si>
  <si>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</si>
  <si>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</si>
  <si>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</si>
  <si>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</si>
  <si>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</si>
  <si>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</si>
  <si>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</si>
  <si>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</si>
  <si>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</si>
  <si>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</si>
  <si>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</si>
  <si>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</si>
  <si>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</si>
  <si>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</si>
  <si>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</si>
  <si>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</si>
  <si>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</si>
  <si>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</si>
  <si>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</si>
  <si>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</si>
  <si>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</si>
  <si>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</si>
  <si>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</si>
  <si>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</si>
  <si>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</si>
  <si>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</si>
  <si>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</si>
  <si>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</si>
  <si>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</si>
  <si>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</si>
  <si>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</si>
  <si>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</si>
  <si>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</si>
  <si>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</si>
  <si>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</si>
  <si>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</si>
  <si>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</si>
  <si>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</si>
  <si>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</si>
  <si>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</si>
  <si>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</si>
  <si>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</si>
  <si>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</si>
  <si>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</si>
  <si>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</si>
  <si>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</si>
  <si>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</si>
  <si>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</si>
  <si>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</si>
  <si>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NUMERO TVA</t>
  </si>
  <si>
    <t>BANQUE</t>
  </si>
  <si>
    <t>IBAN (Optionnel)</t>
  </si>
  <si>
    <t>COMPTE BANCAIRE</t>
  </si>
  <si>
    <t>DEVISE DU COMPTE</t>
  </si>
  <si>
    <t>REMARQUES:</t>
  </si>
  <si>
    <t>FINANCIAL IDENTIFICATION</t>
  </si>
  <si>
    <t>ACCOUNT HOLDER</t>
  </si>
  <si>
    <t>ADDRESS</t>
  </si>
  <si>
    <t>TOWN/CITY</t>
  </si>
  <si>
    <t>POSTCODE</t>
  </si>
  <si>
    <t>CONTACT PERSON</t>
  </si>
  <si>
    <t>FAX</t>
  </si>
  <si>
    <t>VAT NUMBER</t>
  </si>
  <si>
    <t>BANK</t>
  </si>
  <si>
    <t>IBAN (Optional)</t>
  </si>
  <si>
    <t>ACCOUNT NUMBER</t>
  </si>
  <si>
    <t>CURRENCY</t>
  </si>
  <si>
    <t>REMARKS :</t>
  </si>
  <si>
    <t>FINANCIELE IDENTIFICATIE-GEGEVENS</t>
  </si>
  <si>
    <t>REKENINGHOUDER</t>
  </si>
  <si>
    <t>NAAM</t>
  </si>
  <si>
    <t>ADRES</t>
  </si>
  <si>
    <t>GEMEENTE/STAD</t>
  </si>
  <si>
    <t>POSTNUMMER</t>
  </si>
  <si>
    <t>CONTACTPERSOON</t>
  </si>
  <si>
    <t>TELEFOON</t>
  </si>
  <si>
    <t>BTW-NUMMER</t>
  </si>
  <si>
    <t>IBAN (facultatief)</t>
  </si>
  <si>
    <t>REKENINGNUMMER</t>
  </si>
  <si>
    <t>MUNT VAN REKENING</t>
  </si>
  <si>
    <t>OPMERKINGEN :</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</si>
  <si>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</si>
  <si>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</si>
  <si>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</si>
  <si>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</si>
  <si>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</si>
  <si>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</si>
  <si>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</si>
  <si>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</si>
  <si>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</si>
  <si>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</si>
  <si>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</si>
  <si>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</si>
  <si>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</si>
  <si>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</si>
  <si>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</si>
  <si>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</si>
  <si>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</si>
  <si>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</si>
  <si>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</si>
  <si>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</si>
  <si>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</si>
  <si>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</si>
  <si>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</si>
  <si>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</si>
  <si>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</si>
  <si>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</si>
  <si>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</si>
  <si>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</si>
  <si>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</si>
  <si>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</si>
  <si>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</si>
  <si>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</si>
  <si>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</si>
  <si>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</si>
  <si>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</si>
  <si>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</si>
  <si>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</si>
  <si>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</si>
  <si>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</si>
  <si>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</si>
  <si>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</si>
  <si>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</si>
  <si>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</si>
  <si>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</si>
  <si>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</si>
  <si>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</si>
  <si>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</si>
  <si>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</si>
  <si>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</si>
  <si>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</si>
  <si>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</si>
  <si>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</si>
  <si>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</si>
  <si>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</si>
  <si>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</si>
  <si>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</si>
  <si>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</si>
  <si>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</si>
  <si>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</si>
  <si>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</si>
  <si>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</si>
  <si>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</si>
  <si>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</si>
  <si>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</si>
  <si>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</si>
  <si>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</si>
  <si>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</si>
  <si>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</si>
  <si>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</si>
  <si>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</si>
  <si>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</si>
  <si>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</si>
  <si>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</si>
  <si>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</si>
  <si>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</si>
  <si>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</si>
  <si>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</si>
  <si>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</si>
  <si>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</si>
  <si>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</si>
  <si>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</si>
  <si>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</si>
  <si>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</si>
  <si>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</si>
  <si>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</si>
  <si>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</si>
  <si>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</si>
  <si>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</si>
  <si>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</si>
  <si>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</si>
  <si>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</si>
  <si>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</si>
  <si>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</si>
  <si>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</si>
  <si>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</si>
  <si>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</si>
  <si>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</si>
  <si>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</si>
  <si>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</si>
  <si>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</si>
  <si>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</si>
  <si>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</si>
  <si>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</si>
  <si>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</si>
  <si>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</si>
  <si>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</si>
  <si>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</si>
  <si>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</si>
  <si>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</si>
  <si>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</si>
  <si>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</si>
  <si>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</si>
  <si>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</si>
  <si>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</si>
  <si>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</si>
  <si>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</si>
  <si>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</si>
  <si>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</si>
  <si>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</si>
  <si>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</si>
  <si>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</si>
  <si>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</si>
  <si>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</si>
  <si>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</si>
  <si>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</si>
  <si>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</si>
  <si>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</si>
  <si>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</si>
  <si>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</si>
  <si>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</si>
  <si>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</si>
  <si>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</si>
  <si>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</si>
  <si>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</si>
  <si>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</si>
  <si>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</si>
  <si>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</si>
  <si>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</si>
  <si>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</si>
  <si>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</si>
  <si>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</si>
  <si>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</si>
  <si>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</si>
  <si>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</si>
  <si>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</si>
  <si>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</si>
  <si>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</si>
  <si>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</si>
  <si>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</si>
  <si>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</si>
  <si>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</si>
  <si>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</si>
  <si>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</si>
  <si>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</si>
  <si>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</si>
  <si>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</si>
  <si>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</si>
  <si>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</si>
  <si>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</si>
  <si>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</si>
  <si>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</si>
  <si>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</si>
  <si>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</si>
  <si>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</si>
  <si>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</si>
  <si>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</si>
  <si>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</si>
  <si>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</si>
  <si>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</si>
  <si>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</si>
  <si>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</si>
  <si>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</si>
  <si>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</si>
  <si>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</si>
  <si>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</si>
  <si>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</si>
  <si>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</si>
  <si>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</si>
  <si>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</si>
  <si>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</si>
  <si>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</si>
  <si>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</si>
  <si>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</si>
  <si>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</si>
  <si>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</si>
  <si>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</si>
  <si>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</si>
  <si>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</si>
  <si>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</si>
  <si>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</si>
  <si>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</si>
  <si>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</si>
  <si>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</si>
  <si>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</si>
  <si>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</si>
  <si>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</si>
  <si>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</si>
  <si>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</si>
  <si>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</si>
  <si>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</si>
  <si>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</si>
  <si>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</si>
  <si>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</si>
  <si>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</si>
  <si>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</si>
  <si>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</si>
  <si>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</si>
  <si>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</si>
  <si>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</si>
  <si>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</si>
  <si>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</si>
  <si>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</si>
  <si>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</si>
  <si>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</si>
  <si>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</si>
  <si>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</si>
  <si>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</si>
  <si>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</si>
  <si>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</si>
  <si>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</si>
  <si>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</si>
  <si>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</si>
  <si>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</si>
  <si>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</si>
  <si>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</si>
  <si>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</si>
  <si>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</si>
  <si>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</si>
  <si>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</si>
  <si>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</si>
  <si>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</si>
  <si>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</si>
  <si>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</si>
  <si>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</si>
  <si>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</si>
  <si>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</si>
  <si>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</si>
  <si>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</si>
  <si>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</si>
  <si>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</si>
  <si>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</si>
  <si>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</si>
  <si>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</si>
  <si>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</si>
  <si>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</si>
  <si>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</si>
  <si>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</si>
  <si>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</si>
  <si>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</si>
  <si>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</si>
  <si>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</si>
  <si>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</si>
  <si>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</si>
  <si>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</si>
  <si>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</si>
  <si>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</si>
  <si>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</si>
  <si>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</si>
  <si>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</si>
  <si>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</si>
  <si>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</si>
  <si>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</si>
  <si>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</si>
  <si>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</si>
  <si>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</si>
  <si>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</si>
  <si>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</si>
  <si>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</si>
  <si>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</si>
  <si>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</si>
  <si>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</si>
  <si>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</si>
  <si>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</si>
  <si>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</si>
  <si>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</si>
  <si>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</si>
  <si>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</si>
  <si>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</si>
  <si>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</si>
  <si>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</si>
  <si>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</si>
  <si>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</si>
  <si>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</si>
  <si>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</si>
  <si>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</si>
  <si>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</si>
  <si>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</si>
  <si>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</si>
  <si>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</si>
  <si>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</si>
  <si>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</si>
  <si>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</si>
  <si>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</si>
  <si>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</si>
  <si>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</si>
  <si>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</si>
  <si>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</si>
  <si>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</si>
  <si>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</si>
  <si>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</si>
  <si>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</si>
  <si>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</si>
  <si>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</si>
  <si>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</si>
  <si>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</si>
  <si>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</si>
  <si>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</si>
  <si>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</si>
  <si>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</si>
  <si>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</si>
  <si>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</si>
  <si>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</si>
  <si>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</si>
  <si>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</si>
  <si>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</si>
  <si>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</si>
  <si>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</si>
  <si>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</si>
  <si>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</si>
  <si>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</si>
  <si>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</si>
  <si>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</si>
  <si>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</si>
  <si>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</si>
  <si>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</si>
  <si>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</si>
  <si>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</si>
  <si>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</si>
  <si>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</si>
  <si>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</si>
  <si>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</si>
  <si>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</si>
  <si>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</si>
  <si>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</si>
  <si>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</si>
  <si>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</si>
  <si>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</si>
  <si>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</si>
  <si>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</si>
  <si>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</si>
  <si>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</si>
  <si>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</si>
  <si>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</si>
  <si>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</si>
  <si>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</si>
  <si>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</si>
  <si>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</si>
  <si>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</si>
  <si>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</si>
  <si>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</si>
  <si>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</si>
  <si>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</si>
  <si>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</si>
  <si>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</si>
  <si>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</si>
  <si>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</si>
  <si>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</si>
  <si>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</si>
  <si>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</si>
  <si>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</si>
  <si>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</si>
  <si>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</si>
  <si>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</si>
  <si>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</si>
  <si>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</si>
  <si>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</si>
  <si>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</si>
  <si>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</si>
  <si>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</si>
  <si>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</si>
  <si>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</si>
  <si>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</si>
  <si>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</si>
  <si>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</si>
  <si>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</si>
  <si>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</si>
  <si>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</si>
  <si>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</si>
  <si>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</si>
  <si>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</si>
  <si>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</si>
  <si>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</si>
  <si>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</si>
  <si>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</si>
  <si>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</si>
  <si>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</si>
  <si>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</si>
  <si>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</si>
  <si>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</si>
  <si>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</si>
  <si>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</si>
  <si>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</si>
  <si>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</si>
  <si>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</si>
  <si>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</si>
  <si>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</si>
  <si>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</si>
  <si>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</si>
  <si>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</si>
  <si>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</si>
  <si>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</si>
  <si>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</si>
  <si>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</si>
  <si>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</si>
  <si>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</si>
  <si>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</si>
  <si>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</si>
  <si>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</si>
  <si>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</si>
  <si>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</si>
  <si>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</si>
  <si>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</si>
  <si>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</si>
  <si>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</si>
  <si>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</si>
  <si>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</si>
  <si>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</si>
  <si>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</si>
  <si>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</si>
  <si>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</si>
  <si>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</si>
  <si>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</si>
  <si>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</si>
  <si>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</si>
  <si>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</si>
  <si>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</si>
  <si>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</si>
  <si>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</si>
  <si>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</si>
  <si>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</si>
  <si>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</si>
  <si>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</si>
  <si>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</si>
  <si>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</si>
  <si>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</si>
  <si>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</si>
  <si>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</si>
  <si>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</si>
  <si>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</si>
  <si>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</si>
  <si>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</si>
  <si>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</si>
  <si>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</si>
  <si>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</si>
  <si>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</si>
  <si>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</si>
  <si>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</si>
  <si>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</si>
  <si>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</si>
  <si>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</si>
  <si>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</si>
  <si>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</si>
  <si>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</si>
  <si>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</si>
  <si>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</si>
  <si>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</si>
  <si>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</si>
  <si>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</si>
  <si>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</si>
  <si>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</si>
  <si>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</si>
  <si>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</si>
  <si>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</si>
  <si>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</si>
  <si>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</si>
  <si>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</si>
  <si>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</si>
  <si>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</si>
  <si>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</si>
  <si>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</si>
  <si>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</si>
  <si>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</si>
  <si>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</si>
  <si>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</si>
  <si>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</si>
  <si>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</si>
  <si>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</si>
  <si>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</si>
  <si>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</si>
  <si>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</si>
  <si>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</si>
  <si>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</si>
  <si>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</si>
  <si>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</si>
  <si>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</si>
  <si>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</si>
  <si>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</si>
  <si>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</si>
  <si>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</si>
  <si>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</si>
  <si>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</si>
  <si>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</si>
  <si>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</si>
  <si>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</si>
  <si>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</si>
  <si>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</si>
  <si>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</si>
  <si>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</si>
  <si>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</si>
  <si>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</si>
  <si>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</si>
  <si>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</si>
  <si>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</si>
  <si>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</si>
  <si>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</si>
  <si>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</si>
  <si>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</si>
  <si>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</si>
  <si>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</si>
  <si>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</si>
  <si>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</si>
  <si>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</si>
  <si>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</si>
  <si>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</si>
  <si>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</si>
  <si>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</si>
  <si>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</si>
  <si>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</si>
  <si>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</si>
  <si>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</si>
  <si>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</si>
  <si>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</si>
  <si>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</si>
  <si>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</si>
  <si>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</si>
  <si>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</si>
  <si>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</si>
  <si>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</si>
  <si>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</si>
  <si>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</si>
  <si>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</si>
  <si>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</si>
  <si>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</si>
  <si>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</si>
  <si>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</si>
  <si>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</si>
  <si>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</si>
  <si>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</si>
  <si>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</si>
  <si>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</si>
  <si>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</si>
  <si>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</si>
  <si>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</si>
  <si>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</si>
  <si>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</si>
  <si>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</si>
  <si>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</si>
  <si>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</si>
  <si>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</si>
  <si>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</si>
  <si>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</si>
  <si>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</si>
  <si>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</si>
  <si>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</si>
  <si>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</si>
  <si>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</si>
  <si>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</si>
  <si>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</si>
  <si>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</si>
  <si>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</si>
  <si>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</si>
  <si>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</si>
  <si>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</si>
  <si>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</si>
  <si>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</si>
  <si>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</si>
  <si>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</si>
  <si>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</si>
  <si>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</si>
  <si>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</si>
  <si>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</si>
  <si>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</si>
  <si>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</si>
  <si>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</si>
  <si>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</si>
  <si>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</si>
  <si>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</si>
  <si>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</si>
  <si>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</si>
  <si>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</si>
  <si>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</si>
  <si>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</si>
  <si>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</si>
  <si>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</si>
  <si>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</si>
  <si>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</si>
  <si>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</si>
  <si>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</si>
  <si>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</si>
  <si>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</si>
  <si>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</si>
  <si>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</si>
  <si>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</si>
  <si>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</si>
  <si>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</si>
  <si>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</si>
  <si>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</si>
  <si>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</si>
  <si>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</si>
  <si>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</si>
  <si>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</si>
  <si>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</si>
  <si>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</si>
  <si>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</si>
  <si>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</si>
  <si>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</si>
  <si>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</si>
  <si>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</si>
  <si>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</si>
  <si>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</si>
  <si>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</si>
  <si>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</si>
  <si>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</si>
  <si>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</si>
  <si>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</si>
  <si>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</si>
  <si>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</si>
  <si>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</si>
  <si>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</si>
  <si>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</si>
  <si>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</si>
  <si>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</si>
  <si>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</si>
  <si>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</si>
  <si>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</si>
  <si>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</si>
  <si>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</si>
  <si>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</si>
  <si>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</si>
  <si>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</si>
  <si>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</si>
  <si>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</si>
  <si>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</si>
  <si>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</si>
  <si>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</si>
  <si>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</si>
  <si>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</si>
  <si>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</si>
  <si>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</si>
  <si>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</si>
  <si>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</si>
  <si>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</si>
  <si>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</si>
  <si>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</si>
  <si>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</si>
  <si>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</si>
  <si>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</si>
  <si>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</si>
  <si>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</si>
  <si>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</si>
  <si>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</si>
  <si>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</si>
  <si>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</si>
  <si>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</si>
  <si>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</si>
  <si>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</si>
  <si>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</si>
  <si>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</si>
  <si>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</si>
  <si>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</si>
  <si>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</si>
  <si>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</si>
  <si>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</si>
  <si>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</si>
  <si>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</si>
  <si>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</si>
  <si>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</si>
  <si>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</si>
  <si>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</si>
  <si>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</si>
  <si>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</si>
  <si>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</si>
  <si>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</si>
  <si>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</si>
  <si>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</si>
  <si>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</si>
  <si>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</si>
  <si>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</si>
  <si>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</si>
  <si>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</si>
  <si>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</si>
  <si>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</si>
  <si>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</si>
  <si>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</si>
  <si>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</si>
  <si>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</si>
  <si>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</si>
  <si>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</si>
  <si>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</si>
  <si>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</si>
  <si>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</si>
  <si>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</si>
  <si>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</si>
  <si>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</si>
  <si>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</si>
  <si>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</si>
  <si>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</si>
  <si>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</si>
  <si>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</si>
  <si>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</si>
  <si>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</si>
  <si>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</si>
  <si>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</si>
  <si>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</si>
  <si>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</si>
  <si>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</si>
  <si>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</si>
  <si>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</si>
  <si>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</si>
  <si>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</si>
  <si>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</si>
  <si>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</si>
  <si>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</si>
  <si>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</si>
  <si>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</si>
  <si>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</si>
  <si>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</si>
  <si>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</si>
  <si>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</si>
  <si>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</si>
  <si>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</si>
  <si>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</si>
  <si>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</si>
  <si>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</si>
  <si>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</si>
  <si>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</si>
  <si>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</si>
  <si>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</si>
  <si>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</si>
  <si>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</si>
  <si>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</si>
  <si>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</si>
  <si>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</si>
  <si>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</si>
  <si>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</si>
  <si>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</si>
  <si>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</si>
  <si>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</si>
  <si>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</si>
  <si>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</si>
  <si>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</si>
  <si>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</si>
  <si>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</si>
  <si>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</si>
  <si>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</si>
  <si>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</si>
  <si>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</si>
  <si>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</si>
  <si>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</si>
  <si>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</si>
  <si>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</si>
  <si>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</si>
  <si>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</si>
  <si>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</si>
  <si>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</si>
  <si>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</si>
  <si>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</si>
  <si>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</si>
  <si>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</si>
  <si>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</si>
  <si>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</si>
  <si>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</si>
  <si>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</si>
  <si>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</si>
  <si>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</si>
  <si>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</si>
  <si>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</si>
  <si>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</si>
  <si>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</si>
  <si>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</si>
  <si>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</si>
  <si>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</si>
  <si>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</si>
  <si>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</si>
  <si>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</si>
  <si>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</si>
  <si>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</si>
  <si>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</si>
  <si>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</si>
  <si>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</si>
  <si>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</si>
  <si>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</si>
  <si>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</si>
  <si>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</si>
  <si>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</si>
  <si>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</si>
  <si>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</si>
  <si>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</si>
  <si>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</si>
  <si>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</si>
  <si>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</si>
  <si>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</si>
  <si>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</si>
  <si>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</si>
  <si>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</si>
  <si>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</si>
  <si>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</si>
  <si>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</si>
  <si>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</si>
  <si>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</si>
  <si>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</si>
  <si>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</si>
  <si>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</si>
  <si>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</si>
  <si>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</si>
  <si>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</si>
  <si>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</si>
  <si>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</si>
  <si>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</si>
  <si>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</si>
  <si>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</si>
  <si>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</si>
  <si>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</si>
  <si>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</si>
  <si>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</si>
  <si>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</si>
  <si>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</si>
  <si>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</si>
  <si>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</si>
  <si>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</si>
  <si>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</si>
  <si>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</si>
  <si>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</si>
  <si>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</si>
  <si>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</si>
  <si>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</si>
  <si>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</si>
  <si>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</si>
  <si>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</si>
  <si>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</si>
  <si>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</si>
  <si>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</si>
  <si>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</si>
  <si>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</si>
  <si>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</si>
  <si>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</si>
  <si>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</si>
  <si>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</si>
  <si>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</si>
  <si>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</si>
  <si>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</si>
  <si>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</si>
  <si>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</si>
  <si>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</si>
  <si>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</si>
  <si>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</si>
  <si>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</si>
  <si>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</si>
  <si>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</si>
  <si>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</si>
  <si>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</si>
  <si>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</si>
  <si>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</si>
  <si>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</si>
  <si>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</si>
  <si>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</si>
  <si>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</si>
  <si>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</si>
  <si>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</si>
  <si>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</si>
  <si>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</si>
  <si>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</si>
  <si>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</si>
  <si>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</si>
  <si>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</si>
  <si>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</si>
  <si>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</si>
  <si>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</si>
  <si>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</si>
  <si>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</si>
  <si>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</si>
  <si>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</si>
  <si>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</si>
  <si>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</si>
  <si>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</si>
  <si>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</si>
  <si>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</si>
  <si>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</si>
  <si>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</si>
  <si>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</si>
  <si>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</si>
  <si>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</si>
  <si>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</si>
  <si>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</si>
  <si>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</si>
  <si>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</si>
  <si>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</si>
  <si>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</si>
  <si>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</si>
  <si>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</si>
  <si>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</si>
  <si>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</si>
  <si>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</si>
  <si>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</si>
  <si>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</si>
  <si>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</si>
  <si>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</si>
  <si>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</si>
  <si>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</si>
  <si>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</si>
  <si>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</si>
  <si>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</si>
  <si>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</si>
  <si>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</si>
  <si>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</si>
  <si>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</si>
  <si>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</si>
  <si>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</si>
  <si>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</si>
  <si>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</si>
  <si>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</si>
  <si>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</si>
  <si>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</si>
  <si>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</si>
  <si>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</si>
  <si>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</si>
  <si>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</si>
  <si>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</si>
  <si>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</si>
  <si>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</si>
  <si>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</si>
  <si>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</si>
  <si>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</si>
  <si>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</si>
  <si>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</si>
  <si>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</si>
  <si>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</si>
  <si>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</si>
  <si>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</si>
  <si>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</si>
  <si>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</si>
  <si>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</si>
  <si>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</si>
  <si>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</si>
  <si>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</si>
  <si>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</si>
  <si>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</si>
  <si>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</si>
  <si>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</si>
  <si>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</si>
  <si>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</si>
  <si>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</si>
  <si>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</si>
  <si>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</si>
  <si>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</si>
  <si>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</si>
  <si>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</si>
  <si>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</si>
  <si>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</si>
  <si>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</si>
  <si>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</si>
  <si>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</si>
  <si>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</si>
  <si>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</si>
  <si>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</si>
  <si>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</si>
  <si>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</si>
  <si>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</si>
  <si>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</si>
  <si>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</si>
  <si>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</si>
  <si>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</si>
  <si>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</si>
  <si>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</si>
  <si>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</si>
  <si>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</si>
  <si>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</si>
  <si>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</si>
  <si>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</si>
  <si>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</si>
  <si>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</si>
  <si>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</si>
  <si>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</si>
  <si>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</si>
  <si>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</si>
  <si>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</si>
  <si>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ORT</t>
  </si>
  <si>
    <t>KONTAKTPERSON</t>
  </si>
  <si>
    <t>E - MAIL</t>
  </si>
  <si>
    <t>TELEFON</t>
  </si>
  <si>
    <t>TELEFAX</t>
  </si>
  <si>
    <t>SIGNALETIQUE FINANCIER</t>
  </si>
  <si>
    <t>TITULAIRE DU COMPTE BANCAIRE</t>
  </si>
  <si>
    <t>NOM</t>
  </si>
  <si>
    <t>ADRESSE</t>
  </si>
  <si>
    <t>COMMUNE/VILLE</t>
  </si>
  <si>
    <t>CODE POSTAL</t>
  </si>
  <si>
    <t>CONTACT</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</si>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</sst>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color indexed="63"/>
      </top>
      <bottom style="dashed"/>
    </border>
    <border>
      <left>
        <color indexed="63"/>
      </left>
      <right>
        <color indexed="63"/>
      </right>
      <top style="dashed"/>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tted"/>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color indexed="63"/>
      </left>
      <right>
        <color indexed="63"/>
      </right>
      <top style="dotted"/>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5">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4" fillId="0" borderId="0" xfId="0" applyFont="1" applyAlignment="1" applyProtection="1">
      <alignment horizontal="center" vertic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6" xfId="21" applyFont="1" applyFill="1" applyBorder="1" applyAlignment="1" applyProtection="1">
      <alignment horizontal="center" wrapText="1"/>
      <protection hidden="1"/>
    </xf>
    <xf numFmtId="0" fontId="25" fillId="0" borderId="3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6" xfId="22" applyFont="1" applyFill="1" applyBorder="1" applyAlignment="1" applyProtection="1">
      <alignment horizontal="center" wrapText="1"/>
      <protection hidden="1"/>
    </xf>
    <xf numFmtId="0" fontId="25" fillId="0" borderId="36" xfId="22" applyFont="1" applyFill="1" applyBorder="1" applyAlignment="1" applyProtection="1">
      <alignment horizontal="left" wrapText="1"/>
      <protection hidden="1"/>
    </xf>
    <xf numFmtId="0" fontId="25" fillId="2" borderId="3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7" xfId="21" applyFont="1" applyFill="1" applyBorder="1" applyAlignment="1" applyProtection="1">
      <alignment horizontal="center"/>
      <protection hidden="1"/>
    </xf>
    <xf numFmtId="0" fontId="25" fillId="0" borderId="3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3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3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39" xfId="0" applyFont="1" applyBorder="1" applyAlignment="1">
      <alignment wrapText="1"/>
    </xf>
    <xf numFmtId="0" fontId="25" fillId="0" borderId="36" xfId="0" applyFont="1" applyBorder="1" applyAlignment="1">
      <alignment wrapText="1"/>
    </xf>
    <xf numFmtId="0" fontId="25" fillId="2" borderId="0" xfId="21" applyFont="1" applyFill="1" applyBorder="1" applyAlignment="1" applyProtection="1">
      <alignment horizontal="center"/>
      <protection hidden="1"/>
    </xf>
    <xf numFmtId="0" fontId="25" fillId="2" borderId="4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0" xfId="0" applyAlignment="1">
      <alignment horizontal="center" vertical="center"/>
    </xf>
    <xf numFmtId="0" fontId="45" fillId="2" borderId="4" xfId="0" applyFont="1" applyFill="1" applyBorder="1" applyAlignment="1" applyProtection="1">
      <alignment horizontal="center" vertical="center"/>
      <protection hidden="1"/>
    </xf>
    <xf numFmtId="0" fontId="45" fillId="0" borderId="0" xfId="0" applyFont="1" applyBorder="1" applyAlignment="1" applyProtection="1">
      <alignment horizontal="left"/>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2" borderId="2"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5" fillId="2" borderId="10" xfId="0" applyFont="1" applyFill="1" applyBorder="1" applyAlignment="1" applyProtection="1">
      <alignment horizontal="center"/>
      <protection hidden="1"/>
    </xf>
    <xf numFmtId="0" fontId="1" fillId="0" borderId="41"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2"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3"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3"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3"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3"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3"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3"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3"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3"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3"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2"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1" fillId="9" borderId="72" xfId="0" applyFont="1" applyFill="1" applyBorder="1" applyAlignment="1" applyProtection="1">
      <alignment horizontal="left" vertical="center"/>
      <protection locked="0"/>
    </xf>
    <xf numFmtId="0" fontId="62"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1" fillId="9" borderId="72" xfId="0" applyFont="1" applyFill="1" applyBorder="1" applyAlignment="1" applyProtection="1">
      <alignment horizontal="left"/>
      <protection locked="0"/>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4" fillId="0" borderId="68"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4" fillId="0" borderId="74"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5" xfId="0" applyFont="1" applyBorder="1" applyAlignment="1" applyProtection="1">
      <alignment horizontal="center"/>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0" fillId="0" borderId="76" xfId="0" applyBorder="1" applyAlignment="1" applyProtection="1">
      <alignment horizontal="center"/>
      <protection hidden="1"/>
    </xf>
    <xf numFmtId="0" fontId="4" fillId="0" borderId="68"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2" fillId="0" borderId="43" xfId="0" applyFont="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0" fillId="9" borderId="77" xfId="0" applyFill="1" applyBorder="1" applyAlignment="1" applyProtection="1">
      <alignment horizontal="left"/>
      <protection locked="0"/>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4" fillId="0" borderId="68"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0" fillId="0" borderId="0" xfId="0" applyAlignment="1" applyProtection="1">
      <alignment/>
      <protection hidden="1"/>
    </xf>
    <xf numFmtId="0" fontId="0" fillId="0" borderId="43" xfId="0" applyBorder="1" applyAlignment="1" applyProtection="1">
      <alignment/>
      <protection hidden="1"/>
    </xf>
    <xf numFmtId="0" fontId="1" fillId="0" borderId="0" xfId="0" applyFont="1" applyAlignment="1" applyProtection="1">
      <alignment horizontal="center" vertic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58" t="str">
        <f>Lbl_Title_Line1</f>
        <v>FORMULAIRE DE DEMANDE 2002</v>
      </c>
      <c r="C2" s="456"/>
      <c r="D2" s="456"/>
      <c r="E2" s="456"/>
      <c r="F2" s="456"/>
      <c r="G2" s="456"/>
      <c r="H2" s="456"/>
      <c r="I2" s="457"/>
      <c r="J2" s="279"/>
    </row>
    <row r="3" spans="2:10" s="278" customFormat="1" ht="17.25">
      <c r="B3" s="446" t="str">
        <f>lbl_soustitre</f>
        <v>Programme d'action communautaire de lutte contre l'exclusion sociale 2002-2006</v>
      </c>
      <c r="C3" s="445"/>
      <c r="D3" s="445"/>
      <c r="E3" s="445"/>
      <c r="F3" s="445"/>
      <c r="G3" s="445"/>
      <c r="H3" s="445"/>
      <c r="I3" s="391"/>
      <c r="J3" s="279"/>
    </row>
    <row r="4" spans="2:10" s="261" customFormat="1" ht="56.25" customHeight="1">
      <c r="B4" s="454" t="str">
        <f>Lbl_Title_Line2</f>
        <v>Soutien aux principaux réseaux européens qui participent à la lutte contre la pauvreté et l'exclusion sociale</v>
      </c>
      <c r="C4" s="455"/>
      <c r="D4" s="455"/>
      <c r="E4" s="455"/>
      <c r="F4" s="455"/>
      <c r="G4" s="455"/>
      <c r="H4" s="455"/>
      <c r="I4" s="452"/>
      <c r="J4" s="260"/>
    </row>
    <row r="5" spans="2:10" s="278" customFormat="1" ht="18" customHeight="1" thickBot="1">
      <c r="B5" s="453" t="str">
        <f>Lbl_Title_Line4&amp;" "&amp;'Part I'!J5</f>
        <v>LIGNE BUDGETAIRE B3-4105</v>
      </c>
      <c r="C5" s="450"/>
      <c r="D5" s="450"/>
      <c r="E5" s="450"/>
      <c r="F5" s="450"/>
      <c r="G5" s="450"/>
      <c r="H5" s="450"/>
      <c r="I5" s="451"/>
      <c r="J5" s="279"/>
    </row>
    <row r="6" spans="2:10" s="257" customFormat="1" ht="18" customHeight="1">
      <c r="B6" s="258"/>
      <c r="C6" s="258"/>
      <c r="D6" s="258"/>
      <c r="E6" s="258"/>
      <c r="F6" s="258"/>
      <c r="G6" s="258"/>
      <c r="H6" s="258"/>
      <c r="I6" s="258"/>
      <c r="J6" s="259"/>
    </row>
    <row r="7" spans="2:9" ht="19.5" customHeight="1" thickBot="1">
      <c r="B7" s="447" t="str">
        <f>Blb_Choix_Lng</f>
        <v>Choisissez votre langue</v>
      </c>
      <c r="C7" s="447"/>
      <c r="D7" s="447"/>
      <c r="E7" s="447"/>
      <c r="F7" s="447"/>
      <c r="G7" s="447"/>
      <c r="H7" s="447"/>
      <c r="I7" s="447"/>
    </row>
    <row r="8" spans="2:9" ht="12.75" customHeight="1">
      <c r="B8" s="265"/>
      <c r="C8" s="265"/>
      <c r="D8" s="265"/>
      <c r="E8" s="479" t="s">
        <v>1470</v>
      </c>
      <c r="F8" s="480"/>
      <c r="G8" s="477">
        <f>IF(OR(E8="Allemand",E8="German",E8="Deutsch"),"X","")</f>
      </c>
      <c r="H8" s="478"/>
      <c r="I8" s="478"/>
    </row>
    <row r="9" spans="2:9" s="255" customFormat="1" ht="17.25">
      <c r="B9" s="266"/>
      <c r="C9" s="266"/>
      <c r="D9" s="266"/>
      <c r="E9" s="481"/>
      <c r="F9" s="482"/>
      <c r="G9" s="448">
        <f>IF(OR(E8="English",E8="Anglais",E8="Englisch"),"X","")</f>
      </c>
      <c r="H9" s="449"/>
      <c r="I9" s="449"/>
    </row>
    <row r="10" spans="2:9" ht="15" customHeight="1" thickBot="1">
      <c r="B10" s="460"/>
      <c r="C10" s="460"/>
      <c r="D10" s="461"/>
      <c r="E10" s="483"/>
      <c r="F10" s="462"/>
      <c r="G10" s="477" t="str">
        <f>IF(OR(E8="Français",E8="French",E8="Französisch"),"X","")</f>
        <v>X</v>
      </c>
      <c r="H10" s="478"/>
      <c r="I10" s="478"/>
    </row>
    <row r="11" spans="2:9" s="256" customFormat="1" ht="51.75" customHeight="1">
      <c r="B11" s="459"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59"/>
      <c r="D11" s="459"/>
      <c r="E11" s="459"/>
      <c r="F11" s="459"/>
      <c r="G11" s="459"/>
      <c r="H11" s="459"/>
      <c r="I11" s="459"/>
    </row>
    <row r="12" spans="2:9" s="256" customFormat="1" ht="46.5" customHeight="1">
      <c r="B12" s="476" t="str">
        <f>Lbl_Choix_EN</f>
        <v>Once you have selected the language of your choice and have read the following instructions, please proceed to next document "Part I" which you may access by clicking on the tab on the lower left border of this screen.</v>
      </c>
      <c r="C12" s="476"/>
      <c r="D12" s="476"/>
      <c r="E12" s="476"/>
      <c r="F12" s="476"/>
      <c r="G12" s="476"/>
      <c r="H12" s="476"/>
      <c r="I12" s="476"/>
    </row>
    <row r="13" spans="2:9" s="24" customFormat="1" ht="48.75" customHeight="1">
      <c r="B13" s="476" t="str">
        <f>Lbl_Choix_DE</f>
        <v>Wenn Sie Ihre Sprache ausgewählt und die nachstehenden Anweisungen gelesen haben, gelangen Sie durch Betätigung der Tabs unten links auf dem Bildschirm zu dem Formular "Teil I" </v>
      </c>
      <c r="C13" s="476"/>
      <c r="D13" s="476"/>
      <c r="E13" s="476"/>
      <c r="F13" s="476"/>
      <c r="G13" s="476"/>
      <c r="H13" s="476"/>
      <c r="I13" s="476"/>
    </row>
    <row r="14" spans="2:9" s="24" customFormat="1" ht="30" customHeight="1">
      <c r="B14" s="263"/>
      <c r="C14" s="263"/>
      <c r="D14" s="263"/>
      <c r="E14" s="263"/>
      <c r="F14" s="263"/>
      <c r="G14" s="263"/>
      <c r="H14" s="263"/>
      <c r="I14" s="263"/>
    </row>
    <row r="15" spans="2:9" s="277" customFormat="1" ht="48.75" customHeight="1">
      <c r="B15" s="468" t="str">
        <f>Lbl_Fill_Form</f>
        <v>COMMENT REMPLIR LE FORMULAIRE :</v>
      </c>
      <c r="C15" s="468"/>
      <c r="D15" s="468"/>
      <c r="E15" s="468"/>
      <c r="F15" s="468"/>
      <c r="G15" s="468"/>
      <c r="H15" s="468"/>
      <c r="I15" s="468"/>
    </row>
    <row r="16" spans="2:9" s="254" customFormat="1" ht="45" customHeight="1">
      <c r="B16" s="475" t="str">
        <f>Lbl_Line1</f>
        <v>1. Veuillez lire les "lignes directrices relatives à l'appel à propositions VP/2002/008 concernant le soutien aux principaux européens qui participent à la lutte contre la pauvreté et l'exclusion sociale (au titre de la ligne B3-4105 du budget 2002)".</v>
      </c>
      <c r="C16" s="475"/>
      <c r="D16" s="475"/>
      <c r="E16" s="475"/>
      <c r="F16" s="475"/>
      <c r="G16" s="475"/>
      <c r="H16" s="475"/>
      <c r="I16" s="475"/>
    </row>
    <row r="17" spans="2:9" s="264" customFormat="1" ht="45" customHeight="1">
      <c r="B17" s="475" t="str">
        <f>Lbl_Line2</f>
        <v>2. Ce formulaire se compose de trois parties : - la partie I ci-après concerne votre organisation ; - la partie II concerne votre proposition ; - la partie III concerne le budget.</v>
      </c>
      <c r="C17" s="475"/>
      <c r="D17" s="475"/>
      <c r="E17" s="475"/>
      <c r="F17" s="475"/>
      <c r="G17" s="475"/>
      <c r="H17" s="475"/>
      <c r="I17" s="475"/>
    </row>
    <row r="18" spans="2:9" s="264" customFormat="1" ht="42" customHeight="1">
      <c r="B18" s="475" t="str">
        <f>Lbl_Line3</f>
        <v>3. Le réseau européen, en consultation avec ses membres, doit remplir la partie I "Présentation générale du réseau européen",  y compris signer et dater, la partie II (Proposition) et la partie III (Budget). </v>
      </c>
      <c r="C18" s="475"/>
      <c r="D18" s="475"/>
      <c r="E18" s="475"/>
      <c r="F18" s="475"/>
      <c r="G18" s="475"/>
      <c r="H18" s="475"/>
      <c r="I18" s="475"/>
    </row>
    <row r="19" spans="2:9" s="264" customFormat="1" ht="45" customHeight="1" hidden="1">
      <c r="B19" s="475" t="str">
        <f>Lbl_Line4</f>
        <v>4. Chaque organisation partenaire devra remplir, signer et dater la partie II "Informations concernant les organisations co-candidates/partenaires".</v>
      </c>
      <c r="C19" s="475"/>
      <c r="D19" s="475"/>
      <c r="E19" s="475"/>
      <c r="F19" s="475"/>
      <c r="G19" s="475"/>
      <c r="H19" s="475"/>
      <c r="I19" s="475"/>
    </row>
    <row r="20" spans="2:9" s="264" customFormat="1" ht="45" customHeight="1" hidden="1">
      <c r="B20" s="475" t="str">
        <f>Lbl_Line5</f>
        <v>5. La principale organisation candidate, en consultation avec les organisations partenaires, devra remplir la partie III "Description et justification de la proposition" et la partie IV "Budget de la proposition". </v>
      </c>
      <c r="C20" s="475"/>
      <c r="D20" s="475"/>
      <c r="E20" s="475"/>
      <c r="F20" s="475"/>
      <c r="G20" s="475"/>
      <c r="H20" s="475"/>
      <c r="I20" s="475"/>
    </row>
    <row r="21" spans="2:9" s="264" customFormat="1" ht="45.75" customHeight="1">
      <c r="B21" s="485"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85"/>
      <c r="D21" s="485"/>
      <c r="E21" s="485"/>
      <c r="F21" s="485"/>
      <c r="G21" s="485"/>
      <c r="H21" s="485"/>
      <c r="I21" s="485"/>
    </row>
    <row r="22" spans="2:9" s="264" customFormat="1" ht="30" customHeight="1" hidden="1">
      <c r="B22" s="475" t="str">
        <f>Lbl_Line7</f>
        <v>. une lettre d'accompagnement présentant votre demande de financement,</v>
      </c>
      <c r="C22" s="475"/>
      <c r="D22" s="475"/>
      <c r="E22" s="475"/>
      <c r="F22" s="475"/>
      <c r="G22" s="475"/>
      <c r="H22" s="475"/>
      <c r="I22" s="475"/>
    </row>
    <row r="23" spans="2:9" s="264" customFormat="1" ht="30" customHeight="1" hidden="1">
      <c r="B23" s="475" t="str">
        <f>Lbl_Line8</f>
        <v>. l'original et une copie de votre formulaire de demande (parties I, II, III et IV), y compris de tout feuillet supplémentaire,</v>
      </c>
      <c r="C23" s="475"/>
      <c r="D23" s="475"/>
      <c r="E23" s="475"/>
      <c r="F23" s="475"/>
      <c r="G23" s="475"/>
      <c r="H23" s="475"/>
      <c r="I23" s="475"/>
    </row>
    <row r="24" spans="2:9" s="264" customFormat="1" ht="54" customHeight="1" hidden="1">
      <c r="B24" s="475"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5"/>
      <c r="D24" s="475"/>
      <c r="E24" s="475"/>
      <c r="F24" s="475"/>
      <c r="G24" s="475"/>
      <c r="H24" s="475"/>
      <c r="I24" s="475"/>
    </row>
    <row r="25" spans="2:9" s="264" customFormat="1" ht="45" customHeight="1" hidden="1">
      <c r="B25" s="475" t="str">
        <f>Lbl_Line10</f>
        <v>. le curriculum vitae détaillé/la description des tâches du responsable de projet,</v>
      </c>
      <c r="C25" s="475"/>
      <c r="D25" s="475"/>
      <c r="E25" s="475"/>
      <c r="F25" s="475"/>
      <c r="G25" s="475"/>
      <c r="H25" s="475"/>
      <c r="I25" s="475"/>
    </row>
    <row r="26" spans="2:9" s="264" customFormat="1" ht="30" customHeight="1" hidden="1">
      <c r="B26" s="475" t="str">
        <f>Lbl_Line11</f>
        <v>. deux exemplaires de votre rapport d'activité ou de votre rapport annuel le plus récent,</v>
      </c>
      <c r="C26" s="475"/>
      <c r="D26" s="475"/>
      <c r="E26" s="475"/>
      <c r="F26" s="475"/>
      <c r="G26" s="475"/>
      <c r="H26" s="475"/>
      <c r="I26" s="475"/>
    </row>
    <row r="27" spans="2:9" s="264" customFormat="1" ht="30" customHeight="1" hidden="1">
      <c r="B27" s="475" t="str">
        <f>Lbl_Line12</f>
        <v>. deux exemplaires de vos comptes de 2001 ou d'informations financières équivalentes, de préférence accompagnés d'un certificat d'audit,</v>
      </c>
      <c r="C27" s="475"/>
      <c r="D27" s="475"/>
      <c r="E27" s="475"/>
      <c r="F27" s="475"/>
      <c r="G27" s="475"/>
      <c r="H27" s="475"/>
      <c r="I27" s="475"/>
    </row>
    <row r="28" spans="2:9" s="264" customFormat="1" ht="30" customHeight="1" hidden="1">
      <c r="B28" s="475" t="str">
        <f>Lbl_Line13</f>
        <v>. deux exemplaires des statuts ou d'un document équivalent de la principale organisation candidate, </v>
      </c>
      <c r="C28" s="475"/>
      <c r="D28" s="475"/>
      <c r="E28" s="475"/>
      <c r="F28" s="475"/>
      <c r="G28" s="475"/>
      <c r="H28" s="475"/>
      <c r="I28" s="475"/>
    </row>
    <row r="29" spans="2:9" s="264" customFormat="1" ht="30" customHeight="1" hidden="1">
      <c r="B29" s="475" t="str">
        <f>Lbl_Line14</f>
        <v>. et le relevé bancaire (signalétique financier annexé à la partie I ) signé concernant le compte sur lequel les versements pour la proposition devront être effectués.</v>
      </c>
      <c r="C29" s="475"/>
      <c r="D29" s="475"/>
      <c r="E29" s="475"/>
      <c r="F29" s="475"/>
      <c r="G29" s="475"/>
      <c r="H29" s="475"/>
      <c r="I29" s="475"/>
    </row>
    <row r="30" spans="2:9" s="264" customFormat="1" ht="5.25" customHeight="1" hidden="1">
      <c r="B30" s="475" t="str">
        <f>Lbl_Line15</f>
        <v>Si vous le souhaitez, vous pouvez également développer un point du formulaire de demande sur un ou plusieurs feuillet(s) séparé(s). Dans ce cas, veuillez l'indiquer clairement dans la partie concernée du formulaire de demande et sur le(s) feuillet(s).  </v>
      </c>
      <c r="C30" s="475"/>
      <c r="D30" s="475"/>
      <c r="E30" s="475"/>
      <c r="F30" s="475"/>
      <c r="G30" s="475"/>
      <c r="H30" s="475"/>
      <c r="I30" s="475"/>
    </row>
    <row r="31" spans="2:9" s="252" customFormat="1" ht="39.75" customHeight="1">
      <c r="B31" s="475"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5"/>
      <c r="D31" s="475"/>
      <c r="E31" s="475"/>
      <c r="F31" s="475"/>
      <c r="G31" s="475"/>
      <c r="H31" s="475"/>
      <c r="I31" s="475"/>
    </row>
    <row r="32" spans="2:9" s="262" customFormat="1" ht="15">
      <c r="B32" s="484" t="str">
        <f>Lbl_Com0</f>
        <v>Archives (J-37 0/26) - Appel à propositions VP/2002/008</v>
      </c>
      <c r="C32" s="484"/>
      <c r="D32" s="484"/>
      <c r="E32" s="484"/>
      <c r="F32" s="484"/>
      <c r="G32" s="484"/>
      <c r="H32" s="484"/>
      <c r="I32" s="484"/>
    </row>
    <row r="33" spans="2:9" s="262" customFormat="1" ht="15">
      <c r="B33" s="484" t="str">
        <f>Lbl_Com1</f>
        <v>Commission européenne</v>
      </c>
      <c r="C33" s="484"/>
      <c r="D33" s="484"/>
      <c r="E33" s="484"/>
      <c r="F33" s="253"/>
      <c r="G33" s="253"/>
      <c r="H33" s="253"/>
      <c r="I33" s="253"/>
    </row>
    <row r="34" spans="2:9" s="262" customFormat="1" ht="27.75" customHeight="1">
      <c r="B34" s="484" t="str">
        <f>Lbl_Com2</f>
        <v>DG Emploi et affaires sociales</v>
      </c>
      <c r="C34" s="484"/>
      <c r="D34" s="484"/>
      <c r="E34" s="253"/>
      <c r="F34" s="253"/>
      <c r="G34" s="253"/>
      <c r="H34" s="253"/>
      <c r="I34" s="253"/>
    </row>
    <row r="35" spans="2:9" s="262" customFormat="1" ht="15" hidden="1">
      <c r="B35" s="484" t="str">
        <f>Lbl_Com3</f>
        <v>Rue de la Loi 200/Wetstraat 200</v>
      </c>
      <c r="C35" s="484"/>
      <c r="D35" s="484"/>
      <c r="E35" s="253"/>
      <c r="F35" s="253"/>
      <c r="G35" s="253"/>
      <c r="H35" s="253"/>
      <c r="I35" s="253"/>
    </row>
    <row r="36" spans="2:9" s="262" customFormat="1" ht="15">
      <c r="B36" s="484" t="str">
        <f>Lbl_Com4</f>
        <v>B-1049 Bruxelles</v>
      </c>
      <c r="C36" s="484"/>
      <c r="D36" s="484"/>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5" t="str">
        <f>Lbl_Line17</f>
        <v>6. Envoyez les trois parties remplies de ce formulaire par courrier électronique au plus tard le 17/07/2002 à l'adresse suivante: empl-e2@cec.eu.int  avec la mention "VP/2002/008 - candidature"</v>
      </c>
      <c r="C38" s="475"/>
      <c r="D38" s="475"/>
      <c r="E38" s="475"/>
      <c r="F38" s="475"/>
      <c r="G38" s="475"/>
      <c r="H38" s="475"/>
      <c r="I38" s="475"/>
    </row>
    <row r="39" spans="2:9" s="252" customFormat="1" ht="48.75" customHeight="1">
      <c r="B39" s="475" t="str">
        <f>Lbl_Line18</f>
        <v>7. Pour toute question concernant votre demande, contactez nous en citant la référence "VP/2002/008 - info" auprès des points de contact mentionnés dans les lignes directrices.  </v>
      </c>
      <c r="C39" s="475"/>
      <c r="D39" s="475"/>
      <c r="E39" s="475"/>
      <c r="F39" s="475"/>
      <c r="G39" s="475"/>
      <c r="H39" s="475"/>
      <c r="I39" s="475"/>
    </row>
    <row r="40" spans="2:9" s="252" customFormat="1" ht="6" customHeight="1">
      <c r="B40" s="251"/>
      <c r="C40" s="251"/>
      <c r="D40" s="251"/>
      <c r="E40" s="251"/>
      <c r="F40" s="251"/>
      <c r="G40" s="251"/>
      <c r="H40" s="251"/>
      <c r="I40" s="251"/>
    </row>
    <row r="41" spans="2:9" s="255" customFormat="1" ht="40.5" customHeight="1">
      <c r="B41" s="392" t="str">
        <f>Lbl_Instruction</f>
        <v>INSTRUCTIONS POUR LA PARTIE I :</v>
      </c>
      <c r="C41" s="392"/>
      <c r="D41" s="392"/>
      <c r="E41" s="392"/>
      <c r="F41" s="392"/>
      <c r="G41" s="392"/>
      <c r="H41" s="392"/>
      <c r="I41" s="392"/>
    </row>
    <row r="42" spans="2:9" ht="54.75" customHeight="1">
      <c r="B42" s="46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4"/>
      <c r="D42" s="464"/>
      <c r="E42" s="464"/>
      <c r="F42" s="464"/>
      <c r="G42" s="464"/>
      <c r="H42" s="464"/>
      <c r="I42" s="464"/>
    </row>
    <row r="43" spans="2:9" ht="41.25" customHeight="1">
      <c r="B43" s="467"/>
      <c r="C43" s="467"/>
      <c r="D43" s="467"/>
      <c r="E43" s="467"/>
      <c r="F43" s="467"/>
      <c r="G43" s="467"/>
      <c r="H43" s="467"/>
      <c r="I43" s="467"/>
    </row>
    <row r="44" spans="2:9" ht="59.25" customHeight="1">
      <c r="B44" s="470"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70"/>
      <c r="D44" s="470"/>
      <c r="E44" s="470"/>
      <c r="F44" s="470"/>
      <c r="G44" s="470"/>
      <c r="H44" s="470"/>
      <c r="I44" s="470"/>
    </row>
    <row r="45" spans="2:9" ht="39.75" customHeight="1">
      <c r="B45" s="250"/>
      <c r="C45" s="473"/>
      <c r="D45" s="473"/>
      <c r="E45" s="472"/>
      <c r="F45" s="472"/>
      <c r="G45" s="474"/>
      <c r="H45" s="474"/>
      <c r="I45" s="250"/>
    </row>
    <row r="46" spans="2:9" ht="41.25" customHeight="1">
      <c r="B46" s="465" t="str">
        <f>Lbl_Instruction2</f>
        <v>Vous pouvez vous déplacer d'une case à l'autre en utilisant la touche "tab".  Lorsque sur une cellule, vous voyez un petit bouton juxtaposé avec une flèche, vous devez utiliser une valeur de la liste déroulante, en cliquant sur ce bouton.</v>
      </c>
      <c r="C46" s="466"/>
      <c r="D46" s="466"/>
      <c r="E46" s="466"/>
      <c r="F46" s="466"/>
      <c r="G46" s="466"/>
      <c r="H46" s="466"/>
      <c r="I46" s="466"/>
    </row>
    <row r="47" spans="2:9" ht="41.25" customHeight="1">
      <c r="B47" s="99"/>
      <c r="C47" s="99"/>
      <c r="D47" s="99"/>
      <c r="E47" s="99"/>
      <c r="F47" s="99"/>
      <c r="G47" s="99"/>
      <c r="H47" s="99"/>
      <c r="I47" s="99"/>
    </row>
    <row r="48" spans="2:9" ht="84" customHeight="1">
      <c r="B48" s="463"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63"/>
      <c r="D48" s="463"/>
      <c r="E48" s="463"/>
      <c r="F48" s="463"/>
      <c r="G48" s="463"/>
      <c r="H48" s="463"/>
      <c r="I48" s="463"/>
    </row>
    <row r="49" spans="2:9" ht="41.25" customHeight="1">
      <c r="B49" s="46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63"/>
      <c r="D49" s="463"/>
      <c r="E49" s="463"/>
      <c r="F49" s="463"/>
      <c r="G49" s="463"/>
      <c r="H49" s="463"/>
      <c r="I49" s="463"/>
    </row>
    <row r="50" spans="2:9" ht="96.75" customHeight="1">
      <c r="B50" s="463"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63"/>
      <c r="D50" s="463"/>
      <c r="E50" s="463"/>
      <c r="F50" s="463"/>
      <c r="G50" s="463"/>
      <c r="H50" s="463"/>
      <c r="I50" s="463"/>
    </row>
    <row r="51" spans="2:9" ht="41.25" customHeight="1">
      <c r="B51" s="463" t="str">
        <f>lbl_instructions5</f>
        <v>Veuillez éviter les mentions 'Néant' et laisser vierges les cellules où vous n'avez pas d'informations à y insérer</v>
      </c>
      <c r="C51" s="463"/>
      <c r="D51" s="463"/>
      <c r="E51" s="463"/>
      <c r="F51" s="463"/>
      <c r="G51" s="463"/>
      <c r="H51" s="463"/>
      <c r="I51" s="463"/>
    </row>
    <row r="52" spans="2:9" ht="18.75" customHeight="1">
      <c r="B52" s="99"/>
      <c r="C52" s="99"/>
      <c r="D52" s="99"/>
      <c r="E52" s="99"/>
      <c r="F52" s="99"/>
      <c r="G52" s="99"/>
      <c r="H52" s="99"/>
      <c r="I52" s="99"/>
    </row>
    <row r="53" spans="2:9" ht="51" customHeight="1">
      <c r="B53" s="471"/>
      <c r="C53" s="471"/>
      <c r="D53" s="471"/>
      <c r="E53" s="471"/>
      <c r="F53" s="471"/>
      <c r="G53" s="471"/>
      <c r="H53" s="471"/>
      <c r="I53" s="471"/>
    </row>
    <row r="55" spans="2:9" ht="12.75">
      <c r="B55" s="469"/>
      <c r="C55" s="469"/>
      <c r="D55" s="469"/>
      <c r="E55" s="469"/>
      <c r="F55" s="469"/>
      <c r="G55" s="469"/>
      <c r="H55" s="469"/>
      <c r="I55" s="469"/>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9"/>
      <c r="D1" s="695" t="str">
        <f>Lbl_Title_Line1</f>
        <v>FORMULAIRE DE DEMANDE 2002</v>
      </c>
      <c r="E1" s="695"/>
      <c r="F1" s="695"/>
      <c r="G1" s="695"/>
      <c r="H1" s="695"/>
      <c r="I1" s="695"/>
      <c r="J1" s="695"/>
      <c r="K1" s="695"/>
      <c r="L1" s="695"/>
      <c r="M1" s="223"/>
      <c r="N1" s="223"/>
      <c r="O1" s="79"/>
      <c r="P1" s="186"/>
      <c r="Q1" s="186"/>
      <c r="R1" s="186"/>
      <c r="S1" s="186"/>
      <c r="T1" s="186"/>
      <c r="U1" s="186"/>
      <c r="V1" s="186"/>
      <c r="W1" s="186"/>
      <c r="X1" s="186"/>
      <c r="Y1" s="186"/>
      <c r="Z1" s="186"/>
      <c r="AA1" s="99"/>
    </row>
    <row r="2" spans="1:27" s="106" customFormat="1" ht="13.5" customHeight="1">
      <c r="A2" s="180"/>
      <c r="B2" s="196"/>
      <c r="C2" s="690"/>
      <c r="D2" s="696"/>
      <c r="E2" s="696"/>
      <c r="F2" s="696"/>
      <c r="G2" s="696"/>
      <c r="H2" s="696"/>
      <c r="I2" s="696"/>
      <c r="J2" s="696"/>
      <c r="K2" s="696"/>
      <c r="L2" s="696"/>
      <c r="M2" s="224"/>
      <c r="N2" s="224"/>
      <c r="O2" s="79"/>
      <c r="P2" s="186"/>
      <c r="Q2" s="186"/>
      <c r="R2" s="186"/>
      <c r="S2" s="186"/>
      <c r="T2" s="186"/>
      <c r="U2" s="186"/>
      <c r="V2" s="186"/>
      <c r="W2" s="186"/>
      <c r="X2" s="186"/>
      <c r="Y2" s="186"/>
      <c r="Z2" s="186"/>
      <c r="AA2" s="99"/>
    </row>
    <row r="3" spans="1:27" s="4" customFormat="1" ht="41.25" customHeight="1">
      <c r="A3" s="181"/>
      <c r="B3" s="197"/>
      <c r="C3" s="690"/>
      <c r="D3" s="691" t="str">
        <f>Lbl_Part_I</f>
        <v>Partie I. Présentation de l'organisation chef de file</v>
      </c>
      <c r="E3" s="691"/>
      <c r="F3" s="691"/>
      <c r="G3" s="691"/>
      <c r="H3" s="691"/>
      <c r="I3" s="691"/>
      <c r="J3" s="691"/>
      <c r="K3" s="691"/>
      <c r="L3" s="691"/>
      <c r="M3" s="224"/>
      <c r="N3" s="224"/>
      <c r="O3" s="79"/>
      <c r="P3" s="186"/>
      <c r="Q3" s="186"/>
      <c r="R3" s="186"/>
      <c r="S3" s="186"/>
      <c r="T3" s="186"/>
      <c r="U3" s="186"/>
      <c r="V3" s="186"/>
      <c r="W3" s="186"/>
      <c r="X3" s="186"/>
      <c r="Y3" s="186"/>
      <c r="Z3" s="186"/>
      <c r="AA3" s="99"/>
    </row>
    <row r="4" spans="1:27" s="4" customFormat="1" ht="13.5" customHeight="1">
      <c r="A4" s="182"/>
      <c r="B4" s="198"/>
      <c r="C4" s="690"/>
      <c r="D4" s="692"/>
      <c r="E4" s="692"/>
      <c r="F4" s="692"/>
      <c r="G4" s="692"/>
      <c r="H4" s="692"/>
      <c r="I4" s="692"/>
      <c r="J4" s="692"/>
      <c r="K4" s="692"/>
      <c r="L4" s="692"/>
      <c r="M4" s="224"/>
      <c r="N4" s="224"/>
      <c r="O4" s="79"/>
      <c r="P4" s="186"/>
      <c r="Q4" s="186"/>
      <c r="R4" s="186"/>
      <c r="S4" s="186"/>
      <c r="T4" s="186"/>
      <c r="U4" s="186"/>
      <c r="V4" s="186"/>
      <c r="W4" s="186"/>
      <c r="X4" s="186"/>
      <c r="Y4" s="186"/>
      <c r="Z4" s="186"/>
      <c r="AA4" s="99"/>
    </row>
    <row r="5" spans="1:27" s="107" customFormat="1" ht="15" customHeight="1">
      <c r="A5" s="183"/>
      <c r="B5" s="199"/>
      <c r="C5" s="690"/>
      <c r="D5" s="693" t="str">
        <f>Lbl_Title_Line4</f>
        <v>LIGNE BUDGETAIRE</v>
      </c>
      <c r="E5" s="693"/>
      <c r="F5" s="693"/>
      <c r="G5" s="693"/>
      <c r="H5" s="693"/>
      <c r="I5" s="693"/>
      <c r="J5" s="694" t="s">
        <v>877</v>
      </c>
      <c r="K5" s="694"/>
      <c r="L5" s="222"/>
      <c r="M5" s="224"/>
      <c r="N5" s="224"/>
      <c r="O5" s="79"/>
      <c r="P5" s="186"/>
      <c r="Q5" s="186"/>
      <c r="R5" s="186"/>
      <c r="S5" s="186"/>
      <c r="T5" s="186"/>
      <c r="U5" s="186"/>
      <c r="V5" s="186"/>
      <c r="W5" s="186"/>
      <c r="X5" s="186"/>
      <c r="Y5" s="186"/>
      <c r="Z5" s="186"/>
      <c r="AA5" s="99"/>
    </row>
    <row r="6" spans="1:27" s="5" customFormat="1" ht="13.5" customHeight="1">
      <c r="A6" s="184"/>
      <c r="B6" s="200"/>
      <c r="C6" s="201"/>
      <c r="D6" s="697" t="s">
        <v>2077</v>
      </c>
      <c r="E6" s="697"/>
      <c r="F6" s="697"/>
      <c r="G6" s="697"/>
      <c r="H6" s="697"/>
      <c r="I6" s="697"/>
      <c r="J6" s="697"/>
      <c r="K6" s="697"/>
      <c r="L6" s="697"/>
      <c r="M6" s="224"/>
      <c r="N6" s="224"/>
      <c r="O6" s="79"/>
      <c r="P6" s="186"/>
      <c r="Q6" s="186"/>
      <c r="R6" s="186"/>
      <c r="S6" s="186"/>
      <c r="T6" s="186"/>
      <c r="U6" s="186"/>
      <c r="V6" s="186"/>
      <c r="W6" s="186"/>
      <c r="X6" s="186"/>
      <c r="Y6" s="186"/>
      <c r="Z6" s="186"/>
      <c r="AA6" s="99"/>
    </row>
    <row r="7" spans="1:27" s="5" customFormat="1" ht="13.5" customHeight="1" thickBot="1">
      <c r="A7" s="184"/>
      <c r="B7" s="202"/>
      <c r="C7" s="338" t="s">
        <v>21</v>
      </c>
      <c r="D7" s="486">
        <v>37306</v>
      </c>
      <c r="E7" s="486"/>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7" t="s">
        <v>2078</v>
      </c>
      <c r="H8" s="678"/>
      <c r="I8" s="678"/>
      <c r="J8" s="678"/>
      <c r="K8" s="678"/>
      <c r="L8" s="679"/>
      <c r="M8" s="99"/>
      <c r="N8" s="206"/>
      <c r="O8" s="79"/>
      <c r="P8" s="186"/>
      <c r="Q8" s="186"/>
      <c r="R8" s="186"/>
      <c r="S8" s="186"/>
      <c r="T8" s="186"/>
      <c r="U8" s="186"/>
      <c r="V8" s="186"/>
      <c r="W8" s="186"/>
      <c r="X8" s="186"/>
      <c r="Y8" s="186"/>
      <c r="Z8" s="186"/>
      <c r="AA8" s="99"/>
    </row>
    <row r="9" spans="1:27" s="108" customFormat="1" ht="6.75" customHeight="1" thickTop="1">
      <c r="A9" s="527"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8"/>
      <c r="B10" s="685" t="str">
        <f>Lbl_Informations_générales</f>
        <v>Informations générales</v>
      </c>
      <c r="C10" s="685"/>
      <c r="D10" s="685"/>
      <c r="E10" s="685"/>
      <c r="F10" s="685"/>
      <c r="G10" s="685"/>
      <c r="H10" s="685"/>
      <c r="I10" s="685"/>
      <c r="J10" s="685"/>
      <c r="K10" s="685"/>
      <c r="L10" s="685"/>
      <c r="M10" s="99"/>
      <c r="N10" s="206"/>
      <c r="O10" s="79"/>
      <c r="P10" s="186"/>
      <c r="Q10" s="186"/>
      <c r="R10" s="186"/>
      <c r="S10" s="186"/>
      <c r="T10" s="186"/>
      <c r="U10" s="186"/>
      <c r="V10" s="186"/>
      <c r="W10" s="186"/>
      <c r="X10" s="186"/>
      <c r="Y10" s="186"/>
      <c r="Z10" s="186"/>
      <c r="AA10" s="99"/>
    </row>
    <row r="11" spans="1:27" s="4" customFormat="1" ht="25.5" customHeight="1" thickBot="1">
      <c r="A11" s="529"/>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81"/>
      <c r="E12" s="682"/>
      <c r="F12" s="682"/>
      <c r="G12" s="682"/>
      <c r="H12" s="682"/>
      <c r="I12" s="682"/>
      <c r="J12" s="682"/>
      <c r="K12" s="682"/>
      <c r="L12" s="683"/>
      <c r="M12" s="99"/>
      <c r="N12" s="206"/>
      <c r="O12" s="79"/>
      <c r="P12" s="186"/>
      <c r="Q12" s="186"/>
      <c r="R12" s="186"/>
      <c r="S12" s="186"/>
      <c r="T12" s="186"/>
      <c r="U12" s="186"/>
      <c r="V12" s="186"/>
      <c r="W12" s="186"/>
      <c r="X12" s="186"/>
      <c r="Y12" s="186"/>
      <c r="Z12" s="186"/>
      <c r="AA12" s="99"/>
    </row>
    <row r="13" spans="1:27" ht="17.25" customHeight="1" thickTop="1">
      <c r="A13" s="527" t="str">
        <f>Lbl_Banque_Signalétique_financier</f>
        <v>Signalétique financier</v>
      </c>
      <c r="B13" s="208" t="s">
        <v>245</v>
      </c>
      <c r="C13" s="282" t="str">
        <f>Lbl_Abréviation</f>
        <v>Abréviation</v>
      </c>
      <c r="D13" s="549"/>
      <c r="E13" s="550"/>
      <c r="F13" s="550"/>
      <c r="G13" s="550"/>
      <c r="H13" s="550"/>
      <c r="I13" s="550"/>
      <c r="J13" s="550"/>
      <c r="K13" s="550"/>
      <c r="L13" s="551"/>
      <c r="M13" s="99"/>
      <c r="N13" s="206"/>
      <c r="O13" s="79"/>
      <c r="P13" s="186"/>
      <c r="Q13" s="186"/>
      <c r="R13" s="186"/>
      <c r="S13" s="186"/>
      <c r="T13" s="186"/>
      <c r="U13" s="186"/>
      <c r="V13" s="186"/>
      <c r="W13" s="186"/>
      <c r="X13" s="186"/>
      <c r="Y13" s="186"/>
      <c r="Z13" s="186"/>
      <c r="AA13" s="99"/>
    </row>
    <row r="14" spans="1:27" ht="15" customHeight="1" thickBot="1">
      <c r="A14" s="533"/>
      <c r="B14" s="208" t="s">
        <v>246</v>
      </c>
      <c r="C14" s="282" t="str">
        <f>LbL_Statut_légal</f>
        <v>Statut légal</v>
      </c>
      <c r="D14" s="680"/>
      <c r="E14" s="680"/>
      <c r="F14" s="680"/>
      <c r="G14" s="680"/>
      <c r="H14" s="680"/>
      <c r="I14" s="680"/>
      <c r="J14" s="680"/>
      <c r="K14" s="680"/>
      <c r="L14" s="680"/>
      <c r="M14" s="99"/>
      <c r="N14" s="206"/>
      <c r="O14" s="79"/>
      <c r="P14" s="186"/>
      <c r="Q14" s="186"/>
      <c r="R14" s="186"/>
      <c r="S14" s="186"/>
      <c r="T14" s="186"/>
      <c r="U14" s="186"/>
      <c r="V14" s="186"/>
      <c r="W14" s="186"/>
      <c r="X14" s="186"/>
      <c r="Y14" s="186"/>
      <c r="Z14" s="186"/>
      <c r="AA14" s="99"/>
    </row>
    <row r="15" spans="1:27" ht="19.5" customHeight="1" thickTop="1">
      <c r="A15" s="527" t="str">
        <f>Lbl_Fin</f>
        <v>Fin du document</v>
      </c>
      <c r="B15" s="208" t="s">
        <v>247</v>
      </c>
      <c r="C15" s="282" t="str">
        <f>Lbl_Type_Org</f>
        <v>Type d'organisation</v>
      </c>
      <c r="D15" s="606"/>
      <c r="E15" s="607"/>
      <c r="F15" s="607"/>
      <c r="G15" s="607"/>
      <c r="H15" s="607"/>
      <c r="I15" s="607"/>
      <c r="J15" s="607"/>
      <c r="K15" s="607"/>
      <c r="L15" s="608"/>
      <c r="M15" s="99"/>
      <c r="N15" s="206"/>
      <c r="O15" s="79"/>
      <c r="P15" s="186"/>
      <c r="Q15" s="186"/>
      <c r="R15" s="186"/>
      <c r="S15" s="186"/>
      <c r="T15" s="186"/>
      <c r="U15" s="186"/>
      <c r="V15" s="186"/>
      <c r="W15" s="186"/>
      <c r="X15" s="186"/>
      <c r="Y15" s="186"/>
      <c r="Z15" s="186"/>
      <c r="AA15" s="99"/>
    </row>
    <row r="16" spans="1:27" ht="17.25" customHeight="1" thickBot="1">
      <c r="A16" s="533"/>
      <c r="B16" s="208" t="s">
        <v>915</v>
      </c>
      <c r="C16" s="282" t="str">
        <f>Lbl_Adresse</f>
        <v>Adresse</v>
      </c>
      <c r="D16" s="609"/>
      <c r="E16" s="609"/>
      <c r="F16" s="609"/>
      <c r="G16" s="609"/>
      <c r="H16" s="609"/>
      <c r="I16" s="609"/>
      <c r="J16" s="609"/>
      <c r="K16" s="609"/>
      <c r="L16" s="609"/>
      <c r="M16" s="99"/>
      <c r="N16" s="206"/>
      <c r="O16" s="79"/>
      <c r="P16" s="186"/>
      <c r="Q16" s="186"/>
      <c r="R16" s="186"/>
      <c r="S16" s="186"/>
      <c r="T16" s="186"/>
      <c r="U16" s="186"/>
      <c r="V16" s="186"/>
      <c r="W16" s="186"/>
      <c r="X16" s="186"/>
      <c r="Y16" s="186"/>
      <c r="Z16" s="186"/>
      <c r="AA16" s="99"/>
    </row>
    <row r="17" spans="1:27" ht="18.75" customHeight="1" thickTop="1">
      <c r="A17" s="532"/>
      <c r="B17" s="208"/>
      <c r="C17" s="282"/>
      <c r="D17" s="597"/>
      <c r="E17" s="598"/>
      <c r="F17" s="598"/>
      <c r="G17" s="598"/>
      <c r="H17" s="598"/>
      <c r="I17" s="598"/>
      <c r="J17" s="598"/>
      <c r="K17" s="598"/>
      <c r="L17" s="599"/>
      <c r="M17" s="99"/>
      <c r="N17" s="206"/>
      <c r="O17" s="79"/>
      <c r="P17" s="186"/>
      <c r="Q17" s="186"/>
      <c r="R17" s="186"/>
      <c r="S17" s="186"/>
      <c r="T17" s="186"/>
      <c r="U17" s="186"/>
      <c r="V17" s="186"/>
      <c r="W17" s="186"/>
      <c r="X17" s="186"/>
      <c r="Y17" s="186"/>
      <c r="Z17" s="186"/>
      <c r="AA17" s="99"/>
    </row>
    <row r="18" spans="1:27" ht="22.5" customHeight="1" hidden="1">
      <c r="A18" s="532"/>
      <c r="B18" s="208"/>
      <c r="C18" s="282"/>
      <c r="D18" s="610"/>
      <c r="E18" s="610"/>
      <c r="F18" s="610"/>
      <c r="G18" s="610"/>
      <c r="H18" s="610"/>
      <c r="I18" s="610"/>
      <c r="J18" s="610"/>
      <c r="K18" s="610"/>
      <c r="L18" s="610"/>
      <c r="M18" s="99"/>
      <c r="N18" s="206"/>
      <c r="O18" s="79"/>
      <c r="P18" s="186"/>
      <c r="Q18" s="186"/>
      <c r="R18" s="186"/>
      <c r="S18" s="186"/>
      <c r="T18" s="186"/>
      <c r="U18" s="186"/>
      <c r="V18" s="186"/>
      <c r="W18" s="186"/>
      <c r="X18" s="186"/>
      <c r="Y18" s="186"/>
      <c r="Z18" s="186"/>
      <c r="AA18" s="99"/>
    </row>
    <row r="19" spans="1:27" ht="16.5" customHeight="1">
      <c r="A19" s="532"/>
      <c r="B19" s="208" t="s">
        <v>916</v>
      </c>
      <c r="C19" s="282" t="str">
        <f>Lbl_Code_postal&amp;" / "&amp;Lbl_Ville</f>
        <v>Code postal / Ville</v>
      </c>
      <c r="D19" s="506"/>
      <c r="E19" s="508"/>
      <c r="F19" s="600"/>
      <c r="G19" s="601"/>
      <c r="H19" s="601"/>
      <c r="I19" s="601"/>
      <c r="J19" s="601"/>
      <c r="K19" s="601"/>
      <c r="L19" s="602"/>
      <c r="M19" s="99"/>
      <c r="N19" s="206"/>
      <c r="O19" s="79"/>
      <c r="P19" s="186"/>
      <c r="Q19" s="186"/>
      <c r="R19" s="186"/>
      <c r="S19" s="186"/>
      <c r="T19" s="186"/>
      <c r="U19" s="186"/>
      <c r="V19" s="186"/>
      <c r="W19" s="186"/>
      <c r="X19" s="186"/>
      <c r="Y19" s="186"/>
      <c r="Z19" s="186"/>
      <c r="AA19" s="99"/>
    </row>
    <row r="20" spans="1:27" ht="17.25" customHeight="1">
      <c r="A20" s="532"/>
      <c r="B20" s="208" t="s">
        <v>917</v>
      </c>
      <c r="C20" s="282" t="str">
        <f>Lbl_Pays</f>
        <v>Pays</v>
      </c>
      <c r="D20" s="684"/>
      <c r="E20" s="684"/>
      <c r="F20" s="684"/>
      <c r="G20" s="684"/>
      <c r="H20" s="684"/>
      <c r="I20" s="684"/>
      <c r="J20" s="684"/>
      <c r="K20" s="684"/>
      <c r="L20" s="684"/>
      <c r="M20" s="99"/>
      <c r="N20" s="206"/>
      <c r="O20" s="79"/>
      <c r="P20" s="186"/>
      <c r="Q20" s="186"/>
      <c r="R20" s="186"/>
      <c r="S20" s="186"/>
      <c r="T20" s="186"/>
      <c r="U20" s="186"/>
      <c r="V20" s="186"/>
      <c r="W20" s="186"/>
      <c r="X20" s="186"/>
      <c r="Y20" s="186"/>
      <c r="Z20" s="186"/>
      <c r="AA20" s="99"/>
    </row>
    <row r="21" spans="1:27" ht="16.5" customHeight="1">
      <c r="A21" s="532"/>
      <c r="B21" s="208" t="s">
        <v>918</v>
      </c>
      <c r="C21" s="290" t="str">
        <f>Lbl_Téléphone&amp;" "&amp;Lbl_Organisme_demandeur</f>
        <v>Téléphone Organisme demandeur</v>
      </c>
      <c r="D21" s="600"/>
      <c r="E21" s="601"/>
      <c r="F21" s="601"/>
      <c r="G21" s="601"/>
      <c r="H21" s="602"/>
      <c r="I21" s="497" t="s">
        <v>998</v>
      </c>
      <c r="J21" s="498"/>
      <c r="K21" s="498"/>
      <c r="L21" s="499"/>
      <c r="M21" s="99"/>
      <c r="N21" s="206"/>
      <c r="O21" s="79"/>
      <c r="P21" s="186"/>
      <c r="Q21" s="186"/>
      <c r="R21" s="186"/>
      <c r="S21" s="186"/>
      <c r="T21" s="186"/>
      <c r="U21" s="186"/>
      <c r="V21" s="186"/>
      <c r="W21" s="186"/>
      <c r="X21" s="186"/>
      <c r="Y21" s="186"/>
      <c r="Z21" s="186"/>
      <c r="AA21" s="99"/>
    </row>
    <row r="22" spans="1:27" ht="18" customHeight="1">
      <c r="A22" s="532"/>
      <c r="B22" s="208" t="s">
        <v>919</v>
      </c>
      <c r="C22" s="290" t="str">
        <f>Lbl_Télécopieur&amp;" "&amp;Lbl_Organisme_demandeur</f>
        <v>Télécopieur Organisme demandeur</v>
      </c>
      <c r="D22" s="600"/>
      <c r="E22" s="601"/>
      <c r="F22" s="601"/>
      <c r="G22" s="601"/>
      <c r="H22" s="602"/>
      <c r="I22" s="497" t="s">
        <v>999</v>
      </c>
      <c r="J22" s="498"/>
      <c r="K22" s="498"/>
      <c r="L22" s="499"/>
      <c r="M22" s="99"/>
      <c r="N22" s="206"/>
      <c r="O22" s="79"/>
      <c r="P22" s="186"/>
      <c r="Q22" s="186"/>
      <c r="R22" s="186"/>
      <c r="S22" s="186"/>
      <c r="T22" s="186"/>
      <c r="U22" s="186"/>
      <c r="V22" s="186"/>
      <c r="W22" s="186"/>
      <c r="X22" s="186"/>
      <c r="Y22" s="186"/>
      <c r="Z22" s="186"/>
      <c r="AA22" s="99"/>
    </row>
    <row r="23" spans="1:27" ht="20.25" customHeight="1">
      <c r="A23" s="532"/>
      <c r="B23" s="208" t="s">
        <v>920</v>
      </c>
      <c r="C23" s="282" t="str">
        <f>Lbl_E_mail</f>
        <v>E-mail</v>
      </c>
      <c r="D23" s="500"/>
      <c r="E23" s="500"/>
      <c r="F23" s="500"/>
      <c r="G23" s="500"/>
      <c r="H23" s="500"/>
      <c r="I23" s="500"/>
      <c r="J23" s="500"/>
      <c r="K23" s="500"/>
      <c r="L23" s="500"/>
      <c r="M23" s="99"/>
      <c r="N23" s="206"/>
      <c r="O23" s="79"/>
      <c r="P23" s="186"/>
      <c r="Q23" s="186"/>
      <c r="R23" s="186"/>
      <c r="S23" s="186"/>
      <c r="T23" s="186"/>
      <c r="U23" s="186"/>
      <c r="V23" s="186"/>
      <c r="W23" s="186"/>
      <c r="X23" s="186"/>
      <c r="Y23" s="186"/>
      <c r="Z23" s="186"/>
      <c r="AA23" s="99"/>
    </row>
    <row r="24" spans="1:27" ht="19.5" customHeight="1">
      <c r="A24" s="179"/>
      <c r="B24" s="208" t="s">
        <v>935</v>
      </c>
      <c r="C24" s="282" t="str">
        <f>Lbl_N_d_enregistrement_légal</f>
        <v>N. d'enregistrement légal</v>
      </c>
      <c r="D24" s="500"/>
      <c r="E24" s="500"/>
      <c r="F24" s="500"/>
      <c r="G24" s="500"/>
      <c r="H24" s="500"/>
      <c r="I24" s="500"/>
      <c r="J24" s="500"/>
      <c r="K24" s="500"/>
      <c r="L24" s="500"/>
      <c r="M24" s="99"/>
      <c r="N24" s="206"/>
      <c r="O24" s="79"/>
      <c r="P24" s="186"/>
      <c r="Q24" s="186"/>
      <c r="R24" s="186"/>
      <c r="S24" s="186"/>
      <c r="T24" s="186"/>
      <c r="U24" s="186"/>
      <c r="V24" s="186"/>
      <c r="W24" s="186"/>
      <c r="X24" s="186"/>
      <c r="Y24" s="186"/>
      <c r="Z24" s="186"/>
      <c r="AA24" s="99"/>
    </row>
    <row r="25" spans="1:27" ht="18.75" customHeight="1">
      <c r="A25" s="179"/>
      <c r="B25" s="208" t="s">
        <v>811</v>
      </c>
      <c r="C25" s="282" t="str">
        <f>Lbl_N_TVA</f>
        <v>N. TVA</v>
      </c>
      <c r="D25" s="500"/>
      <c r="E25" s="500"/>
      <c r="F25" s="500"/>
      <c r="G25" s="500"/>
      <c r="H25" s="500"/>
      <c r="I25" s="500"/>
      <c r="J25" s="500"/>
      <c r="K25" s="500"/>
      <c r="L25" s="500"/>
      <c r="M25" s="99"/>
      <c r="N25" s="206"/>
      <c r="O25" s="79"/>
      <c r="P25" s="186"/>
      <c r="Q25" s="186"/>
      <c r="R25" s="186"/>
      <c r="S25" s="186"/>
      <c r="T25" s="186"/>
      <c r="U25" s="186"/>
      <c r="V25" s="186"/>
      <c r="W25" s="186"/>
      <c r="X25" s="186"/>
      <c r="Y25" s="186"/>
      <c r="Z25" s="186"/>
      <c r="AA25" s="99"/>
    </row>
    <row r="26" spans="1:27" ht="24.75" customHeight="1">
      <c r="A26" s="179"/>
      <c r="B26" s="208" t="s">
        <v>812</v>
      </c>
      <c r="C26" s="168" t="str">
        <f>Lbl_SiteInternet</f>
        <v>Site internet</v>
      </c>
      <c r="D26" s="506"/>
      <c r="E26" s="507"/>
      <c r="F26" s="507"/>
      <c r="G26" s="507"/>
      <c r="H26" s="507"/>
      <c r="I26" s="507"/>
      <c r="J26" s="507"/>
      <c r="K26" s="507"/>
      <c r="L26" s="508"/>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936</v>
      </c>
      <c r="C28" s="282" t="str">
        <f>Lbl_Contact</f>
        <v>Titre, Nom, Prénom</v>
      </c>
      <c r="D28" s="603"/>
      <c r="E28" s="604"/>
      <c r="F28" s="603"/>
      <c r="G28" s="605"/>
      <c r="H28" s="605"/>
      <c r="I28" s="604"/>
      <c r="J28" s="549"/>
      <c r="K28" s="550"/>
      <c r="L28" s="551"/>
      <c r="M28" s="99"/>
      <c r="N28" s="206"/>
      <c r="O28" s="79"/>
      <c r="P28" s="186"/>
      <c r="Q28" s="186"/>
      <c r="R28" s="186"/>
      <c r="S28" s="186"/>
      <c r="T28" s="186"/>
      <c r="U28" s="186"/>
      <c r="V28" s="186"/>
      <c r="W28" s="186"/>
      <c r="X28" s="186"/>
      <c r="Y28" s="186"/>
      <c r="Z28" s="186"/>
      <c r="AA28" s="99"/>
    </row>
    <row r="29" spans="1:27" ht="18" customHeight="1">
      <c r="A29" s="179"/>
      <c r="B29" s="208" t="s">
        <v>937</v>
      </c>
      <c r="C29" s="283" t="str">
        <f>Lbl_Contact_Sexe&amp;" / "&amp;Lbl_Contact_LNG</f>
        <v>Genre / Langue</v>
      </c>
      <c r="D29" s="611"/>
      <c r="E29" s="612"/>
      <c r="F29" s="613"/>
      <c r="G29" s="686" t="str">
        <f>Lbl_Contact_LNG</f>
        <v>Langue</v>
      </c>
      <c r="H29" s="687"/>
      <c r="I29" s="688"/>
      <c r="J29" s="611"/>
      <c r="K29" s="612"/>
      <c r="L29" s="613"/>
      <c r="M29" s="99"/>
      <c r="N29" s="206"/>
      <c r="O29" s="79"/>
      <c r="P29" s="186"/>
      <c r="Q29" s="186"/>
      <c r="R29" s="186"/>
      <c r="S29" s="186"/>
      <c r="T29" s="186"/>
      <c r="U29" s="186"/>
      <c r="V29" s="186"/>
      <c r="W29" s="186"/>
      <c r="X29" s="186"/>
      <c r="Y29" s="186"/>
      <c r="Z29" s="186"/>
      <c r="AA29" s="99"/>
    </row>
    <row r="30" spans="1:27" ht="18" customHeight="1">
      <c r="A30" s="179"/>
      <c r="B30" s="208" t="s">
        <v>938</v>
      </c>
      <c r="C30" s="282" t="str">
        <f>Lbl_Fonction</f>
        <v>Fonction</v>
      </c>
      <c r="D30" s="610"/>
      <c r="E30" s="610"/>
      <c r="F30" s="610"/>
      <c r="G30" s="610"/>
      <c r="H30" s="610"/>
      <c r="I30" s="610"/>
      <c r="J30" s="610"/>
      <c r="K30" s="610"/>
      <c r="L30" s="610"/>
      <c r="M30" s="99"/>
      <c r="N30" s="206"/>
      <c r="O30" s="79"/>
      <c r="P30" s="186"/>
      <c r="Q30" s="186"/>
      <c r="R30" s="186"/>
      <c r="S30" s="186"/>
      <c r="T30" s="186"/>
      <c r="U30" s="186"/>
      <c r="V30" s="186"/>
      <c r="W30" s="186"/>
      <c r="X30" s="186"/>
      <c r="Y30" s="186"/>
      <c r="Z30" s="186"/>
      <c r="AA30" s="99"/>
    </row>
    <row r="31" spans="1:27" ht="21" customHeight="1">
      <c r="A31" s="179"/>
      <c r="B31" s="208" t="s">
        <v>1937</v>
      </c>
      <c r="C31" s="290" t="str">
        <f>Lbl_Fonction_Description</f>
        <v>Fonction (Si elle diffère de celle ci-dessus)</v>
      </c>
      <c r="D31" s="549"/>
      <c r="E31" s="550"/>
      <c r="F31" s="550"/>
      <c r="G31" s="550"/>
      <c r="H31" s="550"/>
      <c r="I31" s="550"/>
      <c r="J31" s="550"/>
      <c r="K31" s="550"/>
      <c r="L31" s="551"/>
      <c r="M31" s="99"/>
      <c r="N31" s="206"/>
      <c r="O31" s="79"/>
      <c r="P31" s="186"/>
      <c r="Q31" s="186"/>
      <c r="R31" s="186"/>
      <c r="S31" s="186"/>
      <c r="T31" s="186"/>
      <c r="U31" s="186"/>
      <c r="V31" s="186"/>
      <c r="W31" s="186"/>
      <c r="X31" s="186"/>
      <c r="Y31" s="186"/>
      <c r="Z31" s="186"/>
      <c r="AA31" s="99"/>
    </row>
    <row r="32" spans="1:27" ht="27" customHeight="1">
      <c r="A32" s="179"/>
      <c r="B32" s="208" t="s">
        <v>1532</v>
      </c>
      <c r="C32" s="290" t="str">
        <f>Lbl_Téléphone&amp;" ("&amp;Lbl_Représentant_légal&amp;")"</f>
        <v>Téléphone (Représentant légal)</v>
      </c>
      <c r="D32" s="506"/>
      <c r="E32" s="507"/>
      <c r="F32" s="507"/>
      <c r="G32" s="507"/>
      <c r="H32" s="508"/>
      <c r="I32" s="497" t="s">
        <v>998</v>
      </c>
      <c r="J32" s="498"/>
      <c r="K32" s="498"/>
      <c r="L32" s="499"/>
      <c r="M32" s="99"/>
      <c r="N32" s="206"/>
      <c r="O32" s="79"/>
      <c r="P32" s="186"/>
      <c r="Q32" s="186"/>
      <c r="R32" s="186"/>
      <c r="S32" s="186"/>
      <c r="T32" s="186"/>
      <c r="U32" s="186"/>
      <c r="V32" s="186"/>
      <c r="W32" s="186"/>
      <c r="X32" s="186"/>
      <c r="Y32" s="186"/>
      <c r="Z32" s="186"/>
      <c r="AA32" s="99"/>
    </row>
    <row r="33" spans="1:27" ht="26.25" customHeight="1">
      <c r="A33" s="179"/>
      <c r="B33" s="208" t="s">
        <v>1540</v>
      </c>
      <c r="C33" s="290" t="str">
        <f>Lbl_Télécopieur&amp;" ("&amp;Lbl_Représentant_légal&amp;")"</f>
        <v>Télécopieur (Représentant légal)</v>
      </c>
      <c r="D33" s="506"/>
      <c r="E33" s="507"/>
      <c r="F33" s="507"/>
      <c r="G33" s="507"/>
      <c r="H33" s="508"/>
      <c r="I33" s="497" t="s">
        <v>999</v>
      </c>
      <c r="J33" s="498"/>
      <c r="K33" s="498"/>
      <c r="L33" s="499"/>
      <c r="M33" s="99"/>
      <c r="N33" s="206"/>
      <c r="O33" s="79"/>
      <c r="P33" s="186"/>
      <c r="Q33" s="186"/>
      <c r="R33" s="186"/>
      <c r="S33" s="186"/>
      <c r="T33" s="186"/>
      <c r="U33" s="186"/>
      <c r="V33" s="186"/>
      <c r="W33" s="186"/>
      <c r="X33" s="186"/>
      <c r="Y33" s="186"/>
      <c r="Z33" s="186"/>
      <c r="AA33" s="99"/>
    </row>
    <row r="34" spans="1:27" ht="25.5" customHeight="1">
      <c r="A34" s="179"/>
      <c r="B34" s="208" t="s">
        <v>1938</v>
      </c>
      <c r="C34" s="290" t="str">
        <f>Lbl_E_mail&amp;" ("&amp;Lbl_Représentant_légal&amp;")"</f>
        <v>E-mail (Représentant légal)</v>
      </c>
      <c r="D34" s="549"/>
      <c r="E34" s="550"/>
      <c r="F34" s="550"/>
      <c r="G34" s="550"/>
      <c r="H34" s="550"/>
      <c r="I34" s="550"/>
      <c r="J34" s="550"/>
      <c r="K34" s="550"/>
      <c r="L34" s="551"/>
      <c r="M34" s="99"/>
      <c r="N34" s="206"/>
      <c r="O34" s="79"/>
      <c r="P34" s="186"/>
      <c r="Q34" s="186"/>
      <c r="R34" s="186"/>
      <c r="S34" s="186"/>
      <c r="T34" s="186"/>
      <c r="U34" s="186"/>
      <c r="V34" s="186"/>
      <c r="W34" s="186"/>
      <c r="X34" s="186"/>
      <c r="Y34" s="186"/>
      <c r="Z34" s="186"/>
      <c r="AA34" s="99"/>
    </row>
    <row r="35" spans="1:27" ht="24" customHeight="1">
      <c r="A35" s="179"/>
      <c r="B35" s="284" t="s">
        <v>1939</v>
      </c>
      <c r="C35" s="283" t="str">
        <f>Lbl_Nom_ou_raison_sociale</f>
        <v>Nom ou raison sociale</v>
      </c>
      <c r="D35" s="549">
        <f>Fld_Org_Nom</f>
        <v>0</v>
      </c>
      <c r="E35" s="550"/>
      <c r="F35" s="550"/>
      <c r="G35" s="550"/>
      <c r="H35" s="550"/>
      <c r="I35" s="550"/>
      <c r="J35" s="550"/>
      <c r="K35" s="550"/>
      <c r="L35" s="551"/>
      <c r="M35" s="99"/>
      <c r="N35" s="206"/>
      <c r="O35" s="79"/>
      <c r="P35" s="186"/>
      <c r="Q35" s="186"/>
      <c r="R35" s="186"/>
      <c r="S35" s="186"/>
      <c r="T35" s="186"/>
      <c r="U35" s="186"/>
      <c r="V35" s="186"/>
      <c r="W35" s="186"/>
      <c r="X35" s="186"/>
      <c r="Y35" s="186"/>
      <c r="Z35" s="186"/>
      <c r="AA35" s="99"/>
    </row>
    <row r="36" spans="1:27" ht="16.5" customHeight="1">
      <c r="A36" s="179"/>
      <c r="B36" s="284" t="s">
        <v>1940</v>
      </c>
      <c r="C36" s="283" t="str">
        <f>Lbl_Adresse</f>
        <v>Adresse</v>
      </c>
      <c r="D36" s="618">
        <f>Fld_Org_Adresse1</f>
        <v>0</v>
      </c>
      <c r="E36" s="619"/>
      <c r="F36" s="619"/>
      <c r="G36" s="619"/>
      <c r="H36" s="619"/>
      <c r="I36" s="619"/>
      <c r="J36" s="619"/>
      <c r="K36" s="619"/>
      <c r="L36" s="620"/>
      <c r="M36" s="99"/>
      <c r="N36" s="206"/>
      <c r="O36" s="79"/>
      <c r="P36" s="186"/>
      <c r="Q36" s="186"/>
      <c r="R36" s="186"/>
      <c r="S36" s="186"/>
      <c r="T36" s="186"/>
      <c r="U36" s="186"/>
      <c r="V36" s="186"/>
      <c r="W36" s="186"/>
      <c r="X36" s="186"/>
      <c r="Y36" s="186"/>
      <c r="Z36" s="186"/>
      <c r="AA36" s="99"/>
    </row>
    <row r="37" spans="1:27" ht="16.5" customHeight="1">
      <c r="A37" s="179"/>
      <c r="B37" s="284"/>
      <c r="C37" s="283"/>
      <c r="D37" s="503">
        <f>Fld_Org_Adresse2</f>
        <v>0</v>
      </c>
      <c r="E37" s="504"/>
      <c r="F37" s="504"/>
      <c r="G37" s="504"/>
      <c r="H37" s="504"/>
      <c r="I37" s="504"/>
      <c r="J37" s="504"/>
      <c r="K37" s="504"/>
      <c r="L37" s="505"/>
      <c r="M37" s="99"/>
      <c r="N37" s="206"/>
      <c r="O37" s="79"/>
      <c r="P37" s="186"/>
      <c r="Q37" s="186"/>
      <c r="R37" s="186"/>
      <c r="S37" s="186"/>
      <c r="T37" s="186"/>
      <c r="U37" s="186"/>
      <c r="V37" s="186"/>
      <c r="W37" s="186"/>
      <c r="X37" s="186"/>
      <c r="Y37" s="186"/>
      <c r="Z37" s="186"/>
      <c r="AA37" s="99"/>
    </row>
    <row r="38" spans="1:27" ht="16.5" customHeight="1">
      <c r="A38" s="179"/>
      <c r="B38" s="284" t="s">
        <v>1941</v>
      </c>
      <c r="C38" s="283" t="str">
        <f>Lbl_Banque_Commune_Ville</f>
        <v>Commune/Ville</v>
      </c>
      <c r="D38" s="502">
        <f>Fld_Org_Ville</f>
        <v>0</v>
      </c>
      <c r="E38" s="502"/>
      <c r="F38" s="502"/>
      <c r="G38" s="502"/>
      <c r="H38" s="502"/>
      <c r="I38" s="502"/>
      <c r="J38" s="502"/>
      <c r="K38" s="502"/>
      <c r="L38" s="502"/>
      <c r="M38" s="99"/>
      <c r="N38" s="206"/>
      <c r="O38" s="79"/>
      <c r="P38" s="186"/>
      <c r="Q38" s="186"/>
      <c r="R38" s="186"/>
      <c r="S38" s="186"/>
      <c r="T38" s="186"/>
      <c r="U38" s="186"/>
      <c r="V38" s="186"/>
      <c r="W38" s="186"/>
      <c r="X38" s="186"/>
      <c r="Y38" s="186"/>
      <c r="Z38" s="186"/>
      <c r="AA38" s="99"/>
    </row>
    <row r="39" spans="1:27" ht="16.5" customHeight="1">
      <c r="A39" s="179"/>
      <c r="B39" s="284" t="s">
        <v>1942</v>
      </c>
      <c r="C39" s="283" t="str">
        <f>Lbl_Banque_Code_postal</f>
        <v>Code postal</v>
      </c>
      <c r="D39" s="514">
        <f>Fld_Org_ZipCode</f>
        <v>0</v>
      </c>
      <c r="E39" s="514"/>
      <c r="F39" s="514"/>
      <c r="G39" s="514"/>
      <c r="H39" s="514"/>
      <c r="I39" s="514"/>
      <c r="J39" s="514"/>
      <c r="K39" s="514"/>
      <c r="L39" s="514"/>
      <c r="M39" s="99"/>
      <c r="N39" s="206"/>
      <c r="O39" s="79"/>
      <c r="P39" s="186"/>
      <c r="Q39" s="186"/>
      <c r="R39" s="186"/>
      <c r="S39" s="186"/>
      <c r="T39" s="186"/>
      <c r="U39" s="186"/>
      <c r="V39" s="186"/>
      <c r="W39" s="186"/>
      <c r="X39" s="186"/>
      <c r="Y39" s="186"/>
      <c r="Z39" s="186"/>
      <c r="AA39" s="99"/>
    </row>
    <row r="40" spans="1:27" ht="15" customHeight="1">
      <c r="A40" s="179"/>
      <c r="B40" s="284" t="s">
        <v>1943</v>
      </c>
      <c r="C40" s="283" t="str">
        <f>Lbl_Pays</f>
        <v>Pays</v>
      </c>
      <c r="D40" s="501">
        <f>Fld_Org_Pays</f>
        <v>0</v>
      </c>
      <c r="E40" s="501"/>
      <c r="F40" s="501"/>
      <c r="G40" s="501"/>
      <c r="H40" s="501"/>
      <c r="I40" s="501"/>
      <c r="J40" s="501"/>
      <c r="K40" s="501"/>
      <c r="L40" s="501"/>
      <c r="M40" s="99"/>
      <c r="N40" s="206"/>
      <c r="O40" s="79"/>
      <c r="P40" s="186"/>
      <c r="Q40" s="186"/>
      <c r="R40" s="186"/>
      <c r="S40" s="186"/>
      <c r="T40" s="186"/>
      <c r="U40" s="186"/>
      <c r="V40" s="186"/>
      <c r="W40" s="186"/>
      <c r="X40" s="186"/>
      <c r="Y40" s="186"/>
      <c r="Z40" s="186"/>
      <c r="AA40" s="99"/>
    </row>
    <row r="41" spans="1:27" ht="16.5" customHeight="1">
      <c r="A41" s="179"/>
      <c r="B41" s="284" t="s">
        <v>1944</v>
      </c>
      <c r="C41" s="283" t="str">
        <f>Lbl_Téléphone</f>
        <v>Téléphone</v>
      </c>
      <c r="D41" s="509">
        <f>Fld_Org_Tel</f>
        <v>0</v>
      </c>
      <c r="E41" s="510"/>
      <c r="F41" s="510"/>
      <c r="G41" s="510"/>
      <c r="H41" s="511"/>
      <c r="I41" s="497" t="s">
        <v>998</v>
      </c>
      <c r="J41" s="498"/>
      <c r="K41" s="498"/>
      <c r="L41" s="499"/>
      <c r="M41" s="99"/>
      <c r="N41" s="206"/>
      <c r="O41" s="79"/>
      <c r="P41" s="186"/>
      <c r="Q41" s="186"/>
      <c r="R41" s="186"/>
      <c r="S41" s="186"/>
      <c r="T41" s="186"/>
      <c r="U41" s="186"/>
      <c r="V41" s="186"/>
      <c r="W41" s="186"/>
      <c r="X41" s="186"/>
      <c r="Y41" s="186"/>
      <c r="Z41" s="186"/>
      <c r="AA41" s="99"/>
    </row>
    <row r="42" spans="1:27" ht="16.5" customHeight="1">
      <c r="A42" s="179"/>
      <c r="B42" s="284" t="s">
        <v>1945</v>
      </c>
      <c r="C42" s="283" t="str">
        <f>Lbl_Télécopieur</f>
        <v>Télécopieur</v>
      </c>
      <c r="D42" s="509">
        <f>Fld_Org_Fax</f>
        <v>0</v>
      </c>
      <c r="E42" s="510"/>
      <c r="F42" s="510"/>
      <c r="G42" s="510"/>
      <c r="H42" s="511"/>
      <c r="I42" s="497" t="s">
        <v>999</v>
      </c>
      <c r="J42" s="498"/>
      <c r="K42" s="498"/>
      <c r="L42" s="499"/>
      <c r="M42" s="99"/>
      <c r="N42" s="206"/>
      <c r="O42" s="79"/>
      <c r="P42" s="186"/>
      <c r="Q42" s="186"/>
      <c r="R42" s="186"/>
      <c r="S42" s="186"/>
      <c r="T42" s="186"/>
      <c r="U42" s="186"/>
      <c r="V42" s="186"/>
      <c r="W42" s="186"/>
      <c r="X42" s="186"/>
      <c r="Y42" s="186"/>
      <c r="Z42" s="186"/>
      <c r="AA42" s="99"/>
    </row>
    <row r="43" spans="1:27" ht="16.5" customHeight="1">
      <c r="A43" s="179"/>
      <c r="B43" s="284" t="s">
        <v>1946</v>
      </c>
      <c r="C43" s="283" t="str">
        <f>Lbl_N_TVA</f>
        <v>N. TVA</v>
      </c>
      <c r="D43" s="514">
        <f>Fld_Org_NTVA</f>
        <v>0</v>
      </c>
      <c r="E43" s="514"/>
      <c r="F43" s="514"/>
      <c r="G43" s="514"/>
      <c r="H43" s="514"/>
      <c r="I43" s="514"/>
      <c r="J43" s="514"/>
      <c r="K43" s="514"/>
      <c r="L43" s="514"/>
      <c r="M43" s="99"/>
      <c r="N43" s="206"/>
      <c r="O43" s="79"/>
      <c r="P43" s="186"/>
      <c r="Q43" s="186"/>
      <c r="R43" s="186"/>
      <c r="S43" s="186"/>
      <c r="T43" s="186"/>
      <c r="U43" s="186"/>
      <c r="V43" s="186"/>
      <c r="W43" s="186"/>
      <c r="X43" s="186"/>
      <c r="Y43" s="186"/>
      <c r="Z43" s="186"/>
      <c r="AA43" s="99"/>
    </row>
    <row r="44" spans="1:27" ht="16.5" customHeight="1">
      <c r="A44" s="179"/>
      <c r="B44" s="55"/>
      <c r="C44" s="513"/>
      <c r="D44" s="513"/>
      <c r="E44" s="513"/>
      <c r="F44" s="513"/>
      <c r="G44" s="513"/>
      <c r="H44" s="513"/>
      <c r="I44" s="513"/>
      <c r="J44" s="513"/>
      <c r="K44" s="513"/>
      <c r="L44" s="513"/>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12" t="str">
        <f>Lbl_Responsable_du_projet</f>
        <v>Responsable du projet</v>
      </c>
      <c r="D45" s="512"/>
      <c r="E45" s="512"/>
      <c r="F45" s="512"/>
      <c r="G45" s="512"/>
      <c r="H45" s="512"/>
      <c r="I45" s="512"/>
      <c r="J45" s="512"/>
      <c r="K45" s="512"/>
      <c r="L45" s="512"/>
      <c r="M45" s="99"/>
      <c r="N45" s="206"/>
      <c r="O45" s="79"/>
      <c r="P45" s="186"/>
      <c r="Q45" s="186"/>
      <c r="R45" s="186"/>
      <c r="S45" s="186"/>
      <c r="T45" s="186"/>
      <c r="U45" s="186"/>
      <c r="V45" s="186"/>
      <c r="W45" s="186"/>
      <c r="X45" s="186"/>
      <c r="Y45" s="186"/>
      <c r="Z45" s="186"/>
      <c r="AA45" s="99"/>
    </row>
    <row r="46" spans="1:27" ht="16.5" customHeight="1">
      <c r="A46" s="179"/>
      <c r="B46" s="208" t="s">
        <v>1050</v>
      </c>
      <c r="C46" s="282" t="str">
        <f>Lbl_Contact</f>
        <v>Titre, Nom, Prénom</v>
      </c>
      <c r="D46" s="768"/>
      <c r="E46" s="769"/>
      <c r="F46" s="774"/>
      <c r="G46" s="775"/>
      <c r="H46" s="775"/>
      <c r="I46" s="776"/>
      <c r="J46" s="615"/>
      <c r="K46" s="616"/>
      <c r="L46" s="617"/>
      <c r="M46" s="99"/>
      <c r="N46" s="206"/>
      <c r="O46" s="79"/>
      <c r="P46" s="186"/>
      <c r="Q46" s="186"/>
      <c r="R46" s="186"/>
      <c r="S46" s="186"/>
      <c r="T46" s="186"/>
      <c r="U46" s="186"/>
      <c r="V46" s="186"/>
      <c r="W46" s="186"/>
      <c r="X46" s="186"/>
      <c r="Y46" s="186"/>
      <c r="Z46" s="186"/>
      <c r="AA46" s="99"/>
    </row>
    <row r="47" spans="1:27" ht="16.5" customHeight="1">
      <c r="A47" s="179"/>
      <c r="B47" s="208" t="s">
        <v>1514</v>
      </c>
      <c r="C47" s="285" t="str">
        <f>Lbl_Contact_Sexe&amp;" / "&amp;Lbl_Contact_LNG</f>
        <v>Genre / Langue</v>
      </c>
      <c r="D47" s="583"/>
      <c r="E47" s="584"/>
      <c r="F47" s="585"/>
      <c r="G47" s="771" t="str">
        <f>Lbl_Contact_LNG</f>
        <v>Langue</v>
      </c>
      <c r="H47" s="772"/>
      <c r="I47" s="773"/>
      <c r="J47" s="583"/>
      <c r="K47" s="584"/>
      <c r="L47" s="585"/>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70"/>
      <c r="E48" s="770"/>
      <c r="F48" s="770"/>
      <c r="G48" s="770"/>
      <c r="H48" s="770"/>
      <c r="I48" s="770"/>
      <c r="J48" s="770"/>
      <c r="K48" s="770"/>
      <c r="L48" s="770"/>
      <c r="M48" s="99"/>
      <c r="N48" s="206"/>
      <c r="O48" s="79"/>
      <c r="P48" s="186"/>
      <c r="Q48" s="186"/>
      <c r="R48" s="186"/>
      <c r="S48" s="186"/>
      <c r="T48" s="186"/>
      <c r="U48" s="186"/>
      <c r="V48" s="186"/>
      <c r="W48" s="186"/>
      <c r="X48" s="186"/>
      <c r="Y48" s="186"/>
      <c r="Z48" s="186"/>
      <c r="AA48" s="99"/>
    </row>
    <row r="49" spans="1:27" ht="22.5" customHeight="1">
      <c r="A49" s="179"/>
      <c r="B49" s="208" t="s">
        <v>1515</v>
      </c>
      <c r="C49" s="290" t="str">
        <f>Lbl_Fonction_Description</f>
        <v>Fonction (Si elle diffère de celle ci-dessus)</v>
      </c>
      <c r="D49" s="621"/>
      <c r="E49" s="622"/>
      <c r="F49" s="622"/>
      <c r="G49" s="622"/>
      <c r="H49" s="622"/>
      <c r="I49" s="622"/>
      <c r="J49" s="622"/>
      <c r="K49" s="622"/>
      <c r="L49" s="623"/>
      <c r="M49" s="99"/>
      <c r="N49" s="206"/>
      <c r="O49" s="79"/>
      <c r="P49" s="186"/>
      <c r="Q49" s="186"/>
      <c r="R49" s="186"/>
      <c r="S49" s="186"/>
      <c r="T49" s="186"/>
      <c r="U49" s="186"/>
      <c r="V49" s="186"/>
      <c r="W49" s="186"/>
      <c r="X49" s="186"/>
      <c r="Y49" s="186"/>
      <c r="Z49" s="186"/>
      <c r="AA49" s="99"/>
    </row>
    <row r="50" spans="1:27" ht="24" customHeight="1">
      <c r="A50" s="179"/>
      <c r="B50" s="208" t="s">
        <v>1516</v>
      </c>
      <c r="C50" s="290" t="str">
        <f>Lbl_Téléphone&amp;" ("&amp;Lbl_Responsable_du_projet&amp;")"</f>
        <v>Téléphone (Responsable du projet)</v>
      </c>
      <c r="D50" s="506"/>
      <c r="E50" s="507"/>
      <c r="F50" s="507"/>
      <c r="G50" s="507"/>
      <c r="H50" s="508"/>
      <c r="I50" s="497" t="s">
        <v>998</v>
      </c>
      <c r="J50" s="498"/>
      <c r="K50" s="498"/>
      <c r="L50" s="499"/>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6"/>
      <c r="E51" s="507"/>
      <c r="F51" s="507"/>
      <c r="G51" s="507"/>
      <c r="H51" s="508"/>
      <c r="I51" s="497" t="s">
        <v>999</v>
      </c>
      <c r="J51" s="498"/>
      <c r="K51" s="498"/>
      <c r="L51" s="499"/>
      <c r="M51" s="99"/>
      <c r="N51" s="206"/>
      <c r="O51" s="79"/>
      <c r="P51" s="186"/>
      <c r="Q51" s="186"/>
      <c r="R51" s="186"/>
      <c r="S51" s="186"/>
      <c r="T51" s="186"/>
      <c r="U51" s="186"/>
      <c r="V51" s="186"/>
      <c r="W51" s="186"/>
      <c r="X51" s="186"/>
      <c r="Y51" s="186"/>
      <c r="Z51" s="186"/>
      <c r="AA51" s="99"/>
    </row>
    <row r="52" spans="1:27" ht="24" customHeight="1">
      <c r="A52" s="179"/>
      <c r="B52" s="208" t="s">
        <v>1517</v>
      </c>
      <c r="C52" s="290" t="str">
        <f>Lbl_E_mail&amp;" ("&amp;Lbl_Responsable_du_projet&amp;")"</f>
        <v>E-mail (Responsable du projet)</v>
      </c>
      <c r="D52" s="615"/>
      <c r="E52" s="616"/>
      <c r="F52" s="616"/>
      <c r="G52" s="616"/>
      <c r="H52" s="616"/>
      <c r="I52" s="616"/>
      <c r="J52" s="616"/>
      <c r="K52" s="616"/>
      <c r="L52" s="617"/>
      <c r="M52" s="99"/>
      <c r="N52" s="206"/>
      <c r="O52" s="79"/>
      <c r="P52" s="186"/>
      <c r="Q52" s="186"/>
      <c r="R52" s="186"/>
      <c r="S52" s="186"/>
      <c r="T52" s="186"/>
      <c r="U52" s="186"/>
      <c r="V52" s="186"/>
      <c r="W52" s="186"/>
      <c r="X52" s="186"/>
      <c r="Y52" s="186"/>
      <c r="Z52" s="186"/>
      <c r="AA52" s="99"/>
    </row>
    <row r="53" spans="1:27" ht="21.75" customHeight="1">
      <c r="A53" s="179"/>
      <c r="B53" s="208" t="s">
        <v>1518</v>
      </c>
      <c r="C53" s="286" t="str">
        <f>Lbl_Nom_ou_raison_sociale</f>
        <v>Nom ou raison sociale</v>
      </c>
      <c r="D53" s="615">
        <f>Fld_Org_Nom</f>
        <v>0</v>
      </c>
      <c r="E53" s="616"/>
      <c r="F53" s="616"/>
      <c r="G53" s="616"/>
      <c r="H53" s="616"/>
      <c r="I53" s="616"/>
      <c r="J53" s="616"/>
      <c r="K53" s="616"/>
      <c r="L53" s="617"/>
      <c r="M53" s="99"/>
      <c r="N53" s="206"/>
      <c r="O53" s="79"/>
      <c r="P53" s="186"/>
      <c r="Q53" s="186"/>
      <c r="R53" s="186"/>
      <c r="S53" s="186"/>
      <c r="T53" s="186"/>
      <c r="U53" s="186"/>
      <c r="V53" s="186"/>
      <c r="W53" s="186"/>
      <c r="X53" s="186"/>
      <c r="Y53" s="186"/>
      <c r="Z53" s="186"/>
      <c r="AA53" s="99"/>
    </row>
    <row r="54" spans="1:27" ht="16.5" customHeight="1">
      <c r="A54" s="179"/>
      <c r="B54" s="208" t="s">
        <v>1519</v>
      </c>
      <c r="C54" s="285" t="str">
        <f>Lbl_Adresse</f>
        <v>Adresse</v>
      </c>
      <c r="D54" s="765">
        <f>Fld_Org_Adresse1</f>
        <v>0</v>
      </c>
      <c r="E54" s="766"/>
      <c r="F54" s="766"/>
      <c r="G54" s="766"/>
      <c r="H54" s="766"/>
      <c r="I54" s="766"/>
      <c r="J54" s="766"/>
      <c r="K54" s="766"/>
      <c r="L54" s="767"/>
      <c r="M54" s="99"/>
      <c r="N54" s="206"/>
      <c r="O54" s="79"/>
      <c r="P54" s="186"/>
      <c r="Q54" s="186"/>
      <c r="R54" s="186"/>
      <c r="S54" s="186"/>
      <c r="T54" s="186"/>
      <c r="U54" s="186"/>
      <c r="V54" s="186"/>
      <c r="W54" s="186"/>
      <c r="X54" s="186"/>
      <c r="Y54" s="186"/>
      <c r="Z54" s="186"/>
      <c r="AA54" s="99"/>
    </row>
    <row r="55" spans="1:27" ht="16.5" customHeight="1">
      <c r="A55" s="179"/>
      <c r="B55" s="287"/>
      <c r="C55" s="285"/>
      <c r="D55" s="580">
        <f>Fld_Org_Adresse2</f>
        <v>0</v>
      </c>
      <c r="E55" s="581"/>
      <c r="F55" s="581"/>
      <c r="G55" s="581"/>
      <c r="H55" s="581"/>
      <c r="I55" s="581"/>
      <c r="J55" s="581"/>
      <c r="K55" s="581"/>
      <c r="L55" s="582"/>
      <c r="M55" s="99"/>
      <c r="N55" s="206"/>
      <c r="O55" s="79"/>
      <c r="P55" s="186"/>
      <c r="Q55" s="186"/>
      <c r="R55" s="186"/>
      <c r="S55" s="186"/>
      <c r="T55" s="186"/>
      <c r="U55" s="186"/>
      <c r="V55" s="186"/>
      <c r="W55" s="186"/>
      <c r="X55" s="186"/>
      <c r="Y55" s="186"/>
      <c r="Z55" s="186"/>
      <c r="AA55" s="99"/>
    </row>
    <row r="56" spans="1:27" ht="16.5" customHeight="1">
      <c r="A56" s="179"/>
      <c r="B56" s="208" t="s">
        <v>1520</v>
      </c>
      <c r="C56" s="285" t="str">
        <f>Lbl_Banque_Commune_Ville</f>
        <v>Commune/Ville</v>
      </c>
      <c r="D56" s="586">
        <f>Fld_Org_Ville</f>
        <v>0</v>
      </c>
      <c r="E56" s="586"/>
      <c r="F56" s="586"/>
      <c r="G56" s="586"/>
      <c r="H56" s="586"/>
      <c r="I56" s="586"/>
      <c r="J56" s="586"/>
      <c r="K56" s="586"/>
      <c r="L56" s="586"/>
      <c r="M56" s="99"/>
      <c r="N56" s="206"/>
      <c r="O56" s="79"/>
      <c r="P56" s="186"/>
      <c r="Q56" s="186"/>
      <c r="R56" s="186"/>
      <c r="S56" s="186"/>
      <c r="T56" s="186"/>
      <c r="U56" s="186"/>
      <c r="V56" s="186"/>
      <c r="W56" s="186"/>
      <c r="X56" s="186"/>
      <c r="Y56" s="186"/>
      <c r="Z56" s="186"/>
      <c r="AA56" s="99"/>
    </row>
    <row r="57" spans="1:27" ht="16.5" customHeight="1">
      <c r="A57" s="179"/>
      <c r="B57" s="208" t="s">
        <v>1521</v>
      </c>
      <c r="C57" s="285" t="str">
        <f>Lbl_Banque_Code_postal</f>
        <v>Code postal</v>
      </c>
      <c r="D57" s="500">
        <f>Fld_Org_ZipCode</f>
        <v>0</v>
      </c>
      <c r="E57" s="500"/>
      <c r="F57" s="500"/>
      <c r="G57" s="500"/>
      <c r="H57" s="500"/>
      <c r="I57" s="500"/>
      <c r="J57" s="500"/>
      <c r="K57" s="500"/>
      <c r="L57" s="500"/>
      <c r="M57" s="99"/>
      <c r="N57" s="206"/>
      <c r="O57" s="79"/>
      <c r="P57" s="186"/>
      <c r="Q57" s="186"/>
      <c r="R57" s="186"/>
      <c r="S57" s="186"/>
      <c r="T57" s="186"/>
      <c r="U57" s="186"/>
      <c r="V57" s="186"/>
      <c r="W57" s="186"/>
      <c r="X57" s="186"/>
      <c r="Y57" s="186"/>
      <c r="Z57" s="186"/>
      <c r="AA57" s="99"/>
    </row>
    <row r="58" spans="1:27" ht="16.5" customHeight="1">
      <c r="A58" s="179"/>
      <c r="B58" s="208" t="s">
        <v>1522</v>
      </c>
      <c r="C58" s="285" t="str">
        <f>Lbl_Pays</f>
        <v>Pays</v>
      </c>
      <c r="D58" s="614">
        <f>Fld_Org_Pays</f>
        <v>0</v>
      </c>
      <c r="E58" s="614"/>
      <c r="F58" s="614"/>
      <c r="G58" s="614"/>
      <c r="H58" s="614"/>
      <c r="I58" s="614"/>
      <c r="J58" s="614"/>
      <c r="K58" s="614"/>
      <c r="L58" s="614"/>
      <c r="M58" s="99"/>
      <c r="N58" s="206"/>
      <c r="O58" s="79"/>
      <c r="P58" s="186"/>
      <c r="Q58" s="186"/>
      <c r="R58" s="186"/>
      <c r="S58" s="186"/>
      <c r="T58" s="186"/>
      <c r="U58" s="186"/>
      <c r="V58" s="186"/>
      <c r="W58" s="186"/>
      <c r="X58" s="186"/>
      <c r="Y58" s="186"/>
      <c r="Z58" s="186"/>
      <c r="AA58" s="99"/>
    </row>
    <row r="59" spans="1:27" ht="16.5" customHeight="1">
      <c r="A59" s="179"/>
      <c r="B59" s="208" t="s">
        <v>1523</v>
      </c>
      <c r="C59" s="285" t="str">
        <f>Lbl_Téléphone</f>
        <v>Téléphone</v>
      </c>
      <c r="D59" s="506">
        <f>Fld_Org_Tel</f>
        <v>0</v>
      </c>
      <c r="E59" s="507"/>
      <c r="F59" s="507"/>
      <c r="G59" s="507"/>
      <c r="H59" s="508"/>
      <c r="I59" s="497" t="s">
        <v>998</v>
      </c>
      <c r="J59" s="498"/>
      <c r="K59" s="498"/>
      <c r="L59" s="499"/>
      <c r="M59" s="99"/>
      <c r="N59" s="206"/>
      <c r="O59" s="79"/>
      <c r="P59" s="186"/>
      <c r="Q59" s="186"/>
      <c r="R59" s="186"/>
      <c r="S59" s="186"/>
      <c r="T59" s="186"/>
      <c r="U59" s="186"/>
      <c r="V59" s="186"/>
      <c r="W59" s="186"/>
      <c r="X59" s="186"/>
      <c r="Y59" s="186"/>
      <c r="Z59" s="186"/>
      <c r="AA59" s="99"/>
    </row>
    <row r="60" spans="1:27" ht="16.5" customHeight="1">
      <c r="A60" s="179"/>
      <c r="B60" s="208" t="s">
        <v>1524</v>
      </c>
      <c r="C60" s="285" t="str">
        <f>Lbl_Télécopieur</f>
        <v>Télécopieur</v>
      </c>
      <c r="D60" s="506">
        <f>Fld_Org_Fax</f>
        <v>0</v>
      </c>
      <c r="E60" s="507"/>
      <c r="F60" s="507"/>
      <c r="G60" s="507"/>
      <c r="H60" s="508"/>
      <c r="I60" s="497" t="s">
        <v>999</v>
      </c>
      <c r="J60" s="498"/>
      <c r="K60" s="498"/>
      <c r="L60" s="499"/>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500">
        <f>Fld_Org_NTVA</f>
        <v>0</v>
      </c>
      <c r="E61" s="500"/>
      <c r="F61" s="500"/>
      <c r="G61" s="500"/>
      <c r="H61" s="500"/>
      <c r="I61" s="500"/>
      <c r="J61" s="500"/>
      <c r="K61" s="500"/>
      <c r="L61" s="500"/>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3"/>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4" t="str">
        <f>Lbl_Mnt_Straitance</f>
        <v>Si oui: montant estimé de la sous-traitance dépassant 25.000 €?</v>
      </c>
      <c r="D64" s="624"/>
      <c r="E64" s="624"/>
      <c r="F64" s="624"/>
      <c r="G64" s="624"/>
      <c r="H64" s="625"/>
      <c r="I64" s="577"/>
      <c r="J64" s="578"/>
      <c r="K64" s="579"/>
      <c r="L64" s="59" t="s">
        <v>856</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7" t="str">
        <f>Lbl_SubventionsAnterieures</f>
        <v>Soutiens financiers antérieurs obtenus directement ou indirectement au cours des trois années précédentes auprès d'une institution européenne ou organisme communautaire (s’il y a lieu)</v>
      </c>
      <c r="D66" s="567"/>
      <c r="E66" s="567"/>
      <c r="F66" s="567"/>
      <c r="G66" s="567"/>
      <c r="H66" s="567"/>
      <c r="I66" s="567"/>
      <c r="J66" s="567"/>
      <c r="K66" s="567"/>
      <c r="L66" s="567"/>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9"/>
      <c r="E67" s="570"/>
      <c r="F67" s="571"/>
      <c r="G67" s="103"/>
      <c r="H67" s="518" t="str">
        <f ca="1">HYPERLINK(CELL("contents",Euro_Link))</f>
        <v>http://europa.eu.int/euro/html/rubrique-cadre6.html?pag=rubrique-defaut6.html&amp;lang=6&amp;rubrique=196&amp;chap=13</v>
      </c>
      <c r="I67" s="518"/>
      <c r="J67" s="518"/>
      <c r="K67" s="518"/>
      <c r="L67" s="103"/>
      <c r="M67" s="99"/>
      <c r="N67" s="206"/>
      <c r="O67" s="79"/>
      <c r="P67" s="186"/>
      <c r="Q67" s="186"/>
      <c r="R67" s="186"/>
      <c r="S67" s="186"/>
      <c r="T67" s="186"/>
      <c r="U67" s="186"/>
      <c r="V67" s="186"/>
      <c r="W67" s="186"/>
      <c r="X67" s="186"/>
      <c r="Y67" s="186"/>
      <c r="Z67" s="186"/>
      <c r="AA67" s="99"/>
    </row>
    <row r="68" spans="1:27" ht="24" customHeight="1" thickBot="1">
      <c r="A68" s="179"/>
      <c r="B68" s="208" t="s">
        <v>1509</v>
      </c>
      <c r="C68" s="288" t="str">
        <f>Lbl_DG_Respons</f>
        <v>Direction générale responsable de la ligne budgétaire</v>
      </c>
      <c r="D68" s="574" t="str">
        <f>Lbl_N_SOC</f>
        <v>N° du contrat</v>
      </c>
      <c r="E68" s="574"/>
      <c r="F68" s="289" t="str">
        <f>Lbl_Année</f>
        <v>Année</v>
      </c>
      <c r="G68" s="568" t="str">
        <f>Lbl_Titre</f>
        <v>Titre</v>
      </c>
      <c r="H68" s="568"/>
      <c r="I68" s="568"/>
      <c r="J68" s="568"/>
      <c r="K68" s="568" t="str">
        <f>Lbl_Montant</f>
        <v>Montant (€)</v>
      </c>
      <c r="L68" s="568"/>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5"/>
      <c r="E69" s="576"/>
      <c r="F69" s="372"/>
      <c r="G69" s="575"/>
      <c r="H69" s="790"/>
      <c r="I69" s="790"/>
      <c r="J69" s="576"/>
      <c r="K69" s="572"/>
      <c r="L69" s="573"/>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4"/>
      <c r="E70" s="795"/>
      <c r="F70" s="302"/>
      <c r="G70" s="777"/>
      <c r="H70" s="630"/>
      <c r="I70" s="630"/>
      <c r="J70" s="778"/>
      <c r="K70" s="565"/>
      <c r="L70" s="566"/>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7"/>
      <c r="E71" s="778"/>
      <c r="F71" s="302"/>
      <c r="G71" s="777"/>
      <c r="H71" s="630"/>
      <c r="I71" s="630"/>
      <c r="J71" s="778"/>
      <c r="K71" s="565"/>
      <c r="L71" s="566"/>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7"/>
      <c r="E72" s="778"/>
      <c r="F72" s="302"/>
      <c r="G72" s="777"/>
      <c r="H72" s="630"/>
      <c r="I72" s="630"/>
      <c r="J72" s="778"/>
      <c r="K72" s="565"/>
      <c r="L72" s="566"/>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7"/>
      <c r="E73" s="778"/>
      <c r="F73" s="302"/>
      <c r="G73" s="777"/>
      <c r="H73" s="630"/>
      <c r="I73" s="630"/>
      <c r="J73" s="778"/>
      <c r="K73" s="565"/>
      <c r="L73" s="566"/>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7"/>
      <c r="E74" s="778"/>
      <c r="F74" s="302"/>
      <c r="G74" s="777"/>
      <c r="H74" s="630"/>
      <c r="I74" s="630"/>
      <c r="J74" s="778"/>
      <c r="K74" s="565"/>
      <c r="L74" s="566"/>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91"/>
      <c r="E75" s="792"/>
      <c r="F75" s="303"/>
      <c r="G75" s="791"/>
      <c r="H75" s="793"/>
      <c r="I75" s="793"/>
      <c r="J75" s="792"/>
      <c r="K75" s="523"/>
      <c r="L75" s="524"/>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1510</v>
      </c>
      <c r="C77" s="626"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7"/>
      <c r="E77" s="627"/>
      <c r="F77" s="627"/>
      <c r="G77" s="627"/>
      <c r="H77" s="627"/>
      <c r="I77" s="627"/>
      <c r="J77" s="627"/>
      <c r="K77" s="627"/>
      <c r="L77" s="627"/>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20"/>
      <c r="E78" s="521"/>
      <c r="F78" s="522"/>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1511</v>
      </c>
      <c r="C79" s="166" t="str">
        <f>Lbl_DG_Respons</f>
        <v>Direction générale responsable de la ligne budgétaire</v>
      </c>
      <c r="D79" s="631" t="str">
        <f>Lbl_Ref_Proj</f>
        <v>Titre et numéro de référence du projet</v>
      </c>
      <c r="E79" s="631"/>
      <c r="F79" s="631"/>
      <c r="G79" s="631"/>
      <c r="H79" s="631"/>
      <c r="I79" s="631"/>
      <c r="J79" s="631"/>
      <c r="K79" s="631" t="str">
        <f>Lbl_Obtention</f>
        <v>Obtenue ?</v>
      </c>
      <c r="L79" s="631"/>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9"/>
      <c r="E80" s="630"/>
      <c r="F80" s="630"/>
      <c r="G80" s="630"/>
      <c r="H80" s="630"/>
      <c r="I80" s="630"/>
      <c r="J80" s="630"/>
      <c r="K80" s="628"/>
      <c r="L80" s="628"/>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9"/>
      <c r="E81" s="630"/>
      <c r="F81" s="630"/>
      <c r="G81" s="630"/>
      <c r="H81" s="630"/>
      <c r="I81" s="630"/>
      <c r="J81" s="630"/>
      <c r="K81" s="628"/>
      <c r="L81" s="628"/>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9"/>
      <c r="E82" s="630"/>
      <c r="F82" s="630"/>
      <c r="G82" s="630"/>
      <c r="H82" s="630"/>
      <c r="I82" s="630"/>
      <c r="J82" s="630"/>
      <c r="K82" s="628"/>
      <c r="L82" s="628"/>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4" t="str">
        <f>Lbl_Voir_signalétique_bancaire</f>
        <v>Voir le 'signalétique financier' (relevé bancaire) à la fin de la Partie I</v>
      </c>
      <c r="D85" s="624"/>
      <c r="E85" s="624"/>
      <c r="F85" s="624"/>
      <c r="G85" s="624"/>
      <c r="H85" s="763"/>
      <c r="I85" s="763"/>
      <c r="J85" s="763"/>
      <c r="K85" s="763"/>
      <c r="L85" s="763"/>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90"/>
      <c r="E87" s="591"/>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5" t="str">
        <f>Lbl_Structure</f>
        <v>Structure, activités et ressources de l'organisation</v>
      </c>
      <c r="C90" s="595"/>
      <c r="D90" s="595"/>
      <c r="E90" s="595"/>
      <c r="F90" s="595"/>
      <c r="G90" s="595"/>
      <c r="H90" s="595"/>
      <c r="I90" s="595"/>
      <c r="J90" s="595"/>
      <c r="K90" s="595"/>
      <c r="L90" s="595"/>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52" t="str">
        <f>Lib_Desc_Titre0</f>
        <v>Quelle est la structure de l'organisation (autorités locales, régionales ou nationales, association indépendante, etc.) et mentionnez combien d'organisations sont membres de votre structure, qui et quelle sorte d'organisation peut être membre : </v>
      </c>
      <c r="D92" s="552"/>
      <c r="E92" s="552"/>
      <c r="F92" s="552"/>
      <c r="G92" s="552"/>
      <c r="H92" s="552"/>
      <c r="I92" s="552"/>
      <c r="J92" s="552"/>
      <c r="K92" s="552"/>
      <c r="L92" s="552"/>
      <c r="M92" s="170"/>
      <c r="N92" s="206" t="s">
        <v>1508</v>
      </c>
      <c r="O92" s="79"/>
      <c r="P92" s="186"/>
      <c r="Q92" s="186"/>
      <c r="R92" s="186"/>
      <c r="S92" s="186"/>
      <c r="T92" s="186"/>
      <c r="U92" s="186"/>
      <c r="V92" s="186"/>
      <c r="W92" s="186"/>
      <c r="X92" s="186"/>
      <c r="Y92" s="186"/>
      <c r="Z92" s="186"/>
      <c r="AA92" s="99"/>
    </row>
    <row r="93" spans="1:27" s="106" customFormat="1" ht="45" customHeight="1" thickBot="1">
      <c r="A93" s="189"/>
      <c r="B93" s="208"/>
      <c r="C93" s="555"/>
      <c r="D93" s="755"/>
      <c r="E93" s="755"/>
      <c r="F93" s="755"/>
      <c r="G93" s="755"/>
      <c r="H93" s="755"/>
      <c r="I93" s="755"/>
      <c r="J93" s="755"/>
      <c r="K93" s="755"/>
      <c r="L93" s="756"/>
      <c r="M93" s="99"/>
      <c r="N93" s="206"/>
      <c r="O93" s="79"/>
      <c r="P93" s="186"/>
      <c r="Q93" s="186"/>
      <c r="R93" s="186"/>
      <c r="S93" s="186"/>
      <c r="T93" s="186"/>
      <c r="U93" s="186"/>
      <c r="V93" s="186"/>
      <c r="W93" s="186"/>
      <c r="X93" s="186"/>
      <c r="Y93" s="186"/>
      <c r="Z93" s="186"/>
      <c r="AA93" s="99"/>
    </row>
    <row r="94" spans="1:27" s="106" customFormat="1" ht="45" customHeight="1" thickTop="1">
      <c r="A94" s="527" t="str">
        <f>Lbl_Informations_générales</f>
        <v>Informations générales</v>
      </c>
      <c r="B94" s="208"/>
      <c r="C94" s="757"/>
      <c r="D94" s="758"/>
      <c r="E94" s="758"/>
      <c r="F94" s="758"/>
      <c r="G94" s="758"/>
      <c r="H94" s="758"/>
      <c r="I94" s="758"/>
      <c r="J94" s="758"/>
      <c r="K94" s="758"/>
      <c r="L94" s="759"/>
      <c r="M94" s="99"/>
      <c r="N94" s="206"/>
      <c r="O94" s="79"/>
      <c r="P94" s="186"/>
      <c r="Q94" s="186"/>
      <c r="R94" s="186"/>
      <c r="S94" s="186"/>
      <c r="T94" s="186"/>
      <c r="U94" s="186"/>
      <c r="V94" s="186"/>
      <c r="W94" s="186"/>
      <c r="X94" s="186"/>
      <c r="Y94" s="186"/>
      <c r="Z94" s="186"/>
      <c r="AA94" s="99"/>
    </row>
    <row r="95" spans="1:27" s="106" customFormat="1" ht="45" customHeight="1" thickBot="1">
      <c r="A95" s="529"/>
      <c r="B95" s="208"/>
      <c r="C95" s="757"/>
      <c r="D95" s="758"/>
      <c r="E95" s="758"/>
      <c r="F95" s="758"/>
      <c r="G95" s="758"/>
      <c r="H95" s="758"/>
      <c r="I95" s="758"/>
      <c r="J95" s="758"/>
      <c r="K95" s="758"/>
      <c r="L95" s="759"/>
      <c r="M95" s="99"/>
      <c r="N95" s="206"/>
      <c r="O95" s="79"/>
      <c r="P95" s="186"/>
      <c r="Q95" s="186"/>
      <c r="R95" s="186"/>
      <c r="S95" s="186"/>
      <c r="T95" s="186"/>
      <c r="U95" s="186"/>
      <c r="V95" s="186"/>
      <c r="W95" s="186"/>
      <c r="X95" s="186"/>
      <c r="Y95" s="186"/>
      <c r="Z95" s="186"/>
      <c r="AA95" s="99"/>
    </row>
    <row r="96" spans="1:27" s="106" customFormat="1" ht="45" customHeight="1" thickTop="1">
      <c r="A96" s="781" t="str">
        <f>Lbl_Structure</f>
        <v>Structure, activités et ressources de l'organisation</v>
      </c>
      <c r="B96" s="304" t="str">
        <f>LEN(Fld_Description0)&amp;" char"</f>
        <v>0 char</v>
      </c>
      <c r="C96" s="757"/>
      <c r="D96" s="758"/>
      <c r="E96" s="758"/>
      <c r="F96" s="758"/>
      <c r="G96" s="758"/>
      <c r="H96" s="758"/>
      <c r="I96" s="758"/>
      <c r="J96" s="758"/>
      <c r="K96" s="758"/>
      <c r="L96" s="759"/>
      <c r="M96" s="99"/>
      <c r="N96" s="206"/>
      <c r="O96" s="79"/>
      <c r="P96" s="186"/>
      <c r="Q96" s="186"/>
      <c r="R96" s="186"/>
      <c r="S96" s="186"/>
      <c r="T96" s="186"/>
      <c r="U96" s="186"/>
      <c r="V96" s="186"/>
      <c r="W96" s="186"/>
      <c r="X96" s="186"/>
      <c r="Y96" s="186"/>
      <c r="Z96" s="186"/>
      <c r="AA96" s="99"/>
    </row>
    <row r="97" spans="1:27" s="106" customFormat="1" ht="45" customHeight="1" thickBot="1">
      <c r="A97" s="782"/>
      <c r="B97" s="208"/>
      <c r="C97" s="757"/>
      <c r="D97" s="758"/>
      <c r="E97" s="758"/>
      <c r="F97" s="758"/>
      <c r="G97" s="758"/>
      <c r="H97" s="758"/>
      <c r="I97" s="758"/>
      <c r="J97" s="758"/>
      <c r="K97" s="758"/>
      <c r="L97" s="759"/>
      <c r="M97" s="99"/>
      <c r="N97" s="206"/>
      <c r="O97" s="79"/>
      <c r="P97" s="186"/>
      <c r="Q97" s="186"/>
      <c r="R97" s="186"/>
      <c r="S97" s="186"/>
      <c r="T97" s="186"/>
      <c r="U97" s="186"/>
      <c r="V97" s="186"/>
      <c r="W97" s="186"/>
      <c r="X97" s="186"/>
      <c r="Y97" s="186"/>
      <c r="Z97" s="186"/>
      <c r="AA97" s="99"/>
    </row>
    <row r="98" spans="1:27" s="106" customFormat="1" ht="45" customHeight="1" thickTop="1">
      <c r="A98" s="527" t="str">
        <f>Lbl_Charactéristiques_du_projet</f>
        <v>Caractéristiques de l'activité proposée</v>
      </c>
      <c r="B98" s="208"/>
      <c r="C98" s="760"/>
      <c r="D98" s="761"/>
      <c r="E98" s="761"/>
      <c r="F98" s="761"/>
      <c r="G98" s="761"/>
      <c r="H98" s="761"/>
      <c r="I98" s="761"/>
      <c r="J98" s="761"/>
      <c r="K98" s="761"/>
      <c r="L98" s="762"/>
      <c r="M98" s="99"/>
      <c r="N98" s="206"/>
      <c r="O98" s="79"/>
      <c r="P98" s="186"/>
      <c r="Q98" s="186"/>
      <c r="R98" s="186"/>
      <c r="S98" s="186"/>
      <c r="T98" s="186"/>
      <c r="U98" s="186"/>
      <c r="V98" s="186"/>
      <c r="W98" s="186"/>
      <c r="X98" s="186"/>
      <c r="Y98" s="186"/>
      <c r="Z98" s="186"/>
      <c r="AA98" s="99"/>
    </row>
    <row r="99" spans="1:27" s="106" customFormat="1" ht="19.5" customHeight="1" thickBot="1">
      <c r="A99" s="529"/>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7" t="str">
        <f>Lbl_Banque_Signalétique_financier</f>
        <v>Signalétique financier</v>
      </c>
      <c r="B100" s="208" t="s">
        <v>127</v>
      </c>
      <c r="C100" s="764" t="str">
        <f>Lib_Desc_Titre1</f>
        <v>Personnel permanent employé par votre organisation (nombre) :</v>
      </c>
      <c r="D100" s="554"/>
      <c r="E100" s="554"/>
      <c r="F100" s="554"/>
      <c r="G100" s="554"/>
      <c r="H100" s="554"/>
      <c r="I100" s="554"/>
      <c r="J100" s="554"/>
      <c r="K100" s="554"/>
      <c r="L100" s="554"/>
      <c r="M100" s="171"/>
      <c r="N100" s="206" t="s">
        <v>1508</v>
      </c>
      <c r="O100" s="79"/>
      <c r="P100" s="186"/>
      <c r="Q100" s="186"/>
      <c r="R100" s="186"/>
      <c r="S100" s="186"/>
      <c r="T100" s="186"/>
      <c r="U100" s="186"/>
      <c r="V100" s="186"/>
      <c r="W100" s="186"/>
      <c r="X100" s="186"/>
      <c r="Y100" s="186"/>
      <c r="Z100" s="186"/>
      <c r="AA100" s="99"/>
    </row>
    <row r="101" spans="1:27" s="106" customFormat="1" ht="57.75" customHeight="1" thickBot="1">
      <c r="A101" s="533"/>
      <c r="B101" s="311" t="str">
        <f>LEN(Fld_Description1)&amp;" char"</f>
        <v>0 char</v>
      </c>
      <c r="C101" s="555"/>
      <c r="D101" s="556"/>
      <c r="E101" s="556"/>
      <c r="F101" s="556"/>
      <c r="G101" s="556"/>
      <c r="H101" s="556"/>
      <c r="I101" s="556"/>
      <c r="J101" s="556"/>
      <c r="K101" s="556"/>
      <c r="L101" s="557"/>
      <c r="M101" s="99"/>
      <c r="N101" s="206"/>
      <c r="O101" s="79"/>
      <c r="P101" s="186"/>
      <c r="Q101" s="186"/>
      <c r="R101" s="186"/>
      <c r="S101" s="186"/>
      <c r="T101" s="186"/>
      <c r="U101" s="186"/>
      <c r="V101" s="186"/>
      <c r="W101" s="186"/>
      <c r="X101" s="186"/>
      <c r="Y101" s="186"/>
      <c r="Z101" s="186"/>
      <c r="AA101" s="99"/>
    </row>
    <row r="102" spans="1:27" s="106" customFormat="1" ht="71.25" customHeight="1" thickTop="1">
      <c r="A102" s="527" t="str">
        <f>Lbl_Fin</f>
        <v>Fin du document</v>
      </c>
      <c r="B102" s="208"/>
      <c r="C102" s="561"/>
      <c r="D102" s="562"/>
      <c r="E102" s="562"/>
      <c r="F102" s="562"/>
      <c r="G102" s="562"/>
      <c r="H102" s="562"/>
      <c r="I102" s="562"/>
      <c r="J102" s="562"/>
      <c r="K102" s="562"/>
      <c r="L102" s="563"/>
      <c r="M102" s="99"/>
      <c r="N102" s="206"/>
      <c r="O102" s="79"/>
      <c r="P102" s="186"/>
      <c r="Q102" s="186"/>
      <c r="R102" s="186"/>
      <c r="S102" s="186"/>
      <c r="T102" s="186"/>
      <c r="U102" s="186"/>
      <c r="V102" s="186"/>
      <c r="W102" s="186"/>
      <c r="X102" s="186"/>
      <c r="Y102" s="186"/>
      <c r="Z102" s="186"/>
      <c r="AA102" s="99"/>
    </row>
    <row r="103" spans="1:27" s="106" customFormat="1" ht="19.5" customHeight="1" thickBot="1">
      <c r="A103" s="533"/>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3" t="str">
        <f>Lib_Desc_Titre2</f>
        <v>Bref résumé des objectifs et des activités habituelles de l'organisation:</v>
      </c>
      <c r="D104" s="554"/>
      <c r="E104" s="554"/>
      <c r="F104" s="554"/>
      <c r="G104" s="554"/>
      <c r="H104" s="554"/>
      <c r="I104" s="554"/>
      <c r="J104" s="554"/>
      <c r="K104" s="554"/>
      <c r="L104" s="554"/>
      <c r="M104" s="171"/>
      <c r="N104" s="206" t="s">
        <v>1508</v>
      </c>
      <c r="O104" s="79"/>
      <c r="P104" s="186"/>
      <c r="Q104" s="186"/>
      <c r="R104" s="186"/>
      <c r="S104" s="186"/>
      <c r="T104" s="186"/>
      <c r="U104" s="186"/>
      <c r="V104" s="186"/>
      <c r="W104" s="186"/>
      <c r="X104" s="186"/>
      <c r="Y104" s="186"/>
      <c r="Z104" s="186"/>
      <c r="AA104" s="99"/>
    </row>
    <row r="105" spans="1:27" s="106" customFormat="1" ht="30" customHeight="1">
      <c r="A105" s="189"/>
      <c r="B105" s="208"/>
      <c r="C105" s="555"/>
      <c r="D105" s="556"/>
      <c r="E105" s="556"/>
      <c r="F105" s="556"/>
      <c r="G105" s="556"/>
      <c r="H105" s="556"/>
      <c r="I105" s="556"/>
      <c r="J105" s="556"/>
      <c r="K105" s="556"/>
      <c r="L105" s="557"/>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8"/>
      <c r="D106" s="559"/>
      <c r="E106" s="559"/>
      <c r="F106" s="559"/>
      <c r="G106" s="559"/>
      <c r="H106" s="559"/>
      <c r="I106" s="559"/>
      <c r="J106" s="559"/>
      <c r="K106" s="559"/>
      <c r="L106" s="560"/>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8"/>
      <c r="D107" s="559"/>
      <c r="E107" s="559"/>
      <c r="F107" s="559"/>
      <c r="G107" s="559"/>
      <c r="H107" s="559"/>
      <c r="I107" s="559"/>
      <c r="J107" s="559"/>
      <c r="K107" s="559"/>
      <c r="L107" s="560"/>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8"/>
      <c r="D108" s="559"/>
      <c r="E108" s="559"/>
      <c r="F108" s="559"/>
      <c r="G108" s="559"/>
      <c r="H108" s="559"/>
      <c r="I108" s="559"/>
      <c r="J108" s="559"/>
      <c r="K108" s="559"/>
      <c r="L108" s="560"/>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8"/>
      <c r="D109" s="559"/>
      <c r="E109" s="559"/>
      <c r="F109" s="559"/>
      <c r="G109" s="559"/>
      <c r="H109" s="559"/>
      <c r="I109" s="559"/>
      <c r="J109" s="559"/>
      <c r="K109" s="559"/>
      <c r="L109" s="560"/>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8"/>
      <c r="D110" s="559"/>
      <c r="E110" s="559"/>
      <c r="F110" s="559"/>
      <c r="G110" s="559"/>
      <c r="H110" s="559"/>
      <c r="I110" s="559"/>
      <c r="J110" s="559"/>
      <c r="K110" s="559"/>
      <c r="L110" s="560"/>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8"/>
      <c r="D111" s="559"/>
      <c r="E111" s="559"/>
      <c r="F111" s="559"/>
      <c r="G111" s="559"/>
      <c r="H111" s="559"/>
      <c r="I111" s="559"/>
      <c r="J111" s="559"/>
      <c r="K111" s="559"/>
      <c r="L111" s="560"/>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8"/>
      <c r="D112" s="559"/>
      <c r="E112" s="559"/>
      <c r="F112" s="559"/>
      <c r="G112" s="559"/>
      <c r="H112" s="559"/>
      <c r="I112" s="559"/>
      <c r="J112" s="559"/>
      <c r="K112" s="559"/>
      <c r="L112" s="560"/>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61"/>
      <c r="D113" s="562"/>
      <c r="E113" s="562"/>
      <c r="F113" s="562"/>
      <c r="G113" s="562"/>
      <c r="H113" s="562"/>
      <c r="I113" s="562"/>
      <c r="J113" s="562"/>
      <c r="K113" s="562"/>
      <c r="L113" s="563"/>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5" t="str">
        <f>Lib_Desc_Titre3</f>
        <v>Sources habituelles de financement de l'organisation :</v>
      </c>
      <c r="D115" s="526"/>
      <c r="E115" s="526"/>
      <c r="F115" s="526"/>
      <c r="G115" s="526"/>
      <c r="H115" s="526"/>
      <c r="I115" s="526"/>
      <c r="J115" s="526"/>
      <c r="K115" s="526"/>
      <c r="L115" s="526"/>
      <c r="M115" s="171"/>
      <c r="N115" s="206" t="s">
        <v>1508</v>
      </c>
      <c r="O115" s="79"/>
      <c r="P115" s="186"/>
      <c r="Q115" s="186"/>
      <c r="R115" s="186"/>
      <c r="S115" s="186"/>
      <c r="T115" s="186"/>
      <c r="U115" s="186"/>
      <c r="V115" s="186"/>
      <c r="W115" s="186"/>
      <c r="X115" s="186"/>
      <c r="Y115" s="186"/>
      <c r="Z115" s="186"/>
      <c r="AA115" s="99"/>
    </row>
    <row r="116" spans="1:27" s="106" customFormat="1" ht="30" customHeight="1">
      <c r="A116" s="180"/>
      <c r="B116" s="208"/>
      <c r="C116" s="555"/>
      <c r="D116" s="556"/>
      <c r="E116" s="556"/>
      <c r="F116" s="556"/>
      <c r="G116" s="556"/>
      <c r="H116" s="556"/>
      <c r="I116" s="556"/>
      <c r="J116" s="556"/>
      <c r="K116" s="556"/>
      <c r="L116" s="557"/>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8"/>
      <c r="D117" s="564"/>
      <c r="E117" s="564"/>
      <c r="F117" s="564"/>
      <c r="G117" s="564"/>
      <c r="H117" s="564"/>
      <c r="I117" s="564"/>
      <c r="J117" s="564"/>
      <c r="K117" s="564"/>
      <c r="L117" s="560"/>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8"/>
      <c r="D118" s="564"/>
      <c r="E118" s="564"/>
      <c r="F118" s="564"/>
      <c r="G118" s="564"/>
      <c r="H118" s="564"/>
      <c r="I118" s="564"/>
      <c r="J118" s="564"/>
      <c r="K118" s="564"/>
      <c r="L118" s="560"/>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61"/>
      <c r="D119" s="562"/>
      <c r="E119" s="562"/>
      <c r="F119" s="562"/>
      <c r="G119" s="562"/>
      <c r="H119" s="562"/>
      <c r="I119" s="562"/>
      <c r="J119" s="562"/>
      <c r="K119" s="562"/>
      <c r="L119" s="563"/>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52" t="str">
        <f>Lib_Desc_Titre4</f>
        <v>Autres informations utiles :</v>
      </c>
      <c r="D121" s="552"/>
      <c r="E121" s="552"/>
      <c r="F121" s="552"/>
      <c r="G121" s="552"/>
      <c r="H121" s="552"/>
      <c r="I121" s="552"/>
      <c r="J121" s="552"/>
      <c r="K121" s="552"/>
      <c r="L121" s="552"/>
      <c r="M121" s="171"/>
      <c r="N121" s="206" t="s">
        <v>1508</v>
      </c>
      <c r="O121" s="79"/>
      <c r="P121" s="186"/>
      <c r="Q121" s="186"/>
      <c r="R121" s="186"/>
      <c r="S121" s="186"/>
      <c r="T121" s="186"/>
      <c r="U121" s="186"/>
      <c r="V121" s="186"/>
      <c r="W121" s="186"/>
      <c r="X121" s="186"/>
      <c r="Y121" s="186"/>
      <c r="Z121" s="186"/>
      <c r="AA121" s="99"/>
    </row>
    <row r="122" spans="1:27" s="106" customFormat="1" ht="33" customHeight="1">
      <c r="A122" s="180"/>
      <c r="B122" s="1"/>
      <c r="C122" s="534"/>
      <c r="D122" s="535"/>
      <c r="E122" s="535"/>
      <c r="F122" s="535"/>
      <c r="G122" s="535"/>
      <c r="H122" s="535"/>
      <c r="I122" s="535"/>
      <c r="J122" s="535"/>
      <c r="K122" s="535"/>
      <c r="L122" s="536"/>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7"/>
      <c r="D123" s="538"/>
      <c r="E123" s="538"/>
      <c r="F123" s="538"/>
      <c r="G123" s="538"/>
      <c r="H123" s="538"/>
      <c r="I123" s="538"/>
      <c r="J123" s="538"/>
      <c r="K123" s="538"/>
      <c r="L123" s="539"/>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7"/>
      <c r="D124" s="538"/>
      <c r="E124" s="538"/>
      <c r="F124" s="538"/>
      <c r="G124" s="538"/>
      <c r="H124" s="538"/>
      <c r="I124" s="538"/>
      <c r="J124" s="538"/>
      <c r="K124" s="538"/>
      <c r="L124" s="539"/>
      <c r="M124" s="99"/>
      <c r="N124" s="206"/>
      <c r="O124" s="79"/>
      <c r="P124" s="186"/>
      <c r="Q124" s="186"/>
      <c r="R124" s="186"/>
      <c r="S124" s="186"/>
      <c r="T124" s="186"/>
      <c r="U124" s="186"/>
      <c r="V124" s="186"/>
      <c r="W124" s="186"/>
      <c r="X124" s="186"/>
      <c r="Y124" s="186"/>
      <c r="Z124" s="186"/>
      <c r="AA124" s="99"/>
    </row>
    <row r="125" spans="1:27" ht="33" customHeight="1">
      <c r="A125" s="179"/>
      <c r="B125" s="1"/>
      <c r="C125" s="540"/>
      <c r="D125" s="541"/>
      <c r="E125" s="541"/>
      <c r="F125" s="541"/>
      <c r="G125" s="541"/>
      <c r="H125" s="541"/>
      <c r="I125" s="541"/>
      <c r="J125" s="541"/>
      <c r="K125" s="541"/>
      <c r="L125" s="542"/>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7" t="str">
        <f>Lbl_Nom_Organisme</f>
        <v>Nom Organisme</v>
      </c>
      <c r="D132" s="547"/>
      <c r="E132" s="547"/>
      <c r="F132" s="548" t="str">
        <f>Lbl_Responsable</f>
        <v>Responsable</v>
      </c>
      <c r="G132" s="548"/>
      <c r="H132" s="548"/>
      <c r="I132" s="548"/>
      <c r="J132" s="548" t="str">
        <f>Lbl_Lieu__Pays</f>
        <v>Lieu (Pays)</v>
      </c>
      <c r="K132" s="548"/>
      <c r="L132" s="548"/>
      <c r="M132" s="99"/>
      <c r="N132" s="206"/>
      <c r="O132" s="79"/>
      <c r="P132" s="186"/>
      <c r="Q132" s="186"/>
      <c r="R132" s="186"/>
      <c r="S132" s="186"/>
      <c r="T132" s="186"/>
      <c r="U132" s="186"/>
      <c r="V132" s="186"/>
      <c r="W132" s="186"/>
      <c r="X132" s="186"/>
      <c r="Y132" s="186"/>
      <c r="Z132" s="186"/>
      <c r="AA132" s="99"/>
    </row>
    <row r="133" spans="1:27" ht="27" customHeight="1" hidden="1" thickTop="1">
      <c r="A133" s="527" t="str">
        <f>Lbl_Informations_générales</f>
        <v>Informations générales</v>
      </c>
      <c r="B133" s="7" t="s">
        <v>1533</v>
      </c>
      <c r="C133" s="549"/>
      <c r="D133" s="550"/>
      <c r="E133" s="551"/>
      <c r="F133" s="549"/>
      <c r="G133" s="550"/>
      <c r="H133" s="550"/>
      <c r="I133" s="551"/>
      <c r="J133" s="544"/>
      <c r="K133" s="545"/>
      <c r="L133" s="546"/>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9"/>
      <c r="B134" s="7" t="s">
        <v>1534</v>
      </c>
      <c r="C134" s="597"/>
      <c r="D134" s="598"/>
      <c r="E134" s="599"/>
      <c r="F134" s="543"/>
      <c r="G134" s="543"/>
      <c r="H134" s="543"/>
      <c r="I134" s="543"/>
      <c r="J134" s="544"/>
      <c r="K134" s="545"/>
      <c r="L134" s="546"/>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7" t="str">
        <f>Lbl_Structure</f>
        <v>Structure, activités et ressources de l'organisation</v>
      </c>
      <c r="B135" s="7" t="s">
        <v>1535</v>
      </c>
      <c r="C135" s="549"/>
      <c r="D135" s="550"/>
      <c r="E135" s="551"/>
      <c r="F135" s="543"/>
      <c r="G135" s="543"/>
      <c r="H135" s="543"/>
      <c r="I135" s="543"/>
      <c r="J135" s="544"/>
      <c r="K135" s="545"/>
      <c r="L135" s="546"/>
      <c r="M135" s="125">
        <f t="shared" si="2"/>
        <v>0</v>
      </c>
      <c r="N135" s="206"/>
      <c r="O135" s="79"/>
      <c r="P135" s="186"/>
      <c r="Q135" s="186"/>
      <c r="R135" s="186"/>
      <c r="S135" s="186"/>
      <c r="T135" s="186"/>
      <c r="U135" s="186"/>
      <c r="V135" s="186"/>
      <c r="W135" s="186"/>
      <c r="X135" s="186"/>
      <c r="Y135" s="186"/>
      <c r="Z135" s="186"/>
      <c r="AA135" s="99"/>
    </row>
    <row r="136" spans="1:27" ht="27" customHeight="1" hidden="1">
      <c r="A136" s="528"/>
      <c r="B136" s="7" t="s">
        <v>1536</v>
      </c>
      <c r="C136" s="549"/>
      <c r="D136" s="550"/>
      <c r="E136" s="551"/>
      <c r="F136" s="543"/>
      <c r="G136" s="543"/>
      <c r="H136" s="543"/>
      <c r="I136" s="543"/>
      <c r="J136" s="544"/>
      <c r="K136" s="545"/>
      <c r="L136" s="546"/>
      <c r="M136" s="125">
        <f t="shared" si="2"/>
        <v>0</v>
      </c>
      <c r="N136" s="206"/>
      <c r="O136" s="79"/>
      <c r="P136" s="186"/>
      <c r="Q136" s="186"/>
      <c r="R136" s="186"/>
      <c r="S136" s="186"/>
      <c r="T136" s="186"/>
      <c r="U136" s="186"/>
      <c r="V136" s="186"/>
      <c r="W136" s="186"/>
      <c r="X136" s="186"/>
      <c r="Y136" s="186"/>
      <c r="Z136" s="186"/>
      <c r="AA136" s="99"/>
    </row>
    <row r="137" spans="1:27" ht="27" customHeight="1" hidden="1">
      <c r="A137" s="528"/>
      <c r="B137" s="7" t="s">
        <v>1537</v>
      </c>
      <c r="C137" s="549"/>
      <c r="D137" s="550"/>
      <c r="E137" s="551"/>
      <c r="F137" s="543"/>
      <c r="G137" s="543"/>
      <c r="H137" s="543"/>
      <c r="I137" s="543"/>
      <c r="J137" s="544"/>
      <c r="K137" s="545"/>
      <c r="L137" s="546"/>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9"/>
      <c r="B138" s="7" t="s">
        <v>1538</v>
      </c>
      <c r="C138" s="549"/>
      <c r="D138" s="550"/>
      <c r="E138" s="551"/>
      <c r="F138" s="543"/>
      <c r="G138" s="543"/>
      <c r="H138" s="543"/>
      <c r="I138" s="543"/>
      <c r="J138" s="544"/>
      <c r="K138" s="545"/>
      <c r="L138" s="546"/>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7" t="str">
        <f>Lbl_Charactéristiques_du_projet</f>
        <v>Caractéristiques de l'activité proposée</v>
      </c>
      <c r="B139" s="7" t="s">
        <v>1539</v>
      </c>
      <c r="C139" s="549"/>
      <c r="D139" s="550"/>
      <c r="E139" s="551"/>
      <c r="F139" s="543"/>
      <c r="G139" s="543"/>
      <c r="H139" s="543"/>
      <c r="I139" s="543"/>
      <c r="J139" s="544"/>
      <c r="K139" s="545"/>
      <c r="L139" s="546"/>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9"/>
      <c r="B140" s="7"/>
      <c r="C140" s="640" t="str">
        <f>J133&amp;","&amp;J134&amp;","&amp;J135&amp;","&amp;J136&amp;","&amp;J137&amp;","&amp;J138&amp;","&amp;J139</f>
        <v>,,,,,,</v>
      </c>
      <c r="D140" s="640"/>
      <c r="E140" s="640"/>
      <c r="F140" s="640"/>
      <c r="G140" s="640"/>
      <c r="H140" s="519"/>
      <c r="I140" s="519"/>
      <c r="J140" s="632">
        <f>SUM(M133:M139)</f>
        <v>0</v>
      </c>
      <c r="K140" s="632"/>
      <c r="L140" s="632"/>
      <c r="M140" s="99"/>
      <c r="N140" s="206"/>
      <c r="O140" s="79"/>
      <c r="P140" s="186"/>
      <c r="Q140" s="186"/>
      <c r="R140" s="186"/>
      <c r="S140" s="186"/>
      <c r="T140" s="186"/>
      <c r="U140" s="186"/>
      <c r="V140" s="186"/>
      <c r="W140" s="186"/>
      <c r="X140" s="186"/>
      <c r="Y140" s="186"/>
      <c r="Z140" s="186"/>
      <c r="AA140" s="99"/>
    </row>
    <row r="141" spans="1:27" ht="30" customHeight="1" thickTop="1">
      <c r="A141" s="527" t="str">
        <f>Lbl_Informations_générales</f>
        <v>Informations générales</v>
      </c>
      <c r="B141" s="208" t="s">
        <v>131</v>
      </c>
      <c r="C141" s="165" t="str">
        <f>Lbl_TitreProjet</f>
        <v>TITRE DU PROJET:</v>
      </c>
      <c r="D141" s="603"/>
      <c r="E141" s="605"/>
      <c r="F141" s="605"/>
      <c r="G141" s="605"/>
      <c r="H141" s="605"/>
      <c r="I141" s="605"/>
      <c r="J141" s="605"/>
      <c r="K141" s="605"/>
      <c r="L141" s="604"/>
      <c r="M141" s="99"/>
      <c r="N141" s="206"/>
      <c r="O141" s="79"/>
      <c r="P141" s="186"/>
      <c r="Q141" s="186"/>
      <c r="R141" s="186"/>
      <c r="S141" s="186"/>
      <c r="T141" s="186"/>
      <c r="U141" s="186"/>
      <c r="V141" s="186"/>
      <c r="W141" s="186"/>
      <c r="X141" s="186"/>
      <c r="Y141" s="186"/>
      <c r="Z141" s="186"/>
      <c r="AA141" s="99"/>
    </row>
    <row r="142" spans="1:27" ht="20.25" customHeight="1" thickBot="1">
      <c r="A142" s="529"/>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7" t="str">
        <f>Lbl_Informations_générales</f>
        <v>Informations générales</v>
      </c>
      <c r="B143" s="208" t="s">
        <v>131</v>
      </c>
      <c r="C143" s="124" t="str">
        <f>Lbl_Année</f>
        <v>Année</v>
      </c>
      <c r="D143" s="633"/>
      <c r="E143" s="634"/>
      <c r="F143" s="33"/>
      <c r="G143" s="638" t="str">
        <f>Lbl_Type_de_projet</f>
        <v>Type d'activités</v>
      </c>
      <c r="H143" s="638"/>
      <c r="I143" s="639"/>
      <c r="J143" s="635"/>
      <c r="K143" s="636"/>
      <c r="L143" s="637"/>
      <c r="M143" s="99"/>
      <c r="N143" s="206"/>
      <c r="O143" s="79"/>
      <c r="P143" s="186"/>
      <c r="Q143" s="186"/>
      <c r="R143" s="186"/>
      <c r="S143" s="186"/>
      <c r="T143" s="186"/>
      <c r="U143" s="186"/>
      <c r="V143" s="186"/>
      <c r="W143" s="186"/>
      <c r="X143" s="186"/>
      <c r="Y143" s="186"/>
      <c r="Z143" s="186"/>
      <c r="AA143" s="99"/>
    </row>
    <row r="144" spans="1:27" s="109" customFormat="1" ht="15" customHeight="1" thickBot="1">
      <c r="A144" s="529"/>
      <c r="B144" s="210"/>
      <c r="C144" s="752" t="e">
        <f>IF(SEARCH("/",Fld_Debut_Projet,3)+SEARCH("/",Fld_Debut_Projet,4)&lt;&gt;9,"VALUES !!","")</f>
        <v>#VALUE!</v>
      </c>
      <c r="D144" s="752"/>
      <c r="E144" s="751" t="str">
        <f>Lbl_Format_Date</f>
        <v>JJ/MM/AAAA</v>
      </c>
      <c r="F144" s="751"/>
      <c r="G144" s="280" t="e">
        <f>IF(SEARCH("/",Fld_Fin_Projet,3)+SEARCH("/",Fld_Fin_Projet,4)&lt;&gt;9,"VALUES !!","")</f>
        <v>#VALUE!</v>
      </c>
      <c r="H144" s="751" t="str">
        <f>Lbl_Format_Date</f>
        <v>JJ/MM/AAAA</v>
      </c>
      <c r="I144" s="751"/>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7" t="str">
        <f>Lbl_Structure</f>
        <v>Structure, activités et ressources de l'organisation</v>
      </c>
      <c r="B145" s="208" t="s">
        <v>132</v>
      </c>
      <c r="C145" s="165" t="str">
        <f>Lbl_Durée_du_projet</f>
        <v>Durée des activités</v>
      </c>
      <c r="D145" s="214" t="str">
        <f>Lbl_du</f>
        <v>du</v>
      </c>
      <c r="E145" s="753"/>
      <c r="F145" s="754"/>
      <c r="G145" s="281" t="str">
        <f>Lbl_au</f>
        <v>au</v>
      </c>
      <c r="H145" s="753"/>
      <c r="I145" s="754"/>
      <c r="J145" s="34" t="s">
        <v>20</v>
      </c>
      <c r="K145" s="749">
        <f>ROUNDUP(DAYS360(Fld_Debut_Projet,Fld_Fin_Projet)/365*12,0)</f>
        <v>0</v>
      </c>
      <c r="L145" s="750"/>
      <c r="M145" s="99"/>
      <c r="N145" s="206"/>
      <c r="O145" s="79"/>
      <c r="P145" s="186"/>
      <c r="Q145" s="186"/>
      <c r="R145" s="186"/>
      <c r="S145" s="186"/>
      <c r="T145" s="186"/>
      <c r="U145" s="186"/>
      <c r="V145" s="186"/>
      <c r="W145" s="186"/>
      <c r="X145" s="186"/>
      <c r="Y145" s="186"/>
      <c r="Z145" s="186"/>
      <c r="AA145" s="99"/>
    </row>
    <row r="146" spans="1:27" s="109" customFormat="1" ht="17.25" customHeight="1">
      <c r="A146" s="528"/>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82" customFormat="1" ht="27" customHeight="1" thickBot="1">
      <c r="A147" s="529"/>
      <c r="B147" s="381" t="s">
        <v>133</v>
      </c>
      <c r="C147" s="552" t="str">
        <f>Lbl_Resume</f>
        <v>Brève description de la problématique abordée, des objectifs et des résultats concrets de votre proposition (max. 10 lignes)</v>
      </c>
      <c r="D147" s="796"/>
      <c r="E147" s="796"/>
      <c r="F147" s="796"/>
      <c r="G147" s="796"/>
      <c r="H147" s="796"/>
      <c r="I147" s="796"/>
      <c r="J147" s="796"/>
      <c r="K147" s="796"/>
      <c r="L147" s="796"/>
      <c r="M147" s="383"/>
      <c r="N147" s="384"/>
      <c r="O147" s="385"/>
      <c r="P147" s="386"/>
      <c r="Q147" s="386"/>
      <c r="R147" s="386"/>
      <c r="S147" s="386"/>
      <c r="T147" s="386"/>
      <c r="U147" s="386"/>
      <c r="V147" s="386"/>
      <c r="W147" s="386"/>
      <c r="X147" s="386"/>
      <c r="Y147" s="386"/>
      <c r="Z147" s="386"/>
      <c r="AA147" s="383"/>
    </row>
    <row r="148" spans="1:27" s="113" customFormat="1" ht="13.5" thickTop="1">
      <c r="A148" s="527" t="str">
        <f>Lbl_Banque_Signalétique_financier</f>
        <v>Signalétique financier</v>
      </c>
      <c r="B148" s="211"/>
      <c r="C148" s="660"/>
      <c r="D148" s="661"/>
      <c r="E148" s="661"/>
      <c r="F148" s="661"/>
      <c r="G148" s="661"/>
      <c r="H148" s="661"/>
      <c r="I148" s="661"/>
      <c r="J148" s="661"/>
      <c r="K148" s="661"/>
      <c r="L148" s="662"/>
      <c r="M148" s="99"/>
      <c r="N148" s="206"/>
      <c r="O148" s="79"/>
      <c r="P148" s="186"/>
      <c r="Q148" s="186"/>
      <c r="R148" s="186"/>
      <c r="S148" s="186"/>
      <c r="T148" s="186"/>
      <c r="U148" s="186"/>
      <c r="V148" s="186"/>
      <c r="W148" s="186"/>
      <c r="X148" s="186"/>
      <c r="Y148" s="186"/>
      <c r="Z148" s="186"/>
      <c r="AA148" s="99"/>
    </row>
    <row r="149" spans="1:27" s="113" customFormat="1" ht="13.5" thickBot="1">
      <c r="A149" s="533"/>
      <c r="B149" s="211"/>
      <c r="C149" s="663"/>
      <c r="D149" s="664"/>
      <c r="E149" s="664"/>
      <c r="F149" s="664"/>
      <c r="G149" s="664"/>
      <c r="H149" s="664"/>
      <c r="I149" s="664"/>
      <c r="J149" s="664"/>
      <c r="K149" s="664"/>
      <c r="L149" s="665"/>
      <c r="M149" s="99"/>
      <c r="N149" s="206"/>
      <c r="O149" s="79"/>
      <c r="P149" s="186"/>
      <c r="Q149" s="186"/>
      <c r="R149" s="186"/>
      <c r="S149" s="186"/>
      <c r="T149" s="186"/>
      <c r="U149" s="186"/>
      <c r="V149" s="186"/>
      <c r="W149" s="186"/>
      <c r="X149" s="186"/>
      <c r="Y149" s="186"/>
      <c r="Z149" s="186"/>
      <c r="AA149" s="99"/>
    </row>
    <row r="150" spans="1:27" s="113" customFormat="1" ht="13.5" thickTop="1">
      <c r="A150" s="527" t="str">
        <f>Lbl_Fin</f>
        <v>Fin du document</v>
      </c>
      <c r="B150" s="211"/>
      <c r="C150" s="663"/>
      <c r="D150" s="664"/>
      <c r="E150" s="664"/>
      <c r="F150" s="664"/>
      <c r="G150" s="664"/>
      <c r="H150" s="664"/>
      <c r="I150" s="664"/>
      <c r="J150" s="664"/>
      <c r="K150" s="664"/>
      <c r="L150" s="665"/>
      <c r="M150" s="99"/>
      <c r="N150" s="206"/>
      <c r="O150" s="79"/>
      <c r="P150" s="186"/>
      <c r="Q150" s="186"/>
      <c r="R150" s="186"/>
      <c r="S150" s="186"/>
      <c r="T150" s="186"/>
      <c r="U150" s="186"/>
      <c r="V150" s="186"/>
      <c r="W150" s="186"/>
      <c r="X150" s="186"/>
      <c r="Y150" s="186"/>
      <c r="Z150" s="186"/>
      <c r="AA150" s="99"/>
    </row>
    <row r="151" spans="1:27" s="113" customFormat="1" ht="13.5" thickBot="1">
      <c r="A151" s="533"/>
      <c r="B151" s="305"/>
      <c r="C151" s="663"/>
      <c r="D151" s="664"/>
      <c r="E151" s="664"/>
      <c r="F151" s="664"/>
      <c r="G151" s="664"/>
      <c r="H151" s="664"/>
      <c r="I151" s="664"/>
      <c r="J151" s="664"/>
      <c r="K151" s="664"/>
      <c r="L151" s="665"/>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3"/>
      <c r="D152" s="664"/>
      <c r="E152" s="664"/>
      <c r="F152" s="664"/>
      <c r="G152" s="664"/>
      <c r="H152" s="664"/>
      <c r="I152" s="664"/>
      <c r="J152" s="664"/>
      <c r="K152" s="664"/>
      <c r="L152" s="665"/>
      <c r="M152" s="99"/>
      <c r="N152" s="206"/>
      <c r="O152" s="79"/>
      <c r="P152" s="186"/>
      <c r="Q152" s="186"/>
      <c r="R152" s="186"/>
      <c r="S152" s="186"/>
      <c r="T152" s="186"/>
      <c r="U152" s="186"/>
      <c r="V152" s="186"/>
      <c r="W152" s="186"/>
      <c r="X152" s="186"/>
      <c r="Y152" s="186"/>
      <c r="Z152" s="186"/>
      <c r="AA152" s="99"/>
    </row>
    <row r="153" spans="1:27" s="113" customFormat="1" ht="12.75">
      <c r="A153" s="179"/>
      <c r="B153" s="211"/>
      <c r="C153" s="663"/>
      <c r="D153" s="664"/>
      <c r="E153" s="664"/>
      <c r="F153" s="664"/>
      <c r="G153" s="664"/>
      <c r="H153" s="664"/>
      <c r="I153" s="664"/>
      <c r="J153" s="664"/>
      <c r="K153" s="664"/>
      <c r="L153" s="665"/>
      <c r="M153" s="99"/>
      <c r="N153" s="206"/>
      <c r="O153" s="79"/>
      <c r="P153" s="186"/>
      <c r="Q153" s="186"/>
      <c r="R153" s="186"/>
      <c r="S153" s="186"/>
      <c r="T153" s="186"/>
      <c r="U153" s="186"/>
      <c r="V153" s="186"/>
      <c r="W153" s="186"/>
      <c r="X153" s="186"/>
      <c r="Y153" s="186"/>
      <c r="Z153" s="186"/>
      <c r="AA153" s="99"/>
    </row>
    <row r="154" spans="1:27" s="113" customFormat="1" ht="12.75">
      <c r="A154" s="179"/>
      <c r="B154" s="211"/>
      <c r="C154" s="663"/>
      <c r="D154" s="664"/>
      <c r="E154" s="664"/>
      <c r="F154" s="664"/>
      <c r="G154" s="664"/>
      <c r="H154" s="664"/>
      <c r="I154" s="664"/>
      <c r="J154" s="664"/>
      <c r="K154" s="664"/>
      <c r="L154" s="665"/>
      <c r="M154" s="99"/>
      <c r="N154" s="206"/>
      <c r="O154" s="79"/>
      <c r="P154" s="186"/>
      <c r="Q154" s="186"/>
      <c r="R154" s="186"/>
      <c r="S154" s="186"/>
      <c r="T154" s="186"/>
      <c r="U154" s="186"/>
      <c r="V154" s="186"/>
      <c r="W154" s="186"/>
      <c r="X154" s="186"/>
      <c r="Y154" s="186"/>
      <c r="Z154" s="186"/>
      <c r="AA154" s="99"/>
    </row>
    <row r="155" spans="1:27" s="113" customFormat="1" ht="12.75">
      <c r="A155" s="179"/>
      <c r="B155" s="211"/>
      <c r="C155" s="663"/>
      <c r="D155" s="664"/>
      <c r="E155" s="664"/>
      <c r="F155" s="664"/>
      <c r="G155" s="664"/>
      <c r="H155" s="664"/>
      <c r="I155" s="664"/>
      <c r="J155" s="664"/>
      <c r="K155" s="664"/>
      <c r="L155" s="665"/>
      <c r="M155" s="99"/>
      <c r="N155" s="206"/>
      <c r="O155" s="79"/>
      <c r="P155" s="186"/>
      <c r="Q155" s="186"/>
      <c r="R155" s="186"/>
      <c r="S155" s="186"/>
      <c r="T155" s="186"/>
      <c r="U155" s="186"/>
      <c r="V155" s="186"/>
      <c r="W155" s="186"/>
      <c r="X155" s="186"/>
      <c r="Y155" s="186"/>
      <c r="Z155" s="186"/>
      <c r="AA155" s="99"/>
    </row>
    <row r="156" spans="1:27" s="113" customFormat="1" ht="12.75">
      <c r="A156" s="179"/>
      <c r="B156" s="211"/>
      <c r="C156" s="663"/>
      <c r="D156" s="664"/>
      <c r="E156" s="664"/>
      <c r="F156" s="664"/>
      <c r="G156" s="664"/>
      <c r="H156" s="664"/>
      <c r="I156" s="664"/>
      <c r="J156" s="664"/>
      <c r="K156" s="664"/>
      <c r="L156" s="665"/>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3"/>
      <c r="D157" s="664"/>
      <c r="E157" s="664"/>
      <c r="F157" s="664"/>
      <c r="G157" s="664"/>
      <c r="H157" s="664"/>
      <c r="I157" s="664"/>
      <c r="J157" s="664"/>
      <c r="K157" s="664"/>
      <c r="L157" s="665"/>
      <c r="M157" s="99"/>
      <c r="N157" s="206"/>
      <c r="O157" s="79"/>
      <c r="P157" s="186"/>
      <c r="Q157" s="186"/>
      <c r="R157" s="186"/>
      <c r="S157" s="186"/>
      <c r="T157" s="186"/>
      <c r="U157" s="186"/>
      <c r="V157" s="186"/>
      <c r="W157" s="186"/>
      <c r="X157" s="186"/>
      <c r="Y157" s="186"/>
      <c r="Z157" s="186"/>
      <c r="AA157" s="99"/>
    </row>
    <row r="158" spans="1:27" s="113" customFormat="1" ht="12.75">
      <c r="A158" s="179"/>
      <c r="B158" s="211"/>
      <c r="C158" s="663"/>
      <c r="D158" s="664"/>
      <c r="E158" s="664"/>
      <c r="F158" s="664"/>
      <c r="G158" s="664"/>
      <c r="H158" s="664"/>
      <c r="I158" s="664"/>
      <c r="J158" s="664"/>
      <c r="K158" s="664"/>
      <c r="L158" s="665"/>
      <c r="M158" s="99"/>
      <c r="N158" s="206"/>
      <c r="O158" s="79"/>
      <c r="P158" s="186"/>
      <c r="Q158" s="186"/>
      <c r="R158" s="186"/>
      <c r="S158" s="186"/>
      <c r="T158" s="186"/>
      <c r="U158" s="186"/>
      <c r="V158" s="186"/>
      <c r="W158" s="186"/>
      <c r="X158" s="186"/>
      <c r="Y158" s="186"/>
      <c r="Z158" s="186"/>
      <c r="AA158" s="99"/>
    </row>
    <row r="159" spans="1:27" s="113" customFormat="1" ht="12.75">
      <c r="A159" s="179"/>
      <c r="B159" s="211"/>
      <c r="C159" s="663"/>
      <c r="D159" s="664"/>
      <c r="E159" s="664"/>
      <c r="F159" s="664"/>
      <c r="G159" s="664"/>
      <c r="H159" s="664"/>
      <c r="I159" s="664"/>
      <c r="J159" s="664"/>
      <c r="K159" s="664"/>
      <c r="L159" s="665"/>
      <c r="M159" s="99"/>
      <c r="N159" s="206"/>
      <c r="O159" s="79"/>
      <c r="P159" s="186"/>
      <c r="Q159" s="186"/>
      <c r="R159" s="186"/>
      <c r="S159" s="186"/>
      <c r="T159" s="186"/>
      <c r="U159" s="186"/>
      <c r="V159" s="186"/>
      <c r="W159" s="186"/>
      <c r="X159" s="186"/>
      <c r="Y159" s="186"/>
      <c r="Z159" s="186"/>
      <c r="AA159" s="99"/>
    </row>
    <row r="160" spans="1:27" s="113" customFormat="1" ht="12.75">
      <c r="A160" s="179"/>
      <c r="B160" s="211"/>
      <c r="C160" s="663"/>
      <c r="D160" s="664"/>
      <c r="E160" s="664"/>
      <c r="F160" s="664"/>
      <c r="G160" s="664"/>
      <c r="H160" s="664"/>
      <c r="I160" s="664"/>
      <c r="J160" s="664"/>
      <c r="K160" s="664"/>
      <c r="L160" s="665"/>
      <c r="M160" s="99"/>
      <c r="N160" s="206"/>
      <c r="O160" s="79"/>
      <c r="P160" s="186"/>
      <c r="Q160" s="186"/>
      <c r="R160" s="186"/>
      <c r="S160" s="186"/>
      <c r="T160" s="186"/>
      <c r="U160" s="186"/>
      <c r="V160" s="186"/>
      <c r="W160" s="186"/>
      <c r="X160" s="186"/>
      <c r="Y160" s="186"/>
      <c r="Z160" s="186"/>
      <c r="AA160" s="99"/>
    </row>
    <row r="161" spans="1:27" s="113" customFormat="1" ht="12.75">
      <c r="A161" s="179"/>
      <c r="B161" s="211"/>
      <c r="C161" s="663"/>
      <c r="D161" s="664"/>
      <c r="E161" s="664"/>
      <c r="F161" s="664"/>
      <c r="G161" s="664"/>
      <c r="H161" s="664"/>
      <c r="I161" s="664"/>
      <c r="J161" s="664"/>
      <c r="K161" s="664"/>
      <c r="L161" s="665"/>
      <c r="M161" s="99"/>
      <c r="N161" s="206"/>
      <c r="O161" s="79"/>
      <c r="P161" s="186"/>
      <c r="Q161" s="186"/>
      <c r="R161" s="186"/>
      <c r="S161" s="186"/>
      <c r="T161" s="186"/>
      <c r="U161" s="186"/>
      <c r="V161" s="186"/>
      <c r="W161" s="186"/>
      <c r="X161" s="186"/>
      <c r="Y161" s="186"/>
      <c r="Z161" s="186"/>
      <c r="AA161" s="99"/>
    </row>
    <row r="162" spans="1:27" s="113" customFormat="1" ht="12.75">
      <c r="A162" s="179"/>
      <c r="B162" s="211"/>
      <c r="C162" s="663"/>
      <c r="D162" s="664"/>
      <c r="E162" s="664"/>
      <c r="F162" s="664"/>
      <c r="G162" s="664"/>
      <c r="H162" s="664"/>
      <c r="I162" s="664"/>
      <c r="J162" s="664"/>
      <c r="K162" s="664"/>
      <c r="L162" s="665"/>
      <c r="M162" s="99"/>
      <c r="N162" s="206"/>
      <c r="O162" s="79"/>
      <c r="P162" s="186"/>
      <c r="Q162" s="186"/>
      <c r="R162" s="186"/>
      <c r="S162" s="186"/>
      <c r="T162" s="186"/>
      <c r="U162" s="186"/>
      <c r="V162" s="186"/>
      <c r="W162" s="186"/>
      <c r="X162" s="186"/>
      <c r="Y162" s="186"/>
      <c r="Z162" s="186"/>
      <c r="AA162" s="99"/>
    </row>
    <row r="163" spans="1:27" s="113" customFormat="1" ht="12.75">
      <c r="A163" s="179"/>
      <c r="B163" s="211"/>
      <c r="C163" s="663"/>
      <c r="D163" s="664"/>
      <c r="E163" s="664"/>
      <c r="F163" s="664"/>
      <c r="G163" s="664"/>
      <c r="H163" s="664"/>
      <c r="I163" s="664"/>
      <c r="J163" s="664"/>
      <c r="K163" s="664"/>
      <c r="L163" s="665"/>
      <c r="M163" s="99"/>
      <c r="N163" s="206"/>
      <c r="O163" s="79"/>
      <c r="P163" s="186"/>
      <c r="Q163" s="186"/>
      <c r="R163" s="186"/>
      <c r="S163" s="186"/>
      <c r="T163" s="186"/>
      <c r="U163" s="186"/>
      <c r="V163" s="186"/>
      <c r="W163" s="186"/>
      <c r="X163" s="186"/>
      <c r="Y163" s="186"/>
      <c r="Z163" s="186"/>
      <c r="AA163" s="99"/>
    </row>
    <row r="164" spans="1:27" s="113" customFormat="1" ht="12.75">
      <c r="A164" s="179"/>
      <c r="B164" s="211"/>
      <c r="C164" s="663"/>
      <c r="D164" s="664"/>
      <c r="E164" s="664"/>
      <c r="F164" s="664"/>
      <c r="G164" s="664"/>
      <c r="H164" s="664"/>
      <c r="I164" s="664"/>
      <c r="J164" s="664"/>
      <c r="K164" s="664"/>
      <c r="L164" s="665"/>
      <c r="M164" s="99"/>
      <c r="N164" s="206"/>
      <c r="O164" s="79"/>
      <c r="P164" s="186"/>
      <c r="Q164" s="186"/>
      <c r="R164" s="186"/>
      <c r="S164" s="186"/>
      <c r="T164" s="186"/>
      <c r="U164" s="186"/>
      <c r="V164" s="186"/>
      <c r="W164" s="186"/>
      <c r="X164" s="186"/>
      <c r="Y164" s="186"/>
      <c r="Z164" s="186"/>
      <c r="AA164" s="99"/>
    </row>
    <row r="165" spans="1:27" s="113" customFormat="1" ht="12.75">
      <c r="A165" s="179"/>
      <c r="B165" s="211"/>
      <c r="C165" s="663"/>
      <c r="D165" s="664"/>
      <c r="E165" s="664"/>
      <c r="F165" s="664"/>
      <c r="G165" s="664"/>
      <c r="H165" s="664"/>
      <c r="I165" s="664"/>
      <c r="J165" s="664"/>
      <c r="K165" s="664"/>
      <c r="L165" s="665"/>
      <c r="M165" s="99"/>
      <c r="N165" s="206"/>
      <c r="O165" s="79"/>
      <c r="P165" s="186"/>
      <c r="Q165" s="186"/>
      <c r="R165" s="186"/>
      <c r="S165" s="186"/>
      <c r="T165" s="186"/>
      <c r="U165" s="186"/>
      <c r="V165" s="186"/>
      <c r="W165" s="186"/>
      <c r="X165" s="186"/>
      <c r="Y165" s="186"/>
      <c r="Z165" s="186"/>
      <c r="AA165" s="99"/>
    </row>
    <row r="166" spans="1:27" s="113" customFormat="1" ht="12.75">
      <c r="A166" s="179"/>
      <c r="B166" s="211"/>
      <c r="C166" s="663"/>
      <c r="D166" s="664"/>
      <c r="E166" s="664"/>
      <c r="F166" s="664"/>
      <c r="G166" s="664"/>
      <c r="H166" s="664"/>
      <c r="I166" s="664"/>
      <c r="J166" s="664"/>
      <c r="K166" s="664"/>
      <c r="L166" s="665"/>
      <c r="M166" s="99"/>
      <c r="N166" s="206"/>
      <c r="O166" s="79"/>
      <c r="P166" s="186"/>
      <c r="Q166" s="186"/>
      <c r="R166" s="186"/>
      <c r="S166" s="186"/>
      <c r="T166" s="186"/>
      <c r="U166" s="186"/>
      <c r="V166" s="186"/>
      <c r="W166" s="186"/>
      <c r="X166" s="186"/>
      <c r="Y166" s="186"/>
      <c r="Z166" s="186"/>
      <c r="AA166" s="99"/>
    </row>
    <row r="167" spans="1:27" s="113" customFormat="1" ht="12.75">
      <c r="A167" s="179"/>
      <c r="B167" s="211"/>
      <c r="C167" s="666"/>
      <c r="D167" s="667"/>
      <c r="E167" s="667"/>
      <c r="F167" s="667"/>
      <c r="G167" s="667"/>
      <c r="H167" s="667"/>
      <c r="I167" s="667"/>
      <c r="J167" s="667"/>
      <c r="K167" s="667"/>
      <c r="L167" s="668"/>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92"/>
      <c r="D170" s="593"/>
      <c r="E170" s="593"/>
      <c r="F170" s="593"/>
      <c r="G170" s="593"/>
      <c r="H170" s="593"/>
      <c r="I170" s="593"/>
      <c r="J170" s="593"/>
      <c r="K170" s="593"/>
      <c r="L170" s="594"/>
      <c r="M170" s="99"/>
      <c r="N170" s="206"/>
      <c r="O170" s="79"/>
      <c r="P170" s="336"/>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70"/>
      <c r="E173" s="671"/>
      <c r="F173" s="672"/>
      <c r="G173" s="36" t="s">
        <v>856</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6" t="str">
        <f>Lbl_MNT_Apport</f>
        <v>Apport propre</v>
      </c>
      <c r="E174" s="596"/>
      <c r="F174" s="596"/>
      <c r="G174" s="631" t="str">
        <f>Lbl_MNT_RessExt</f>
        <v>Ressources externes</v>
      </c>
      <c r="H174" s="631"/>
      <c r="I174" s="631"/>
      <c r="J174" s="588" t="str">
        <f>Lbl_MNT_AutresApports</f>
        <v>Ressources générées par le projet</v>
      </c>
      <c r="K174" s="588"/>
      <c r="L174" s="588"/>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4"/>
      <c r="D175" s="673"/>
      <c r="E175" s="674"/>
      <c r="F175" s="675"/>
      <c r="G175" s="587"/>
      <c r="H175" s="587"/>
      <c r="I175" s="587"/>
      <c r="J175" s="589"/>
      <c r="K175" s="589"/>
      <c r="L175" s="589"/>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6" t="str">
        <f>Lbl_Declaration</f>
        <v>Déclaration de l'organisation candidate</v>
      </c>
      <c r="D177" s="676"/>
      <c r="E177" s="676"/>
      <c r="F177" s="676"/>
      <c r="G177" s="676"/>
      <c r="H177" s="676"/>
      <c r="I177" s="676"/>
      <c r="J177" s="676"/>
      <c r="K177" s="676"/>
      <c r="L177" s="676"/>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9"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8"/>
      <c r="E178" s="658"/>
      <c r="F178" s="658"/>
      <c r="G178" s="658"/>
      <c r="H178" s="658"/>
      <c r="I178" s="658"/>
      <c r="J178" s="658"/>
      <c r="K178" s="658"/>
      <c r="L178" s="658"/>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8" t="str">
        <f>Lbl_Fonction</f>
        <v>Fonction</v>
      </c>
      <c r="G180" s="658"/>
      <c r="H180" s="658"/>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9"/>
      <c r="D181" s="651"/>
      <c r="E181" s="39"/>
      <c r="F181" s="649"/>
      <c r="G181" s="650"/>
      <c r="H181" s="650"/>
      <c r="I181" s="650"/>
      <c r="J181" s="650"/>
      <c r="K181" s="650"/>
      <c r="L181" s="651"/>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9" t="str">
        <f>Lbl_Signature</f>
        <v>Signature (sur version papier)</v>
      </c>
      <c r="G183" s="659"/>
      <c r="H183" s="659"/>
      <c r="I183" s="659"/>
      <c r="J183" s="659"/>
      <c r="K183" s="659"/>
      <c r="L183" s="659"/>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9"/>
      <c r="D184" s="613"/>
      <c r="E184" s="39"/>
      <c r="F184" s="649"/>
      <c r="G184" s="650"/>
      <c r="H184" s="650"/>
      <c r="I184" s="650"/>
      <c r="J184" s="650"/>
      <c r="K184" s="650"/>
      <c r="L184" s="651"/>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5" t="str">
        <f>Lbl_Banque_Signalétique_financier</f>
        <v>Signalétique financier</v>
      </c>
      <c r="C186" s="595"/>
      <c r="D186" s="595"/>
      <c r="E186" s="595"/>
      <c r="F186" s="595"/>
      <c r="G186" s="595"/>
      <c r="H186" s="595"/>
      <c r="I186" s="595"/>
      <c r="J186" s="595"/>
      <c r="K186" s="595"/>
      <c r="L186" s="595"/>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7">
        <f>Fld_Org_Pays</f>
        <v>0</v>
      </c>
      <c r="D187" s="657"/>
      <c r="E187" s="657"/>
      <c r="F187" s="657"/>
      <c r="G187" s="657"/>
      <c r="H187" s="657"/>
      <c r="I187" s="657"/>
      <c r="J187" s="657"/>
      <c r="K187" s="657"/>
      <c r="L187" s="657"/>
      <c r="M187" s="99"/>
      <c r="N187" s="206"/>
      <c r="O187" s="79"/>
      <c r="P187" s="186"/>
      <c r="Q187" s="186"/>
      <c r="R187" s="186"/>
      <c r="S187" s="186"/>
      <c r="T187" s="186"/>
      <c r="U187" s="186"/>
      <c r="V187" s="186"/>
      <c r="W187" s="186"/>
      <c r="X187" s="186"/>
      <c r="Y187" s="186"/>
      <c r="Z187" s="186"/>
      <c r="AA187" s="99"/>
    </row>
    <row r="188" spans="1:27" ht="13.5" thickBot="1">
      <c r="A188" s="179"/>
      <c r="B188" s="717" t="str">
        <f>Lbl_Banque_Titulaire_du_compte_bancaire</f>
        <v>Titulaire du compte bancaire</v>
      </c>
      <c r="C188" s="718"/>
      <c r="D188" s="718"/>
      <c r="E188" s="718"/>
      <c r="F188" s="718"/>
      <c r="G188" s="718"/>
      <c r="H188" s="718"/>
      <c r="I188" s="718"/>
      <c r="J188" s="718"/>
      <c r="K188" s="718"/>
      <c r="L188" s="719"/>
      <c r="M188" s="99"/>
      <c r="N188" s="206"/>
      <c r="O188" s="79"/>
      <c r="P188" s="186"/>
      <c r="Q188" s="186"/>
      <c r="R188" s="186"/>
      <c r="S188" s="186"/>
      <c r="T188" s="186"/>
      <c r="U188" s="186"/>
      <c r="V188" s="186"/>
      <c r="W188" s="186"/>
      <c r="X188" s="186"/>
      <c r="Y188" s="186"/>
      <c r="Z188" s="186"/>
      <c r="AA188" s="99"/>
    </row>
    <row r="189" spans="1:27" ht="12.75" customHeight="1" thickTop="1">
      <c r="A189" s="784"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6"/>
      <c r="B190" s="487" t="str">
        <f>Lbl_Nom_ou_raison_sociale</f>
        <v>Nom ou raison sociale</v>
      </c>
      <c r="C190" s="488"/>
      <c r="D190" s="549">
        <f>Fld_Org_Nom</f>
        <v>0</v>
      </c>
      <c r="E190" s="550"/>
      <c r="F190" s="550"/>
      <c r="G190" s="550"/>
      <c r="H190" s="550"/>
      <c r="I190" s="550"/>
      <c r="J190" s="550"/>
      <c r="K190" s="550"/>
      <c r="L190" s="652"/>
      <c r="M190" s="99"/>
      <c r="N190" s="206"/>
      <c r="O190" s="79"/>
      <c r="P190" s="186"/>
      <c r="Q190" s="186"/>
      <c r="R190" s="186"/>
      <c r="S190" s="186"/>
      <c r="T190" s="186"/>
      <c r="U190" s="186"/>
      <c r="V190" s="186"/>
      <c r="W190" s="186"/>
      <c r="X190" s="186"/>
      <c r="Y190" s="186"/>
      <c r="Z190" s="186"/>
      <c r="AA190" s="99"/>
    </row>
    <row r="191" spans="1:27" ht="15.75" customHeight="1" thickTop="1">
      <c r="A191" s="530" t="str">
        <f>Lbl_Structure</f>
        <v>Structure, activités et ressources de l'organisation</v>
      </c>
      <c r="B191" s="495" t="str">
        <f>Lbl_Adresse</f>
        <v>Adresse</v>
      </c>
      <c r="C191" s="496"/>
      <c r="D191" s="723">
        <f>Fld_Org_Adresse1</f>
        <v>0</v>
      </c>
      <c r="E191" s="724"/>
      <c r="F191" s="724"/>
      <c r="G191" s="724"/>
      <c r="H191" s="724"/>
      <c r="I191" s="724"/>
      <c r="J191" s="724"/>
      <c r="K191" s="724"/>
      <c r="L191" s="725"/>
      <c r="M191" s="99"/>
      <c r="N191" s="206"/>
      <c r="O191" s="79"/>
      <c r="P191" s="186"/>
      <c r="Q191" s="186"/>
      <c r="R191" s="186"/>
      <c r="S191" s="186"/>
      <c r="T191" s="186"/>
      <c r="U191" s="186"/>
      <c r="V191" s="186"/>
      <c r="W191" s="186"/>
      <c r="X191" s="186"/>
      <c r="Y191" s="186"/>
      <c r="Z191" s="186"/>
      <c r="AA191" s="99"/>
    </row>
    <row r="192" spans="1:27" ht="14.25" customHeight="1">
      <c r="A192" s="530"/>
      <c r="B192" s="495"/>
      <c r="C192" s="496"/>
      <c r="D192" s="798">
        <f>Fld_Org_Adresse2</f>
        <v>0</v>
      </c>
      <c r="E192" s="799"/>
      <c r="F192" s="799"/>
      <c r="G192" s="799"/>
      <c r="H192" s="799"/>
      <c r="I192" s="799"/>
      <c r="J192" s="799"/>
      <c r="K192" s="799"/>
      <c r="L192" s="800"/>
      <c r="M192" s="99"/>
      <c r="N192" s="206"/>
      <c r="O192" s="79"/>
      <c r="P192" s="186"/>
      <c r="Q192" s="186"/>
      <c r="R192" s="186"/>
      <c r="S192" s="186"/>
      <c r="T192" s="186"/>
      <c r="U192" s="186"/>
      <c r="V192" s="186"/>
      <c r="W192" s="186"/>
      <c r="X192" s="186"/>
      <c r="Y192" s="186"/>
      <c r="Z192" s="186"/>
      <c r="AA192" s="99"/>
    </row>
    <row r="193" spans="1:27" ht="13.5" thickBot="1">
      <c r="A193" s="531"/>
      <c r="B193" s="487" t="str">
        <f>Lbl_Banque_Commune_Ville</f>
        <v>Commune/Ville</v>
      </c>
      <c r="C193" s="488"/>
      <c r="D193" s="726">
        <f>Fld_Org_Ville</f>
        <v>0</v>
      </c>
      <c r="E193" s="726"/>
      <c r="F193" s="726"/>
      <c r="G193" s="726"/>
      <c r="H193" s="726"/>
      <c r="I193" s="726"/>
      <c r="J193" s="726"/>
      <c r="K193" s="726"/>
      <c r="L193" s="727"/>
      <c r="M193" s="99"/>
      <c r="N193" s="206"/>
      <c r="O193" s="79"/>
      <c r="P193" s="186"/>
      <c r="Q193" s="186"/>
      <c r="R193" s="186"/>
      <c r="S193" s="186"/>
      <c r="T193" s="186"/>
      <c r="U193" s="186"/>
      <c r="V193" s="186"/>
      <c r="W193" s="186"/>
      <c r="X193" s="186"/>
      <c r="Y193" s="186"/>
      <c r="Z193" s="186"/>
      <c r="AA193" s="99"/>
    </row>
    <row r="194" spans="1:27" ht="15.75" customHeight="1" thickTop="1">
      <c r="A194" s="784" t="str">
        <f>Lbl_Charactéristiques_du_projet</f>
        <v>Caractéristiques de l'activité proposée</v>
      </c>
      <c r="B194" s="487" t="str">
        <f>Lbl_Banque_Code_postal</f>
        <v>Code postal</v>
      </c>
      <c r="C194" s="488"/>
      <c r="D194" s="514">
        <f>Fld_Org_ZipCode</f>
        <v>0</v>
      </c>
      <c r="E194" s="514"/>
      <c r="F194" s="514"/>
      <c r="G194" s="514"/>
      <c r="H194" s="514"/>
      <c r="I194" s="514"/>
      <c r="J194" s="514"/>
      <c r="K194" s="514"/>
      <c r="L194" s="722"/>
      <c r="M194" s="99"/>
      <c r="N194" s="206"/>
      <c r="O194" s="79"/>
      <c r="P194" s="186"/>
      <c r="Q194" s="186"/>
      <c r="R194" s="186"/>
      <c r="S194" s="186"/>
      <c r="T194" s="186"/>
      <c r="U194" s="186"/>
      <c r="V194" s="186"/>
      <c r="W194" s="186"/>
      <c r="X194" s="186"/>
      <c r="Y194" s="186"/>
      <c r="Z194" s="186"/>
      <c r="AA194" s="99"/>
    </row>
    <row r="195" spans="1:27" ht="13.5" thickBot="1">
      <c r="A195" s="786"/>
      <c r="B195" s="487" t="str">
        <f>Lbl_Pays</f>
        <v>Pays</v>
      </c>
      <c r="C195" s="488"/>
      <c r="D195" s="501">
        <f>Fld_Org_Pays</f>
        <v>0</v>
      </c>
      <c r="E195" s="501"/>
      <c r="F195" s="501"/>
      <c r="G195" s="501"/>
      <c r="H195" s="501"/>
      <c r="I195" s="501"/>
      <c r="J195" s="501"/>
      <c r="K195" s="501"/>
      <c r="L195" s="716"/>
      <c r="M195" s="99"/>
      <c r="N195" s="206"/>
      <c r="O195" s="79"/>
      <c r="P195" s="186"/>
      <c r="Q195" s="186"/>
      <c r="R195" s="186"/>
      <c r="S195" s="186"/>
      <c r="T195" s="186"/>
      <c r="U195" s="186"/>
      <c r="V195" s="186"/>
      <c r="W195" s="186"/>
      <c r="X195" s="186"/>
      <c r="Y195" s="186"/>
      <c r="Z195" s="186"/>
      <c r="AA195" s="99"/>
    </row>
    <row r="196" spans="1:27" ht="12.75" customHeight="1" thickTop="1">
      <c r="A196" s="784" t="str">
        <f>Lbl_Banque_Signalétique_financier</f>
        <v>Signalétique financier</v>
      </c>
      <c r="B196" s="491" t="str">
        <f>Lbl_Banque_Contact</f>
        <v>Contact (Titre, Nom, Prénom)</v>
      </c>
      <c r="C196" s="492"/>
      <c r="D196" s="611"/>
      <c r="E196" s="613"/>
      <c r="F196" s="611"/>
      <c r="G196" s="612"/>
      <c r="H196" s="612"/>
      <c r="I196" s="613"/>
      <c r="J196" s="801"/>
      <c r="K196" s="802"/>
      <c r="L196" s="803"/>
      <c r="M196" s="99"/>
      <c r="N196" s="206"/>
      <c r="O196" s="79"/>
      <c r="P196" s="186"/>
      <c r="Q196" s="186"/>
      <c r="R196" s="186"/>
      <c r="S196" s="186"/>
      <c r="T196" s="186"/>
      <c r="U196" s="186"/>
      <c r="V196" s="186"/>
      <c r="W196" s="186"/>
      <c r="X196" s="186"/>
      <c r="Y196" s="186"/>
      <c r="Z196" s="186"/>
      <c r="AA196" s="99"/>
    </row>
    <row r="197" spans="1:27" ht="14.25" customHeight="1" thickBot="1">
      <c r="A197" s="785"/>
      <c r="B197" s="493" t="str">
        <f>Lbl_Contact_Sexe</f>
        <v>Genre</v>
      </c>
      <c r="C197" s="494"/>
      <c r="D197" s="611"/>
      <c r="E197" s="612"/>
      <c r="F197" s="613"/>
      <c r="G197" s="653" t="str">
        <f>Lbl_Contact_LNG</f>
        <v>Langue</v>
      </c>
      <c r="H197" s="654"/>
      <c r="I197" s="655"/>
      <c r="J197" s="611"/>
      <c r="K197" s="612"/>
      <c r="L197" s="656"/>
      <c r="M197" s="99"/>
      <c r="N197" s="206"/>
      <c r="O197" s="79"/>
      <c r="P197" s="186"/>
      <c r="Q197" s="186"/>
      <c r="R197" s="186"/>
      <c r="S197" s="186"/>
      <c r="T197" s="186"/>
      <c r="U197" s="186"/>
      <c r="V197" s="186"/>
      <c r="W197" s="186"/>
      <c r="X197" s="186"/>
      <c r="Y197" s="186"/>
      <c r="Z197" s="186"/>
      <c r="AA197" s="99"/>
    </row>
    <row r="198" spans="1:27" ht="13.5" thickTop="1">
      <c r="A198" s="784" t="str">
        <f>Lbl_Fin</f>
        <v>Fin du document</v>
      </c>
      <c r="B198" s="487" t="str">
        <f>Lbl_Téléphone</f>
        <v>Téléphone</v>
      </c>
      <c r="C198" s="488"/>
      <c r="D198" s="509"/>
      <c r="E198" s="510"/>
      <c r="F198" s="510"/>
      <c r="G198" s="510"/>
      <c r="H198" s="510"/>
      <c r="I198" s="511"/>
      <c r="J198" s="515" t="s">
        <v>998</v>
      </c>
      <c r="K198" s="516"/>
      <c r="L198" s="517"/>
      <c r="M198" s="99"/>
      <c r="N198" s="206"/>
      <c r="O198" s="79"/>
      <c r="P198" s="186"/>
      <c r="Q198" s="186"/>
      <c r="R198" s="186"/>
      <c r="S198" s="186"/>
      <c r="T198" s="186"/>
      <c r="U198" s="186"/>
      <c r="V198" s="186"/>
      <c r="W198" s="186"/>
      <c r="X198" s="186"/>
      <c r="Y198" s="186"/>
      <c r="Z198" s="186"/>
      <c r="AA198" s="99"/>
    </row>
    <row r="199" spans="1:27" ht="13.5" thickBot="1">
      <c r="A199" s="785"/>
      <c r="B199" s="487" t="str">
        <f>Lbl_Télécopieur</f>
        <v>Télécopieur</v>
      </c>
      <c r="C199" s="488"/>
      <c r="D199" s="509"/>
      <c r="E199" s="510"/>
      <c r="F199" s="510"/>
      <c r="G199" s="510"/>
      <c r="H199" s="510"/>
      <c r="I199" s="511"/>
      <c r="J199" s="515" t="s">
        <v>999</v>
      </c>
      <c r="K199" s="516"/>
      <c r="L199" s="517"/>
      <c r="M199" s="99"/>
      <c r="N199" s="206"/>
      <c r="O199" s="79"/>
      <c r="P199" s="186"/>
      <c r="Q199" s="186"/>
      <c r="R199" s="186"/>
      <c r="S199" s="186"/>
      <c r="T199" s="186"/>
      <c r="U199" s="186"/>
      <c r="V199" s="186"/>
      <c r="W199" s="186"/>
      <c r="X199" s="186"/>
      <c r="Y199" s="186"/>
      <c r="Z199" s="186"/>
      <c r="AA199" s="99"/>
    </row>
    <row r="200" spans="1:27" ht="14.25" thickBot="1" thickTop="1">
      <c r="A200" s="179"/>
      <c r="B200" s="489" t="str">
        <f>Lbl_N_TVA</f>
        <v>N. TVA</v>
      </c>
      <c r="C200" s="490"/>
      <c r="D200" s="710">
        <f>Fld_Org_NTVA</f>
        <v>0</v>
      </c>
      <c r="E200" s="710"/>
      <c r="F200" s="710"/>
      <c r="G200" s="710"/>
      <c r="H200" s="710"/>
      <c r="I200" s="710"/>
      <c r="J200" s="710"/>
      <c r="K200" s="710"/>
      <c r="L200" s="711"/>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7" t="str">
        <f>Lbl_Banque_Banque</f>
        <v>Banque</v>
      </c>
      <c r="C202" s="718"/>
      <c r="D202" s="718"/>
      <c r="E202" s="718"/>
      <c r="F202" s="718"/>
      <c r="G202" s="718"/>
      <c r="H202" s="718"/>
      <c r="I202" s="718"/>
      <c r="J202" s="718"/>
      <c r="K202" s="718"/>
      <c r="L202" s="719"/>
      <c r="M202" s="99"/>
      <c r="N202" s="206"/>
      <c r="O202" s="79"/>
      <c r="P202" s="186"/>
      <c r="Q202" s="186"/>
      <c r="R202" s="186"/>
      <c r="S202" s="186"/>
      <c r="T202" s="186"/>
      <c r="U202" s="186"/>
      <c r="V202" s="186"/>
      <c r="W202" s="186"/>
      <c r="X202" s="186"/>
      <c r="Y202" s="186"/>
      <c r="Z202" s="186"/>
      <c r="AA202" s="99"/>
    </row>
    <row r="203" spans="1:27" ht="12.75">
      <c r="A203" s="783"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3"/>
      <c r="B204" s="495" t="str">
        <f>Lbl_Nom</f>
        <v>Nom</v>
      </c>
      <c r="C204" s="496"/>
      <c r="D204" s="501"/>
      <c r="E204" s="501"/>
      <c r="F204" s="501"/>
      <c r="G204" s="501"/>
      <c r="H204" s="501"/>
      <c r="I204" s="501"/>
      <c r="J204" s="501"/>
      <c r="K204" s="501"/>
      <c r="L204" s="716"/>
      <c r="M204" s="99"/>
      <c r="N204" s="206"/>
      <c r="O204" s="79"/>
      <c r="P204" s="186"/>
      <c r="Q204" s="186"/>
      <c r="R204" s="186"/>
      <c r="S204" s="186"/>
      <c r="T204" s="186"/>
      <c r="U204" s="186"/>
      <c r="V204" s="186"/>
      <c r="W204" s="186"/>
      <c r="X204" s="186"/>
      <c r="Y204" s="186"/>
      <c r="Z204" s="186"/>
      <c r="AA204" s="99"/>
    </row>
    <row r="205" spans="1:27" ht="12.75">
      <c r="A205" s="783"/>
      <c r="B205" s="495" t="str">
        <f>Lbl_Adresse</f>
        <v>Adresse</v>
      </c>
      <c r="C205" s="496"/>
      <c r="D205" s="501"/>
      <c r="E205" s="501"/>
      <c r="F205" s="501"/>
      <c r="G205" s="501"/>
      <c r="H205" s="501"/>
      <c r="I205" s="501"/>
      <c r="J205" s="501"/>
      <c r="K205" s="501"/>
      <c r="L205" s="716"/>
      <c r="M205" s="99"/>
      <c r="N205" s="206"/>
      <c r="O205" s="79"/>
      <c r="P205" s="186"/>
      <c r="Q205" s="186"/>
      <c r="R205" s="186"/>
      <c r="S205" s="186"/>
      <c r="T205" s="186"/>
      <c r="U205" s="186"/>
      <c r="V205" s="186"/>
      <c r="W205" s="186"/>
      <c r="X205" s="186"/>
      <c r="Y205" s="186"/>
      <c r="Z205" s="186"/>
      <c r="AA205" s="99"/>
    </row>
    <row r="206" spans="1:27" ht="12.75">
      <c r="A206" s="783"/>
      <c r="B206" s="495" t="str">
        <f>Lbl_Banque_Commune_Ville</f>
        <v>Commune/Ville</v>
      </c>
      <c r="C206" s="496"/>
      <c r="D206" s="720"/>
      <c r="E206" s="720"/>
      <c r="F206" s="720"/>
      <c r="G206" s="720"/>
      <c r="H206" s="720"/>
      <c r="I206" s="720"/>
      <c r="J206" s="720"/>
      <c r="K206" s="720"/>
      <c r="L206" s="721"/>
      <c r="M206" s="99"/>
      <c r="N206" s="206"/>
      <c r="O206" s="79"/>
      <c r="P206" s="186"/>
      <c r="Q206" s="186"/>
      <c r="R206" s="186"/>
      <c r="S206" s="186"/>
      <c r="T206" s="186"/>
      <c r="U206" s="186"/>
      <c r="V206" s="186"/>
      <c r="W206" s="186"/>
      <c r="X206" s="186"/>
      <c r="Y206" s="186"/>
      <c r="Z206" s="186"/>
      <c r="AA206" s="99"/>
    </row>
    <row r="207" spans="1:27" ht="12.75">
      <c r="A207" s="179"/>
      <c r="B207" s="495" t="str">
        <f>Lbl_Banque_Code_postal</f>
        <v>Code postal</v>
      </c>
      <c r="C207" s="496"/>
      <c r="D207" s="514"/>
      <c r="E207" s="514"/>
      <c r="F207" s="514"/>
      <c r="G207" s="514"/>
      <c r="H207" s="514"/>
      <c r="I207" s="514"/>
      <c r="J207" s="514"/>
      <c r="K207" s="514"/>
      <c r="L207" s="722"/>
      <c r="M207" s="99"/>
      <c r="N207" s="206"/>
      <c r="O207" s="79"/>
      <c r="P207" s="186"/>
      <c r="Q207" s="186"/>
      <c r="R207" s="186"/>
      <c r="S207" s="186"/>
      <c r="T207" s="186"/>
      <c r="U207" s="186"/>
      <c r="V207" s="186"/>
      <c r="W207" s="186"/>
      <c r="X207" s="186"/>
      <c r="Y207" s="186"/>
      <c r="Z207" s="186"/>
      <c r="AA207" s="99"/>
    </row>
    <row r="208" spans="1:27" ht="12.75">
      <c r="A208" s="179"/>
      <c r="B208" s="495" t="str">
        <f>Lbl_Pays</f>
        <v>Pays</v>
      </c>
      <c r="C208" s="496"/>
      <c r="D208" s="720"/>
      <c r="E208" s="720"/>
      <c r="F208" s="720"/>
      <c r="G208" s="720"/>
      <c r="H208" s="720"/>
      <c r="I208" s="720"/>
      <c r="J208" s="720"/>
      <c r="K208" s="720"/>
      <c r="L208" s="721"/>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3">
        <f>Fld_Bank_Pays</f>
        <v>0</v>
      </c>
      <c r="I210" s="714"/>
      <c r="J210" s="715"/>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7"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8"/>
      <c r="D211" s="708"/>
      <c r="E211" s="708"/>
      <c r="F211" s="708"/>
      <c r="G211" s="708"/>
      <c r="H211" s="708"/>
      <c r="I211" s="708"/>
      <c r="J211" s="708"/>
      <c r="K211" s="708"/>
      <c r="L211" s="709"/>
      <c r="M211" s="99"/>
      <c r="N211" s="206"/>
      <c r="O211" s="314"/>
      <c r="P211" s="239"/>
      <c r="Q211" s="177"/>
      <c r="R211" s="186"/>
      <c r="S211" s="186"/>
      <c r="T211" s="186"/>
      <c r="U211" s="186"/>
      <c r="V211" s="186"/>
      <c r="W211" s="186"/>
      <c r="X211" s="186"/>
      <c r="Y211" s="186"/>
      <c r="Z211" s="186"/>
      <c r="AA211" s="99"/>
    </row>
    <row r="212" spans="1:27" ht="12.75" customHeight="1">
      <c r="A212" s="337" t="str">
        <f aca="true" t="shared" si="3" ref="A212:A225">Lbl_BANK</f>
        <v>BANQUE</v>
      </c>
      <c r="B212" s="120">
        <f>IF(OR(Fld_Pays_Bank="Autriche",Fld_Pays_Bank="Austria",Fld_Pays_Bank="Österreich"),"X","")</f>
      </c>
      <c r="C212" s="75" t="str">
        <f>Lbl_Cty_A</f>
        <v>A - Autriche</v>
      </c>
      <c r="D212" s="643">
        <f>IF(B212&amp;"x"="x","","Bankleitzahl")</f>
      </c>
      <c r="E212" s="643"/>
      <c r="F212" s="700"/>
      <c r="G212" s="712"/>
      <c r="H212" s="701"/>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7" t="str">
        <f t="shared" si="3"/>
        <v>BANQUE</v>
      </c>
      <c r="B213" s="121">
        <f>IF(OR(Fld_Pays_Bank="Belgique",Fld_Pays_Bank="Belgium",Fld_Pays_Bank="Belgien"),"X","")</f>
      </c>
      <c r="C213" s="78" t="str">
        <f>Lbl_Cty_B</f>
        <v>B - Belgique</v>
      </c>
      <c r="D213" s="79"/>
      <c r="E213" s="642">
        <f>IF(B213&amp;"x"="x","",Lbl_Banque_Pas_d_identifiant_specifique)</f>
      </c>
      <c r="F213" s="642"/>
      <c r="G213" s="642"/>
      <c r="H213" s="642"/>
      <c r="I213" s="642"/>
      <c r="J213" s="642"/>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7" t="str">
        <f t="shared" si="3"/>
        <v>BANQUE</v>
      </c>
      <c r="B214" s="120">
        <f>IF(OR(Fld_Pays_Bank="Allemagne",Fld_Pays_Bank="Germany",Fld_Pays_Bank="Deutschland"),"X","")</f>
      </c>
      <c r="C214" s="75" t="str">
        <f>Lbl_Cty_D</f>
        <v>D - Allemagne</v>
      </c>
      <c r="D214" s="643">
        <f>IF(B214&amp;"x"="x","","Bankleitzahl")</f>
      </c>
      <c r="E214" s="643"/>
      <c r="F214" s="375"/>
      <c r="G214" s="375"/>
      <c r="H214" s="375"/>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7" t="str">
        <f t="shared" si="3"/>
        <v>BANQUE</v>
      </c>
      <c r="B215" s="121">
        <f>IF(OR(Fld_Pays_Bank="Danemark",Fld_Pays_Bank="Denmark",Fld_Pays_Bank="Dänemark"),"X","")</f>
      </c>
      <c r="C215" s="78" t="str">
        <f>Lbl_Cty_DK</f>
        <v>DK - Danemark</v>
      </c>
      <c r="D215" s="641">
        <f>IF(B215&amp;"x"="x","","Register")</f>
      </c>
      <c r="E215" s="641"/>
      <c r="F215" s="647"/>
      <c r="G215" s="647"/>
      <c r="H215" s="647"/>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7" t="str">
        <f t="shared" si="3"/>
        <v>BANQUE</v>
      </c>
      <c r="B216" s="120">
        <f>IF(OR(Fld_Pays_Bank="Espagne",Fld_Pays_Bank="Spain",Fld_Pays_Bank="Spanien"),"X","")</f>
      </c>
      <c r="C216" s="75" t="str">
        <f>Lbl_Cty_E</f>
        <v>E - Espagne</v>
      </c>
      <c r="D216" s="643">
        <f>IF(B216&amp;"x"="x","","Entidad")</f>
      </c>
      <c r="E216" s="643"/>
      <c r="F216" s="375"/>
      <c r="G216" s="81">
        <f>IF(B216&amp;"x"="x","","(xxxx)")</f>
      </c>
      <c r="H216" s="82">
        <f>IF(B216&amp;"x"="x","","Oficina")</f>
      </c>
      <c r="I216" s="375"/>
      <c r="J216" s="81">
        <f>IF(B216&amp;"x"="x","","(xxxx)")</f>
      </c>
      <c r="K216" s="83">
        <f>IF(B216&amp;"x"="x","","DC")</f>
      </c>
      <c r="L216" s="376"/>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7" t="str">
        <f t="shared" si="3"/>
        <v>BANQUE</v>
      </c>
      <c r="B217" s="121">
        <f>IF(OR(Fld_Pays_Bank="Grèce",Fld_Pays_Bank="Greece",Fld_Pays_Bank="Griechenland"),"X","")</f>
      </c>
      <c r="C217" s="78" t="str">
        <f>Lbl_Cty_EL</f>
        <v>EL - Grèce</v>
      </c>
      <c r="D217" s="79"/>
      <c r="E217" s="642">
        <f>IF(B217&amp;"x"="x","",Lbl_Banque_Pas_d_identifiant_specifique)</f>
      </c>
      <c r="F217" s="642"/>
      <c r="G217" s="642"/>
      <c r="H217" s="642"/>
      <c r="I217" s="642"/>
      <c r="J217" s="642"/>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7" t="str">
        <f t="shared" si="3"/>
        <v>BANQUE</v>
      </c>
      <c r="B218" s="120">
        <f>IF(OR(Fld_Pays_Bank="France",Fld_Pays_Bank="France",Fld_Pays_Bank="Frankreich"),"X","")</f>
      </c>
      <c r="C218" s="75" t="str">
        <f>Lbl_Cty_F</f>
        <v>F - France</v>
      </c>
      <c r="D218" s="644">
        <f>IF(B218&amp;"x"="x","","Code établissement (xxxxx)")</f>
      </c>
      <c r="E218" s="644"/>
      <c r="F218" s="644"/>
      <c r="G218" s="700"/>
      <c r="H218" s="701"/>
      <c r="I218" s="645">
        <f>IF(B218&amp;"x"="x","","Guichet / RIB")</f>
      </c>
      <c r="J218" s="646"/>
      <c r="K218" s="375"/>
      <c r="L218" s="376"/>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7" t="str">
        <f t="shared" si="3"/>
        <v>BANQUE</v>
      </c>
      <c r="B219" s="121">
        <f>IF(OR(Fld_Pays_Bank="Finlande",Fld_Pays_Bank="Finland",Fld_Pays_Bank="Finnland"),"X","")</f>
      </c>
      <c r="C219" s="78" t="str">
        <f>Lbl_Cty_FIN</f>
        <v>FIN - Finlande</v>
      </c>
      <c r="D219" s="648">
        <f>IF(Fld_BNK_FI&amp;"x"="x","","Register(xxxxxxx)")</f>
      </c>
      <c r="E219" s="648"/>
      <c r="F219" s="647"/>
      <c r="G219" s="647"/>
      <c r="H219" s="84">
        <f>IF(B219&amp;"x"="x","","/")</f>
      </c>
      <c r="I219" s="700"/>
      <c r="J219" s="701"/>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7" t="str">
        <f t="shared" si="3"/>
        <v>BANQUE</v>
      </c>
      <c r="B220" s="120">
        <f>IF(OR(Fld_Pays_Bank="Italie",Fld_Pays_Bank="Italy",Fld_Pays_Bank="Italien"),"X","")</f>
      </c>
      <c r="C220" s="75" t="str">
        <f>Lbl_Cty_I</f>
        <v>I - Italie</v>
      </c>
      <c r="D220" s="643">
        <f>IF(B220&amp;"x"="x","","Codice ABI")</f>
      </c>
      <c r="E220" s="643"/>
      <c r="F220" s="647"/>
      <c r="G220" s="647"/>
      <c r="H220" s="58">
        <f>IF(B220&amp;"x"="x","","CAB")</f>
      </c>
      <c r="I220" s="700"/>
      <c r="J220" s="701"/>
      <c r="K220" s="20" t="s">
        <v>847</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7" t="str">
        <f t="shared" si="3"/>
        <v>BANQUE</v>
      </c>
      <c r="B221" s="121">
        <f>IF(OR(Fld_Pays_Bank="Irlande",Fld_Pays_Bank="Ireland",Fld_Pays_Bank="Irland"),"X","")</f>
      </c>
      <c r="C221" s="78" t="str">
        <f>Lbl_Cty_IRL</f>
        <v>IRL - Irlande</v>
      </c>
      <c r="D221" s="641">
        <f>IF(B221&amp;"x"="x","","Sort code")</f>
      </c>
      <c r="E221" s="641"/>
      <c r="F221" s="375"/>
      <c r="G221" s="375"/>
      <c r="H221" s="375"/>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7" t="str">
        <f t="shared" si="3"/>
        <v>BANQUE</v>
      </c>
      <c r="B222" s="120">
        <f>IF(OR(Fld_Pays_Bank="Luxembourg",Fld_Pays_Bank="Luxembourg",Fld_Pays_Bank="Luxemburg"),"X","")</f>
      </c>
      <c r="C222" s="75" t="str">
        <f>Lbl_Cty_L</f>
        <v>L - Grand Duché de Luxembourg</v>
      </c>
      <c r="D222" s="702">
        <f>IF(B222&amp;"x"="x","",Lbl_Banque_Pas_d_identifiant_specifique)</f>
      </c>
      <c r="E222" s="702"/>
      <c r="F222" s="702"/>
      <c r="G222" s="702"/>
      <c r="H222" s="702"/>
      <c r="I222" s="702"/>
      <c r="J222" s="702"/>
      <c r="K222" s="702"/>
      <c r="L222" s="703"/>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7" t="str">
        <f t="shared" si="3"/>
        <v>BANQUE</v>
      </c>
      <c r="B223" s="121">
        <f>IF(OR(Fld_Pays_Bank="Pays-Bas",Fld_Pays_Bank="Netherlands",Fld_Pays_Bank="Niederlande"),"X","")</f>
      </c>
      <c r="C223" s="78" t="str">
        <f>Lbl_Cty_NL</f>
        <v>NL - Pays-Bas</v>
      </c>
      <c r="D223" s="642">
        <f>IF(B223&amp;"x"="x","",Lbl_Banque_Pas_d_identifiant_specifique)</f>
      </c>
      <c r="E223" s="642"/>
      <c r="F223" s="642"/>
      <c r="G223" s="642"/>
      <c r="H223" s="642"/>
      <c r="I223" s="642"/>
      <c r="J223" s="642"/>
      <c r="K223" s="642"/>
      <c r="L223" s="797"/>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7" t="str">
        <f t="shared" si="3"/>
        <v>BANQUE</v>
      </c>
      <c r="B224" s="120">
        <f>IF(OR(Fld_Pays_Bank="Portugal",Fld_Pays_Bank="Portugal",Fld_Pays_Bank="Portugal"),"X","")</f>
      </c>
      <c r="C224" s="75" t="str">
        <f>Lbl_Cty_P</f>
        <v>P - Portugal</v>
      </c>
      <c r="D224" s="643">
        <f>IF(B224&amp;"x"="x","","Entidad")</f>
      </c>
      <c r="E224" s="643"/>
      <c r="F224" s="700"/>
      <c r="G224" s="701"/>
      <c r="H224" s="85">
        <f>IF(B224&amp;"x"="x","","(xxxx)")</f>
      </c>
      <c r="I224" s="86">
        <f>IF(B224&amp;"x"="x","","Agencia")</f>
      </c>
      <c r="J224" s="375"/>
      <c r="K224" s="28">
        <f>IF(B224&amp;"x"="x","","DC")</f>
      </c>
      <c r="L224" s="376"/>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9" t="str">
        <f t="shared" si="3"/>
        <v>BANQUE</v>
      </c>
      <c r="B225" s="121">
        <f>IF(OR(Fld_Pays_Bank="Suède",Fld_Pays_Bank="Sweden",Fld_Pays_Bank="Schweden"),"X","")</f>
      </c>
      <c r="C225" s="78" t="str">
        <f>Lbl_Cty_S</f>
        <v>S - Suède</v>
      </c>
      <c r="D225" s="641">
        <f>IF(B225&amp;"x"="x","","Register")</f>
      </c>
      <c r="E225" s="641"/>
      <c r="F225" s="377"/>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9"/>
      <c r="B226" s="122"/>
      <c r="C226" s="87"/>
      <c r="D226" s="80"/>
      <c r="E226" s="80">
        <f>IF(B225&amp;"x"="x","","Account number at the NordBank")</f>
      </c>
      <c r="F226" s="700"/>
      <c r="G226" s="701"/>
      <c r="H226" s="700"/>
      <c r="I226" s="701"/>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7" t="str">
        <f>Lbl_BANK</f>
        <v>BANQUE</v>
      </c>
      <c r="B227" s="120">
        <f>IF(OR(Fld_Pays_Bank="Royaume Uni",Fld_Pays_Bank="United Kingdom",Fld_Pays_Bank="Vereinigtes Königreich"),"X","")</f>
      </c>
      <c r="C227" s="75" t="str">
        <f>Lbl_Cty_UK</f>
        <v>UK - Royaume-Uni</v>
      </c>
      <c r="D227" s="643">
        <f>IF(B227&amp;"x"="x","","Sort code")</f>
      </c>
      <c r="E227" s="643"/>
      <c r="F227" s="378"/>
      <c r="G227" s="378"/>
      <c r="H227" s="378"/>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1302</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8" t="str">
        <f>Lbl_IBAN</f>
        <v>IBAN (Optionnel)</v>
      </c>
      <c r="D229" s="748"/>
      <c r="E229" s="748"/>
      <c r="F229" s="745"/>
      <c r="G229" s="746"/>
      <c r="H229" s="746"/>
      <c r="I229" s="746"/>
      <c r="J229" s="747"/>
      <c r="K229" s="739"/>
      <c r="L229" s="740"/>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42">
        <f>IF(H230&lt;&gt;0,H230&amp;"  "&amp;I230,"")</f>
      </c>
      <c r="E230" s="742"/>
      <c r="F230" s="742"/>
      <c r="G230" s="742"/>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8" t="str">
        <f>Lbl_N_Compte</f>
        <v>Compte bancaire no.</v>
      </c>
      <c r="C231" s="699"/>
      <c r="D231" s="704"/>
      <c r="E231" s="705"/>
      <c r="F231" s="705"/>
      <c r="G231" s="706"/>
      <c r="H231" s="308">
        <f>LEN(Fld_N_Compte)</f>
        <v>0</v>
      </c>
      <c r="I231" s="743" t="str">
        <f>Lbl_Devise</f>
        <v>Devise du compte</v>
      </c>
      <c r="J231" s="744"/>
      <c r="K231" s="379"/>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41" t="str">
        <f>"("&amp;P231&amp;")"</f>
        <v>()</v>
      </c>
      <c r="E232" s="741"/>
      <c r="F232" s="741"/>
      <c r="G232" s="741"/>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9"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8"/>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8"/>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8"/>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8"/>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8"/>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8"/>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9"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8"/>
      <c r="B243" s="44" t="str">
        <f>Lbl_Remarques</f>
        <v>Remarques</v>
      </c>
      <c r="C243" s="44"/>
      <c r="D243" s="730"/>
      <c r="E243" s="731"/>
      <c r="F243" s="731"/>
      <c r="G243" s="731"/>
      <c r="H243" s="731"/>
      <c r="I243" s="731"/>
      <c r="J243" s="731"/>
      <c r="K243" s="731"/>
      <c r="L243" s="732"/>
      <c r="M243" s="99"/>
      <c r="N243" s="206"/>
      <c r="O243" s="79"/>
      <c r="P243" s="177"/>
      <c r="Q243" s="186"/>
      <c r="R243" s="186"/>
      <c r="S243" s="186"/>
      <c r="T243" s="186"/>
      <c r="U243" s="186"/>
      <c r="V243" s="186"/>
      <c r="W243" s="186"/>
      <c r="X243" s="186"/>
      <c r="Y243" s="186"/>
      <c r="Z243" s="186"/>
      <c r="AA243" s="99"/>
    </row>
    <row r="244" spans="1:27" ht="22.5" customHeight="1" thickTop="1">
      <c r="A244" s="779" t="str">
        <f>Lbl_Charactéristiques_du_projet</f>
        <v>Caractéristiques de l'activité proposée</v>
      </c>
      <c r="B244" s="44"/>
      <c r="C244" s="306" t="str">
        <f>LEN(D243)&amp;" char       "</f>
        <v>0 char       </v>
      </c>
      <c r="D244" s="733"/>
      <c r="E244" s="734"/>
      <c r="F244" s="734"/>
      <c r="G244" s="734"/>
      <c r="H244" s="734"/>
      <c r="I244" s="734"/>
      <c r="J244" s="734"/>
      <c r="K244" s="734"/>
      <c r="L244" s="735"/>
      <c r="M244" s="99"/>
      <c r="N244" s="206"/>
      <c r="O244" s="79"/>
      <c r="P244" s="177"/>
      <c r="Q244" s="186"/>
      <c r="R244" s="186"/>
      <c r="S244" s="186"/>
      <c r="T244" s="186"/>
      <c r="U244" s="186"/>
      <c r="V244" s="186"/>
      <c r="W244" s="186"/>
      <c r="X244" s="186"/>
      <c r="Y244" s="186"/>
      <c r="Z244" s="186"/>
      <c r="AA244" s="99"/>
    </row>
    <row r="245" spans="1:27" ht="24" customHeight="1" thickBot="1">
      <c r="A245" s="787"/>
      <c r="B245" s="44"/>
      <c r="C245" s="44"/>
      <c r="D245" s="733"/>
      <c r="E245" s="734"/>
      <c r="F245" s="734"/>
      <c r="G245" s="734"/>
      <c r="H245" s="734"/>
      <c r="I245" s="734"/>
      <c r="J245" s="734"/>
      <c r="K245" s="734"/>
      <c r="L245" s="735"/>
      <c r="M245" s="99"/>
      <c r="N245" s="206"/>
      <c r="O245" s="79"/>
      <c r="P245" s="177"/>
      <c r="Q245" s="186"/>
      <c r="R245" s="186"/>
      <c r="S245" s="186"/>
      <c r="T245" s="186"/>
      <c r="U245" s="186"/>
      <c r="V245" s="186"/>
      <c r="W245" s="186"/>
      <c r="X245" s="186"/>
      <c r="Y245" s="186"/>
      <c r="Z245" s="186"/>
      <c r="AA245" s="99"/>
    </row>
    <row r="246" spans="1:27" ht="19.5" customHeight="1" thickTop="1">
      <c r="A246" s="779" t="str">
        <f>Lbl_Banque_Signalétique_financier</f>
        <v>Signalétique financier</v>
      </c>
      <c r="B246" s="44"/>
      <c r="C246" s="44"/>
      <c r="D246" s="736"/>
      <c r="E246" s="737"/>
      <c r="F246" s="737"/>
      <c r="G246" s="737"/>
      <c r="H246" s="737"/>
      <c r="I246" s="737"/>
      <c r="J246" s="737"/>
      <c r="K246" s="737"/>
      <c r="L246" s="738"/>
      <c r="M246" s="99"/>
      <c r="N246" s="206"/>
      <c r="O246" s="79"/>
      <c r="P246" s="177"/>
      <c r="Q246" s="186"/>
      <c r="R246" s="186"/>
      <c r="S246" s="186"/>
      <c r="T246" s="186"/>
      <c r="U246" s="186"/>
      <c r="V246" s="186"/>
      <c r="W246" s="186"/>
      <c r="X246" s="186"/>
      <c r="Y246" s="186"/>
      <c r="Z246" s="186"/>
      <c r="AA246" s="99"/>
    </row>
    <row r="247" spans="1:27" ht="13.5" thickBot="1">
      <c r="A247" s="780"/>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9"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80"/>
      <c r="B249" s="11"/>
      <c r="C249" s="11"/>
      <c r="D249" s="11"/>
      <c r="E249" s="11"/>
      <c r="F249" s="11"/>
      <c r="G249" s="11"/>
      <c r="H249" s="728"/>
      <c r="I249" s="728"/>
      <c r="J249" s="728"/>
      <c r="K249" s="728"/>
      <c r="L249" s="728"/>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80"/>
      <c r="D250" s="11"/>
      <c r="E250" s="11"/>
      <c r="F250" s="11"/>
      <c r="G250" s="11"/>
      <c r="H250" s="729"/>
      <c r="I250" s="729"/>
      <c r="J250" s="729"/>
      <c r="K250" s="729"/>
      <c r="L250" s="729"/>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847</v>
      </c>
      <c r="D1" s="129"/>
      <c r="E1" s="129"/>
      <c r="F1" s="129"/>
      <c r="G1" s="130"/>
      <c r="H1" s="131"/>
    </row>
    <row r="2" spans="3:8" ht="13.5" customHeight="1" hidden="1">
      <c r="C2" s="27" t="s">
        <v>313</v>
      </c>
      <c r="D2" s="129"/>
      <c r="E2" s="129"/>
      <c r="F2" s="129"/>
      <c r="G2" s="130"/>
      <c r="H2" s="131"/>
    </row>
    <row r="3" spans="3:8" ht="13.5" customHeight="1" hidden="1">
      <c r="C3" s="27" t="s">
        <v>847</v>
      </c>
      <c r="D3" s="129"/>
      <c r="E3" s="129"/>
      <c r="F3" s="129"/>
      <c r="G3" s="130"/>
      <c r="H3" s="131"/>
    </row>
    <row r="4" ht="12.75" hidden="1"/>
    <row r="5" ht="88.5" customHeight="1">
      <c r="F5" s="804" t="s">
        <v>531</v>
      </c>
    </row>
    <row r="6" spans="1:12" s="126" customFormat="1" ht="13.5" thickBot="1">
      <c r="A6" s="126" t="s">
        <v>314</v>
      </c>
      <c r="B6" s="126" t="s">
        <v>315</v>
      </c>
      <c r="D6" s="126" t="s">
        <v>316</v>
      </c>
      <c r="E6" s="126" t="s">
        <v>1174</v>
      </c>
      <c r="F6" s="805"/>
      <c r="G6" s="126" t="s">
        <v>317</v>
      </c>
      <c r="H6" s="126" t="s">
        <v>2102</v>
      </c>
      <c r="I6" s="134"/>
      <c r="J6" s="242"/>
      <c r="K6" s="174"/>
      <c r="L6" s="174"/>
    </row>
    <row r="7" spans="1:10" ht="12.75" customHeight="1">
      <c r="A7" s="59">
        <v>1</v>
      </c>
      <c r="B7" s="104" t="s">
        <v>318</v>
      </c>
      <c r="C7" s="806" t="s">
        <v>319</v>
      </c>
      <c r="D7" s="135" t="s">
        <v>320</v>
      </c>
      <c r="E7" s="136">
        <v>255</v>
      </c>
      <c r="F7" s="136" t="s">
        <v>321</v>
      </c>
      <c r="G7" s="137" t="str">
        <f>Lbl_Nom_ou_raison_sociale</f>
        <v>Nom ou raison sociale</v>
      </c>
      <c r="H7" s="153">
        <f>IF(ISBLANK(Fld_Org_Nom),"",Fld_Org_Nom)</f>
      </c>
      <c r="J7" s="319" t="s">
        <v>1175</v>
      </c>
    </row>
    <row r="8" spans="1:10" ht="12.75">
      <c r="A8" s="59">
        <v>2</v>
      </c>
      <c r="B8" s="104" t="s">
        <v>322</v>
      </c>
      <c r="C8" s="807"/>
      <c r="D8" s="138" t="s">
        <v>320</v>
      </c>
      <c r="E8" s="139">
        <v>20</v>
      </c>
      <c r="F8" s="139" t="s">
        <v>323</v>
      </c>
      <c r="G8" s="140" t="str">
        <f>Lbl_Abréviation</f>
        <v>Abréviation</v>
      </c>
      <c r="H8" s="154">
        <f>IF(ISBLANK(Fld_Org_Abreviation),"",Fld_Org_Abreviation)</f>
      </c>
      <c r="J8" s="319" t="s">
        <v>1175</v>
      </c>
    </row>
    <row r="9" spans="1:10" ht="12.75">
      <c r="A9" s="59">
        <v>3</v>
      </c>
      <c r="B9" s="104" t="s">
        <v>324</v>
      </c>
      <c r="C9" s="807"/>
      <c r="D9" s="138" t="s">
        <v>320</v>
      </c>
      <c r="E9" s="139">
        <v>8</v>
      </c>
      <c r="F9" s="139" t="s">
        <v>323</v>
      </c>
      <c r="G9" s="141" t="str">
        <f>Lbl_Type_Org</f>
        <v>Type d'organisation</v>
      </c>
      <c r="H9" s="154">
        <f>IF(ISBLANK(Fld_Org_Type),"",Fld_Org_Type)</f>
      </c>
      <c r="I9" s="142" t="s">
        <v>325</v>
      </c>
      <c r="J9" s="319" t="s">
        <v>1175</v>
      </c>
    </row>
    <row r="10" spans="1:10" ht="12.75">
      <c r="A10" s="59">
        <v>4</v>
      </c>
      <c r="B10" s="104" t="s">
        <v>326</v>
      </c>
      <c r="C10" s="807"/>
      <c r="D10" s="138" t="s">
        <v>320</v>
      </c>
      <c r="E10" s="139">
        <v>30</v>
      </c>
      <c r="F10" s="139" t="s">
        <v>323</v>
      </c>
      <c r="G10" s="141" t="str">
        <f>LbL_Statut_légal</f>
        <v>Statut légal</v>
      </c>
      <c r="H10" s="154">
        <f>IF(ISBLANK(Fld_Org_Statut),"",Fld_Org_Statut)</f>
      </c>
      <c r="I10" s="142" t="s">
        <v>328</v>
      </c>
      <c r="J10" s="319" t="s">
        <v>1175</v>
      </c>
    </row>
    <row r="11" spans="1:10" ht="12.75">
      <c r="A11" s="59">
        <v>5</v>
      </c>
      <c r="B11" s="104" t="s">
        <v>329</v>
      </c>
      <c r="C11" s="807"/>
      <c r="D11" s="138" t="s">
        <v>320</v>
      </c>
      <c r="E11" s="139">
        <v>50</v>
      </c>
      <c r="F11" s="139" t="s">
        <v>323</v>
      </c>
      <c r="G11" s="141" t="str">
        <f>Lbl_N_TVA</f>
        <v>N. TVA</v>
      </c>
      <c r="H11" s="275">
        <f>IF(ISBLANK(Fld_Org_NTVA),"",Fld_Org_NTVA)</f>
      </c>
      <c r="J11" s="319" t="s">
        <v>1175</v>
      </c>
    </row>
    <row r="12" spans="1:10" ht="12.75">
      <c r="A12" s="59">
        <v>6</v>
      </c>
      <c r="B12" s="104" t="s">
        <v>331</v>
      </c>
      <c r="C12" s="807"/>
      <c r="D12" s="138" t="s">
        <v>320</v>
      </c>
      <c r="E12" s="139">
        <v>50</v>
      </c>
      <c r="F12" s="139" t="s">
        <v>323</v>
      </c>
      <c r="G12" s="140" t="str">
        <f>Lbl_N_d_enregistrement_légal</f>
        <v>N. d'enregistrement légal</v>
      </c>
      <c r="H12" s="275">
        <f>IF(ISBLANK(Fld_Org_NRegistre),"",Fld_Org_NRegistre)</f>
      </c>
      <c r="J12" s="319" t="s">
        <v>1175</v>
      </c>
    </row>
    <row r="13" spans="1:10" ht="12.75">
      <c r="A13" s="59">
        <v>7</v>
      </c>
      <c r="B13" s="104" t="s">
        <v>333</v>
      </c>
      <c r="C13" s="807"/>
      <c r="D13" s="138" t="s">
        <v>320</v>
      </c>
      <c r="E13" s="139">
        <v>100</v>
      </c>
      <c r="F13" s="139" t="s">
        <v>321</v>
      </c>
      <c r="G13" s="143" t="str">
        <f>Lbl_Adresse&amp;"1"</f>
        <v>Adresse1</v>
      </c>
      <c r="H13" s="243">
        <f>IF(ISBLANK(Fld_Org_Adresse1),"",Fld_Org_Adresse1)</f>
      </c>
      <c r="J13" s="319" t="s">
        <v>1175</v>
      </c>
    </row>
    <row r="14" spans="1:10" ht="12.75">
      <c r="A14" s="59">
        <v>8</v>
      </c>
      <c r="B14" s="104" t="s">
        <v>334</v>
      </c>
      <c r="C14" s="807"/>
      <c r="D14" s="138" t="s">
        <v>320</v>
      </c>
      <c r="E14" s="139">
        <v>100</v>
      </c>
      <c r="F14" s="139" t="s">
        <v>323</v>
      </c>
      <c r="G14" s="141" t="str">
        <f>Lbl_Adresse&amp;"2"</f>
        <v>Adresse2</v>
      </c>
      <c r="H14" s="154">
        <f>IF(ISBLANK(Fld_Org_Adresse2),"",Fld_Org_Adresse2)</f>
      </c>
      <c r="J14" s="319" t="s">
        <v>1175</v>
      </c>
    </row>
    <row r="15" spans="1:10" ht="12.75">
      <c r="A15" s="59">
        <v>9</v>
      </c>
      <c r="B15" s="104" t="s">
        <v>1773</v>
      </c>
      <c r="C15" s="807"/>
      <c r="D15" s="138" t="s">
        <v>320</v>
      </c>
      <c r="E15" s="139">
        <v>50</v>
      </c>
      <c r="F15" s="139" t="s">
        <v>321</v>
      </c>
      <c r="G15" s="143" t="str">
        <f>Lbl_Ville</f>
        <v>Ville</v>
      </c>
      <c r="H15" s="243">
        <f>IF(ISBLANK(Fld_Org_Ville),"",Fld_Org_Ville)</f>
      </c>
      <c r="J15" s="319" t="s">
        <v>1175</v>
      </c>
    </row>
    <row r="16" spans="1:10" ht="12.75">
      <c r="A16" s="59">
        <v>10</v>
      </c>
      <c r="B16" s="104" t="s">
        <v>1774</v>
      </c>
      <c r="C16" s="807"/>
      <c r="D16" s="138" t="s">
        <v>320</v>
      </c>
      <c r="E16" s="139">
        <v>50</v>
      </c>
      <c r="F16" s="233" t="s">
        <v>323</v>
      </c>
      <c r="G16" s="226" t="s">
        <v>1775</v>
      </c>
      <c r="H16" s="218"/>
      <c r="J16" s="240"/>
    </row>
    <row r="17" spans="1:10" ht="12.75">
      <c r="A17" s="59">
        <v>11</v>
      </c>
      <c r="B17" s="104" t="s">
        <v>1776</v>
      </c>
      <c r="C17" s="807"/>
      <c r="D17" s="138" t="s">
        <v>320</v>
      </c>
      <c r="E17" s="139">
        <v>20</v>
      </c>
      <c r="F17" s="139" t="s">
        <v>323</v>
      </c>
      <c r="G17" s="140" t="str">
        <f>Lbl_Code_postal</f>
        <v>Code postal</v>
      </c>
      <c r="H17" s="275">
        <f>IF(ISBLANK(Fld_Org_ZipCode),"",Fld_Org_ZipCode)</f>
      </c>
      <c r="J17" s="319" t="s">
        <v>1175</v>
      </c>
    </row>
    <row r="18" spans="1:10" ht="12.75">
      <c r="A18" s="59">
        <v>12</v>
      </c>
      <c r="B18" s="104" t="s">
        <v>1777</v>
      </c>
      <c r="C18" s="807"/>
      <c r="D18" s="138" t="s">
        <v>320</v>
      </c>
      <c r="E18" s="139">
        <v>3</v>
      </c>
      <c r="F18" s="139" t="s">
        <v>321</v>
      </c>
      <c r="G18" s="143" t="str">
        <f>Lbl_Pays</f>
        <v>Pays</v>
      </c>
      <c r="H18" s="243">
        <f>IF(ISBLANK(Fld_Org_Pays),"",Fld_Org_Pays)</f>
      </c>
      <c r="I18" s="142" t="s">
        <v>1778</v>
      </c>
      <c r="J18" s="319" t="s">
        <v>1175</v>
      </c>
    </row>
    <row r="19" spans="1:10" ht="12.75">
      <c r="A19" s="59">
        <v>13</v>
      </c>
      <c r="B19" s="104" t="s">
        <v>1779</v>
      </c>
      <c r="C19" s="807"/>
      <c r="D19" s="138" t="s">
        <v>320</v>
      </c>
      <c r="E19" s="139">
        <v>30</v>
      </c>
      <c r="F19" s="139" t="s">
        <v>323</v>
      </c>
      <c r="G19" s="141" t="str">
        <f>Lbl_Téléphone&amp;" "&amp;Lbl_Organisme_demandeur</f>
        <v>Téléphone Organisme demandeur</v>
      </c>
      <c r="H19" s="275">
        <f>IF(ISBLANK(Fld_Org_Tel),"",Fld_Org_Tel)</f>
      </c>
      <c r="J19" s="319" t="s">
        <v>1175</v>
      </c>
    </row>
    <row r="20" spans="1:10" ht="12.75">
      <c r="A20" s="59">
        <v>14</v>
      </c>
      <c r="B20" s="104" t="s">
        <v>1780</v>
      </c>
      <c r="C20" s="807"/>
      <c r="D20" s="138" t="s">
        <v>320</v>
      </c>
      <c r="E20" s="139">
        <v>30</v>
      </c>
      <c r="F20" s="139" t="s">
        <v>323</v>
      </c>
      <c r="G20" s="141" t="str">
        <f>Lbl_Télécopieur&amp;" "&amp;Lbl_Organisme_demandeur</f>
        <v>Télécopieur Organisme demandeur</v>
      </c>
      <c r="H20" s="275">
        <f>IF(ISBLANK(Fld_Org_Fax),"",Fld_Org_Fax)</f>
      </c>
      <c r="J20" s="319" t="s">
        <v>1175</v>
      </c>
    </row>
    <row r="21" spans="1:10" ht="12.75">
      <c r="A21" s="59">
        <v>15</v>
      </c>
      <c r="B21" s="104" t="s">
        <v>1781</v>
      </c>
      <c r="C21" s="807"/>
      <c r="D21" s="138" t="s">
        <v>320</v>
      </c>
      <c r="E21" s="139">
        <v>100</v>
      </c>
      <c r="F21" s="139" t="s">
        <v>323</v>
      </c>
      <c r="G21" s="140" t="str">
        <f>Lbl_SiteInternet</f>
        <v>Site internet</v>
      </c>
      <c r="H21" s="154">
        <f>IF(ISBLANK(Fld_Org_Web),"",Fld_Org_Web)</f>
      </c>
      <c r="J21" s="319" t="s">
        <v>1175</v>
      </c>
    </row>
    <row r="22" spans="1:10" ht="13.5" thickBot="1">
      <c r="A22" s="59">
        <v>16</v>
      </c>
      <c r="B22" s="104" t="s">
        <v>1783</v>
      </c>
      <c r="C22" s="808"/>
      <c r="D22" s="138" t="s">
        <v>320</v>
      </c>
      <c r="E22" s="139">
        <v>100</v>
      </c>
      <c r="F22" s="139" t="s">
        <v>323</v>
      </c>
      <c r="G22" s="140" t="str">
        <f>Lbl_E_mail</f>
        <v>E-mail</v>
      </c>
      <c r="H22" s="157">
        <f>IF(ISBLANK(Fld_Org_Email),"",Fld_Org_Email)</f>
      </c>
      <c r="J22" s="319" t="s">
        <v>1175</v>
      </c>
    </row>
    <row r="23" spans="1:10" ht="12.75" customHeight="1">
      <c r="A23" s="59">
        <v>17</v>
      </c>
      <c r="B23" s="104" t="s">
        <v>1784</v>
      </c>
      <c r="C23" s="806" t="s">
        <v>604</v>
      </c>
      <c r="D23" s="135" t="s">
        <v>320</v>
      </c>
      <c r="E23" s="136">
        <v>20</v>
      </c>
      <c r="F23" s="136" t="s">
        <v>321</v>
      </c>
      <c r="G23" s="144" t="str">
        <f>Lbl_Titre&amp;" (Mr, Mme,…)"</f>
        <v>Titre (Mr, Mme,…)</v>
      </c>
      <c r="H23" s="153">
        <f>IF(ISBLANK(Fld_Leg_Titre),"",Fld_Leg_Titre)</f>
      </c>
      <c r="I23" s="142" t="s">
        <v>605</v>
      </c>
      <c r="J23" s="319" t="s">
        <v>1175</v>
      </c>
    </row>
    <row r="24" spans="1:10" ht="12.75">
      <c r="A24" s="59">
        <v>18</v>
      </c>
      <c r="B24" s="104" t="s">
        <v>1927</v>
      </c>
      <c r="C24" s="807"/>
      <c r="D24" s="138" t="s">
        <v>320</v>
      </c>
      <c r="E24" s="139">
        <v>80</v>
      </c>
      <c r="F24" s="139" t="s">
        <v>321</v>
      </c>
      <c r="G24" s="145" t="str">
        <f>Lbl_Nom&amp;" "&amp;Lbl_Représentant_légal</f>
        <v>Nom Représentant légal</v>
      </c>
      <c r="H24" s="243">
        <f>IF(ISBLANK(Fld_Leg_Nom),"",Fld_Leg_Nom)</f>
      </c>
      <c r="J24" s="319" t="s">
        <v>1175</v>
      </c>
    </row>
    <row r="25" spans="1:10" ht="12.75">
      <c r="A25" s="59">
        <v>19</v>
      </c>
      <c r="B25" s="104" t="s">
        <v>1928</v>
      </c>
      <c r="C25" s="807"/>
      <c r="D25" s="138" t="s">
        <v>320</v>
      </c>
      <c r="E25" s="139">
        <v>50</v>
      </c>
      <c r="F25" s="139" t="s">
        <v>321</v>
      </c>
      <c r="G25" s="145" t="str">
        <f>Lbl_Prénom&amp;" "&amp;Lbl_Représentant_légal</f>
        <v>Prénom Représentant légal</v>
      </c>
      <c r="H25" s="243">
        <f>IF(ISBLANK(Fld_Leg_Prenom),"",Fld_Leg_Prenom)</f>
      </c>
      <c r="J25" s="319" t="s">
        <v>1175</v>
      </c>
    </row>
    <row r="26" spans="1:10" ht="12.75">
      <c r="A26" s="59">
        <v>20</v>
      </c>
      <c r="B26" s="104" t="s">
        <v>1929</v>
      </c>
      <c r="C26" s="807"/>
      <c r="D26" s="138" t="s">
        <v>320</v>
      </c>
      <c r="E26" s="139">
        <v>1</v>
      </c>
      <c r="F26" s="139" t="s">
        <v>321</v>
      </c>
      <c r="G26" s="145" t="str">
        <f>Lbl_Contact_Sexe&amp;" (M / F)"</f>
        <v>Genre (M / F)</v>
      </c>
      <c r="H26" s="243">
        <f>IF(ISBLANK(Fld_Leg_Genre),"",Fld_Leg_Genre)</f>
      </c>
      <c r="I26" s="142" t="s">
        <v>1931</v>
      </c>
      <c r="J26" s="319" t="s">
        <v>1175</v>
      </c>
    </row>
    <row r="27" spans="1:10" ht="12.75">
      <c r="A27" s="59">
        <v>21</v>
      </c>
      <c r="B27" s="104" t="s">
        <v>1932</v>
      </c>
      <c r="C27" s="807"/>
      <c r="D27" s="138" t="s">
        <v>320</v>
      </c>
      <c r="E27" s="139">
        <v>3</v>
      </c>
      <c r="F27" s="233" t="s">
        <v>323</v>
      </c>
      <c r="G27" s="227" t="s">
        <v>1933</v>
      </c>
      <c r="H27" s="244"/>
      <c r="I27" s="142" t="s">
        <v>824</v>
      </c>
      <c r="J27" s="240"/>
    </row>
    <row r="28" spans="1:10" ht="12.75">
      <c r="A28" s="59">
        <v>22</v>
      </c>
      <c r="B28" s="104" t="s">
        <v>1934</v>
      </c>
      <c r="C28" s="807"/>
      <c r="D28" s="138" t="s">
        <v>320</v>
      </c>
      <c r="E28" s="139">
        <v>50</v>
      </c>
      <c r="F28" s="233"/>
      <c r="G28" s="227"/>
      <c r="H28" s="244"/>
      <c r="I28" s="142"/>
      <c r="J28" s="240"/>
    </row>
    <row r="29" spans="1:10" ht="12.75">
      <c r="A29" s="59">
        <v>23</v>
      </c>
      <c r="B29" s="104" t="s">
        <v>194</v>
      </c>
      <c r="C29" s="807"/>
      <c r="D29" s="138" t="s">
        <v>320</v>
      </c>
      <c r="E29" s="139">
        <v>30</v>
      </c>
      <c r="F29" s="139" t="s">
        <v>323</v>
      </c>
      <c r="G29" s="141" t="str">
        <f>Lbl_Fonction</f>
        <v>Fonction</v>
      </c>
      <c r="H29" s="243">
        <f>IF(ISBLANK(Fld_Leg_Fonction),"",Fld_Leg_Fonction)</f>
      </c>
      <c r="I29" s="142" t="s">
        <v>107</v>
      </c>
      <c r="J29" s="319" t="s">
        <v>1175</v>
      </c>
    </row>
    <row r="30" spans="1:10" ht="12.75">
      <c r="A30" s="59">
        <v>24</v>
      </c>
      <c r="B30" s="104" t="s">
        <v>106</v>
      </c>
      <c r="C30" s="807"/>
      <c r="D30" s="138" t="s">
        <v>320</v>
      </c>
      <c r="E30" s="139">
        <v>50</v>
      </c>
      <c r="F30" s="139" t="s">
        <v>323</v>
      </c>
      <c r="G30" s="140" t="str">
        <f>Lbl_Fonction_Description</f>
        <v>Fonction (Si elle diffère de celle ci-dessus)</v>
      </c>
      <c r="H30" s="154">
        <f>IF(ISBLANK(Fld_Leg_Fonction_Desc),"",Fld_Leg_Fonction_Desc)</f>
      </c>
      <c r="J30" s="319" t="s">
        <v>1175</v>
      </c>
    </row>
    <row r="31" spans="1:10" ht="12.75">
      <c r="A31" s="59">
        <v>25</v>
      </c>
      <c r="B31" s="104" t="s">
        <v>108</v>
      </c>
      <c r="C31" s="807"/>
      <c r="D31" s="138" t="s">
        <v>320</v>
      </c>
      <c r="E31" s="139">
        <v>2</v>
      </c>
      <c r="F31" s="139" t="s">
        <v>321</v>
      </c>
      <c r="G31" s="145" t="str">
        <f>Lbl_Contact_LNG</f>
        <v>Langue</v>
      </c>
      <c r="H31" s="243">
        <f>IF(ISBLANK(Fld_Leg_Langue),"",Fld_Leg_Langue)</f>
      </c>
      <c r="I31" s="142" t="s">
        <v>109</v>
      </c>
      <c r="J31" s="319" t="s">
        <v>1175</v>
      </c>
    </row>
    <row r="32" spans="1:10" ht="12.75">
      <c r="A32" s="59">
        <v>26</v>
      </c>
      <c r="B32" s="104" t="s">
        <v>110</v>
      </c>
      <c r="C32" s="807"/>
      <c r="D32" s="138" t="s">
        <v>320</v>
      </c>
      <c r="E32" s="139">
        <v>30</v>
      </c>
      <c r="F32" s="139" t="s">
        <v>323</v>
      </c>
      <c r="G32" s="141" t="str">
        <f>Lbl_Téléphone&amp;" ("&amp;Lbl_Représentant_légal&amp;")"</f>
        <v>Téléphone (Représentant légal)</v>
      </c>
      <c r="H32" s="275">
        <f>IF(ISBLANK(Fld_Leg_Tel),"",Fld_Leg_Tel)</f>
      </c>
      <c r="J32" s="319" t="s">
        <v>1175</v>
      </c>
    </row>
    <row r="33" spans="1:10" ht="12.75">
      <c r="A33" s="59">
        <v>27</v>
      </c>
      <c r="B33" s="104" t="s">
        <v>111</v>
      </c>
      <c r="C33" s="807"/>
      <c r="D33" s="138" t="s">
        <v>320</v>
      </c>
      <c r="E33" s="139">
        <v>30</v>
      </c>
      <c r="F33" s="139" t="s">
        <v>323</v>
      </c>
      <c r="G33" s="140" t="str">
        <f>Lbl_Télécopieur&amp;" ("&amp;Lbl_Représentant_légal&amp;")"</f>
        <v>Télécopieur (Représentant légal)</v>
      </c>
      <c r="H33" s="275">
        <f>IF(ISBLANK(Fld_Leg_Fax),"",Fld_Leg_Fax)</f>
      </c>
      <c r="J33" s="319" t="s">
        <v>1175</v>
      </c>
    </row>
    <row r="34" spans="1:10" ht="12.75">
      <c r="A34" s="59">
        <v>28</v>
      </c>
      <c r="B34" s="104" t="s">
        <v>112</v>
      </c>
      <c r="C34" s="807"/>
      <c r="D34" s="138" t="s">
        <v>320</v>
      </c>
      <c r="E34" s="139">
        <v>100</v>
      </c>
      <c r="F34" s="139" t="s">
        <v>323</v>
      </c>
      <c r="G34" s="140" t="str">
        <f>Lbl_E_mail&amp;" ("&amp;Lbl_Représentant_légal&amp;")"</f>
        <v>E-mail (Représentant légal)</v>
      </c>
      <c r="H34" s="154">
        <f>IF(ISBLANK(Fld_Leg_Email),"",Fld_Leg_Email)</f>
      </c>
      <c r="J34" s="319" t="s">
        <v>1175</v>
      </c>
    </row>
    <row r="35" spans="1:10" ht="12.75">
      <c r="A35" s="59">
        <v>29</v>
      </c>
      <c r="B35" s="104" t="s">
        <v>113</v>
      </c>
      <c r="C35" s="807"/>
      <c r="D35" s="138" t="s">
        <v>114</v>
      </c>
      <c r="E35" s="139"/>
      <c r="F35" s="139" t="s">
        <v>321</v>
      </c>
      <c r="G35" s="145" t="s">
        <v>635</v>
      </c>
      <c r="H35" s="221" t="s">
        <v>636</v>
      </c>
      <c r="I35" s="142" t="s">
        <v>636</v>
      </c>
      <c r="J35" s="240"/>
    </row>
    <row r="36" spans="1:10" ht="12.75">
      <c r="A36" s="59">
        <v>30</v>
      </c>
      <c r="B36" s="104" t="s">
        <v>637</v>
      </c>
      <c r="C36" s="807"/>
      <c r="D36" s="138" t="s">
        <v>320</v>
      </c>
      <c r="E36" s="139">
        <v>255</v>
      </c>
      <c r="F36" s="139" t="s">
        <v>321</v>
      </c>
      <c r="G36" s="145" t="str">
        <f>Lbl_Nom_ou_raison_sociale</f>
        <v>Nom ou raison sociale</v>
      </c>
      <c r="H36" s="243">
        <f>IF(OR(Fld_Leg_Org_Nom="",Fld_Leg_Org_Nom=0),"",Fld_Leg_Org_Nom)</f>
      </c>
      <c r="J36" s="319" t="s">
        <v>1175</v>
      </c>
    </row>
    <row r="37" spans="1:10" ht="12.75">
      <c r="A37" s="59">
        <v>31</v>
      </c>
      <c r="B37" s="104" t="s">
        <v>638</v>
      </c>
      <c r="C37" s="807"/>
      <c r="D37" s="138" t="s">
        <v>320</v>
      </c>
      <c r="E37" s="139">
        <v>20</v>
      </c>
      <c r="F37" s="233" t="s">
        <v>323</v>
      </c>
      <c r="G37" s="227" t="s">
        <v>607</v>
      </c>
      <c r="H37" s="244"/>
      <c r="J37" s="240"/>
    </row>
    <row r="38" spans="1:10" ht="12.75">
      <c r="A38" s="59">
        <v>32</v>
      </c>
      <c r="B38" s="104" t="s">
        <v>639</v>
      </c>
      <c r="C38" s="807"/>
      <c r="D38" s="138" t="s">
        <v>320</v>
      </c>
      <c r="E38" s="139">
        <v>8</v>
      </c>
      <c r="F38" s="233" t="s">
        <v>323</v>
      </c>
      <c r="G38" s="227" t="s">
        <v>640</v>
      </c>
      <c r="H38" s="244"/>
      <c r="I38" s="142" t="s">
        <v>641</v>
      </c>
      <c r="J38" s="240"/>
    </row>
    <row r="39" spans="1:10" ht="12.75">
      <c r="A39" s="59">
        <v>33</v>
      </c>
      <c r="B39" s="104" t="s">
        <v>642</v>
      </c>
      <c r="C39" s="807"/>
      <c r="D39" s="138" t="s">
        <v>320</v>
      </c>
      <c r="E39" s="139">
        <v>30</v>
      </c>
      <c r="F39" s="233" t="s">
        <v>323</v>
      </c>
      <c r="G39" s="227" t="s">
        <v>327</v>
      </c>
      <c r="H39" s="244"/>
      <c r="I39" s="142" t="s">
        <v>328</v>
      </c>
      <c r="J39" s="240"/>
    </row>
    <row r="40" spans="1:10" ht="12.75">
      <c r="A40" s="59">
        <v>34</v>
      </c>
      <c r="B40" s="104" t="s">
        <v>643</v>
      </c>
      <c r="C40" s="807"/>
      <c r="D40" s="138" t="s">
        <v>320</v>
      </c>
      <c r="E40" s="139">
        <v>50</v>
      </c>
      <c r="F40" s="139" t="s">
        <v>323</v>
      </c>
      <c r="G40" s="141" t="str">
        <f>Lbl_N_TVA</f>
        <v>N. TVA</v>
      </c>
      <c r="H40" s="275">
        <f>IF(OR(Fld_Leg_Org_NTVA="",Fld_Leg_Org_NTVA=0),"",Fld_Leg_Org_NTVA)</f>
      </c>
      <c r="I40" s="132">
        <f>Fld_Leg_Org_NTVA</f>
        <v>0</v>
      </c>
      <c r="J40" s="319" t="s">
        <v>1175</v>
      </c>
    </row>
    <row r="41" spans="1:10" ht="12.75">
      <c r="A41" s="59">
        <v>35</v>
      </c>
      <c r="B41" s="104" t="s">
        <v>644</v>
      </c>
      <c r="C41" s="807"/>
      <c r="D41" s="138" t="s">
        <v>320</v>
      </c>
      <c r="E41" s="139">
        <v>50</v>
      </c>
      <c r="F41" s="233" t="s">
        <v>323</v>
      </c>
      <c r="G41" s="226" t="s">
        <v>332</v>
      </c>
      <c r="H41" s="218"/>
      <c r="J41" s="240"/>
    </row>
    <row r="42" spans="1:10" ht="12.75">
      <c r="A42" s="59">
        <v>36</v>
      </c>
      <c r="B42" s="104" t="s">
        <v>645</v>
      </c>
      <c r="C42" s="807"/>
      <c r="D42" s="138" t="s">
        <v>320</v>
      </c>
      <c r="E42" s="139">
        <v>100</v>
      </c>
      <c r="F42" s="139" t="s">
        <v>321</v>
      </c>
      <c r="G42" s="145" t="str">
        <f>Lbl_Adresse&amp;"1"</f>
        <v>Adresse1</v>
      </c>
      <c r="H42" s="243">
        <f>IF(OR(Fld_Leg_Org_Adresse1="",Fld_Leg_Org_Adresse1=0),"",Fld_Leg_Org_Adresse1)</f>
      </c>
      <c r="J42" s="319" t="s">
        <v>1175</v>
      </c>
    </row>
    <row r="43" spans="1:10" ht="12.75">
      <c r="A43" s="59">
        <v>37</v>
      </c>
      <c r="B43" s="104" t="s">
        <v>646</v>
      </c>
      <c r="C43" s="807"/>
      <c r="D43" s="138" t="s">
        <v>320</v>
      </c>
      <c r="E43" s="139">
        <v>100</v>
      </c>
      <c r="F43" s="139" t="s">
        <v>323</v>
      </c>
      <c r="G43" s="141" t="str">
        <f>Lbl_Adresse&amp;"2"</f>
        <v>Adresse2</v>
      </c>
      <c r="H43" s="154">
        <f>IF(OR(Fld_Leg_Org_Adresse2="",Fld_Leg_Org_Adresse2=0),"",Fld_Leg_Org_Adresse2)</f>
      </c>
      <c r="J43" s="319" t="s">
        <v>1175</v>
      </c>
    </row>
    <row r="44" spans="1:10" ht="12.75">
      <c r="A44" s="59">
        <v>38</v>
      </c>
      <c r="B44" s="104" t="s">
        <v>647</v>
      </c>
      <c r="C44" s="807"/>
      <c r="D44" s="138" t="s">
        <v>320</v>
      </c>
      <c r="E44" s="139">
        <v>50</v>
      </c>
      <c r="F44" s="139" t="s">
        <v>321</v>
      </c>
      <c r="G44" s="145" t="str">
        <f>Lbl_Ville</f>
        <v>Ville</v>
      </c>
      <c r="H44" s="243">
        <f>IF(OR(Fld_Leg_Org_Ville="",Fld_Leg_Org_Ville=0),"",Fld_Leg_Org_Ville)</f>
      </c>
      <c r="J44" s="319" t="s">
        <v>1175</v>
      </c>
    </row>
    <row r="45" spans="1:10" ht="12.75">
      <c r="A45" s="59">
        <v>39</v>
      </c>
      <c r="B45" s="104" t="s">
        <v>648</v>
      </c>
      <c r="C45" s="807"/>
      <c r="D45" s="138" t="s">
        <v>320</v>
      </c>
      <c r="E45" s="139">
        <v>50</v>
      </c>
      <c r="F45" s="233" t="s">
        <v>323</v>
      </c>
      <c r="G45" s="226" t="s">
        <v>649</v>
      </c>
      <c r="H45" s="218"/>
      <c r="J45" s="240"/>
    </row>
    <row r="46" spans="1:10" ht="12.75">
      <c r="A46" s="59">
        <v>40</v>
      </c>
      <c r="B46" s="104" t="s">
        <v>650</v>
      </c>
      <c r="C46" s="807"/>
      <c r="D46" s="138" t="s">
        <v>320</v>
      </c>
      <c r="E46" s="139">
        <v>20</v>
      </c>
      <c r="F46" s="139" t="s">
        <v>323</v>
      </c>
      <c r="G46" s="140" t="str">
        <f>Lbl_Code_postal</f>
        <v>Code postal</v>
      </c>
      <c r="H46" s="275">
        <f>IF(OR(Fld_Leg_Org_ZipCode="",Fld_Leg_Org_ZipCode=0),"",Fld_Leg_Org_ZipCode)</f>
      </c>
      <c r="J46" s="319" t="s">
        <v>1175</v>
      </c>
    </row>
    <row r="47" spans="1:10" ht="12.75">
      <c r="A47" s="59">
        <v>41</v>
      </c>
      <c r="B47" s="104" t="s">
        <v>651</v>
      </c>
      <c r="C47" s="807"/>
      <c r="D47" s="138" t="s">
        <v>320</v>
      </c>
      <c r="E47" s="139">
        <v>3</v>
      </c>
      <c r="F47" s="139" t="s">
        <v>321</v>
      </c>
      <c r="G47" s="145" t="str">
        <f>Lbl_Pays</f>
        <v>Pays</v>
      </c>
      <c r="H47" s="243">
        <f>IF(OR(Fld_Leg_Org_Pays="",Fld_Leg_Org_Pays=0),"",Fld_Leg_Org_Pays)</f>
      </c>
      <c r="J47" s="319" t="s">
        <v>1175</v>
      </c>
    </row>
    <row r="48" spans="1:10" ht="12.75">
      <c r="A48" s="59">
        <v>42</v>
      </c>
      <c r="B48" s="104" t="s">
        <v>652</v>
      </c>
      <c r="C48" s="807"/>
      <c r="D48" s="138" t="s">
        <v>320</v>
      </c>
      <c r="E48" s="139">
        <v>30</v>
      </c>
      <c r="F48" s="139" t="s">
        <v>323</v>
      </c>
      <c r="G48" s="140" t="str">
        <f>Lbl_Téléphone</f>
        <v>Téléphone</v>
      </c>
      <c r="H48" s="275">
        <f>IF(OR(Fld_Leg_Org_Tel="",Fld_Leg_Org_Tel=0),"",Fld_Leg_Org_Tel)</f>
      </c>
      <c r="J48" s="319" t="s">
        <v>1175</v>
      </c>
    </row>
    <row r="49" spans="1:10" ht="12.75">
      <c r="A49" s="59">
        <v>43</v>
      </c>
      <c r="B49" s="104" t="s">
        <v>653</v>
      </c>
      <c r="C49" s="807"/>
      <c r="D49" s="138" t="s">
        <v>320</v>
      </c>
      <c r="E49" s="139">
        <v>30</v>
      </c>
      <c r="F49" s="139" t="s">
        <v>323</v>
      </c>
      <c r="G49" s="140" t="str">
        <f>Lbl_Télécopieur</f>
        <v>Télécopieur</v>
      </c>
      <c r="H49" s="275">
        <f>IF(OR(Fld_Leg_Org_Fax="",Fld_Leg_Org_Fax=0),"",Fld_Leg_Org_Fax)</f>
      </c>
      <c r="J49" s="319" t="s">
        <v>1175</v>
      </c>
    </row>
    <row r="50" spans="1:10" ht="12.75">
      <c r="A50" s="59">
        <v>44</v>
      </c>
      <c r="B50" s="104" t="s">
        <v>1555</v>
      </c>
      <c r="C50" s="807"/>
      <c r="D50" s="138" t="s">
        <v>320</v>
      </c>
      <c r="E50" s="139">
        <v>100</v>
      </c>
      <c r="F50" s="233" t="s">
        <v>323</v>
      </c>
      <c r="G50" s="226" t="s">
        <v>442</v>
      </c>
      <c r="H50" s="244"/>
      <c r="J50" s="240"/>
    </row>
    <row r="51" spans="1:10" ht="13.5" thickBot="1">
      <c r="A51" s="59">
        <v>45</v>
      </c>
      <c r="B51" s="104" t="s">
        <v>443</v>
      </c>
      <c r="C51" s="808"/>
      <c r="D51" s="138" t="s">
        <v>320</v>
      </c>
      <c r="E51" s="139">
        <v>100</v>
      </c>
      <c r="F51" s="233" t="s">
        <v>323</v>
      </c>
      <c r="G51" s="226" t="s">
        <v>444</v>
      </c>
      <c r="H51" s="248"/>
      <c r="J51" s="240"/>
    </row>
    <row r="52" spans="1:10" ht="12.75" customHeight="1">
      <c r="A52" s="59">
        <v>46</v>
      </c>
      <c r="B52" s="104" t="s">
        <v>445</v>
      </c>
      <c r="C52" s="806" t="s">
        <v>446</v>
      </c>
      <c r="D52" s="135" t="s">
        <v>320</v>
      </c>
      <c r="E52" s="136">
        <v>255</v>
      </c>
      <c r="F52" s="136" t="s">
        <v>321</v>
      </c>
      <c r="G52" s="144" t="str">
        <f>Lbl_Nom</f>
        <v>Nom</v>
      </c>
      <c r="H52" s="153">
        <f>IF(ISBLANK(Fld_BankName),"",Fld_BankName)</f>
      </c>
      <c r="J52" s="319" t="s">
        <v>1175</v>
      </c>
    </row>
    <row r="53" spans="1:10" ht="12.75">
      <c r="A53" s="59">
        <v>47</v>
      </c>
      <c r="B53" s="104" t="s">
        <v>447</v>
      </c>
      <c r="C53" s="807"/>
      <c r="D53" s="138" t="s">
        <v>320</v>
      </c>
      <c r="E53" s="139">
        <v>20</v>
      </c>
      <c r="F53" s="233" t="s">
        <v>323</v>
      </c>
      <c r="G53" s="226" t="s">
        <v>448</v>
      </c>
      <c r="H53" s="244"/>
      <c r="J53" s="240"/>
    </row>
    <row r="54" spans="1:10" ht="12.75">
      <c r="A54" s="59">
        <v>48</v>
      </c>
      <c r="B54" s="104" t="s">
        <v>449</v>
      </c>
      <c r="C54" s="807"/>
      <c r="D54" s="138" t="s">
        <v>320</v>
      </c>
      <c r="E54" s="139">
        <v>100</v>
      </c>
      <c r="F54" s="233" t="s">
        <v>323</v>
      </c>
      <c r="G54" s="226" t="s">
        <v>450</v>
      </c>
      <c r="H54" s="244"/>
      <c r="J54" s="240"/>
    </row>
    <row r="55" spans="1:10" ht="12.75">
      <c r="A55" s="59">
        <v>49</v>
      </c>
      <c r="B55" s="104" t="s">
        <v>451</v>
      </c>
      <c r="C55" s="807"/>
      <c r="D55" s="138" t="s">
        <v>320</v>
      </c>
      <c r="E55" s="139">
        <v>100</v>
      </c>
      <c r="F55" s="139" t="s">
        <v>321</v>
      </c>
      <c r="G55" s="145" t="str">
        <f>Lbl_Adresse</f>
        <v>Adresse</v>
      </c>
      <c r="H55" s="243">
        <f>IF(ISBLANK(Fld_BankAddress),"",Fld_BankAddress)</f>
      </c>
      <c r="J55" s="319" t="s">
        <v>1175</v>
      </c>
    </row>
    <row r="56" spans="1:10" ht="12.75">
      <c r="A56" s="59">
        <v>50</v>
      </c>
      <c r="B56" s="104" t="s">
        <v>452</v>
      </c>
      <c r="C56" s="807"/>
      <c r="D56" s="138" t="s">
        <v>320</v>
      </c>
      <c r="E56" s="139">
        <v>100</v>
      </c>
      <c r="F56" s="233" t="s">
        <v>323</v>
      </c>
      <c r="G56" s="227" t="s">
        <v>453</v>
      </c>
      <c r="H56" s="218"/>
      <c r="J56" s="240"/>
    </row>
    <row r="57" spans="1:10" ht="12.75">
      <c r="A57" s="59">
        <v>51</v>
      </c>
      <c r="B57" s="104" t="s">
        <v>454</v>
      </c>
      <c r="C57" s="807"/>
      <c r="D57" s="138" t="s">
        <v>320</v>
      </c>
      <c r="E57" s="139">
        <v>20</v>
      </c>
      <c r="F57" s="139" t="s">
        <v>323</v>
      </c>
      <c r="G57" s="140" t="str">
        <f>Lbl_Banque_Code_postal</f>
        <v>Code postal</v>
      </c>
      <c r="H57" s="275">
        <f>IF(ISBLANK(Fld_Bank_CodePostal),"",Fld_Bank_CodePostal)</f>
      </c>
      <c r="J57" s="319" t="s">
        <v>1175</v>
      </c>
    </row>
    <row r="58" spans="1:10" ht="12.75">
      <c r="A58" s="59">
        <v>52</v>
      </c>
      <c r="B58" s="104" t="s">
        <v>1342</v>
      </c>
      <c r="C58" s="807"/>
      <c r="D58" s="138" t="s">
        <v>320</v>
      </c>
      <c r="E58" s="139">
        <v>50</v>
      </c>
      <c r="F58" s="139" t="s">
        <v>321</v>
      </c>
      <c r="G58" s="145" t="str">
        <f>Lbl_Banque_Commune_Ville</f>
        <v>Commune/Ville</v>
      </c>
      <c r="H58" s="243">
        <f>IF(ISBLANK(Fld_BankVille),"",Fld_BankVille)</f>
      </c>
      <c r="J58" s="319" t="s">
        <v>1175</v>
      </c>
    </row>
    <row r="59" spans="1:10" ht="12.75">
      <c r="A59" s="59">
        <v>53</v>
      </c>
      <c r="B59" s="104" t="s">
        <v>1343</v>
      </c>
      <c r="C59" s="807"/>
      <c r="D59" s="138" t="s">
        <v>320</v>
      </c>
      <c r="E59" s="139">
        <v>3</v>
      </c>
      <c r="F59" s="139" t="s">
        <v>321</v>
      </c>
      <c r="G59" s="145" t="str">
        <f>Lbl_Pays</f>
        <v>Pays</v>
      </c>
      <c r="H59" s="243">
        <f>IF(OR(Fld_Bank_Pays="",Fld_Bank_Pays=0),"",Fld_Bank_Pays)</f>
      </c>
      <c r="I59" s="142"/>
      <c r="J59" s="319" t="s">
        <v>1175</v>
      </c>
    </row>
    <row r="60" spans="1:10" ht="12.75">
      <c r="A60" s="59">
        <v>54</v>
      </c>
      <c r="B60" s="104" t="s">
        <v>1344</v>
      </c>
      <c r="C60" s="807"/>
      <c r="D60" s="138" t="s">
        <v>320</v>
      </c>
      <c r="E60" s="139">
        <v>50</v>
      </c>
      <c r="F60" s="139" t="s">
        <v>321</v>
      </c>
      <c r="G60" s="145" t="str">
        <f>Lbl_N_Compte</f>
        <v>Compte bancaire no.</v>
      </c>
      <c r="H60" s="276">
        <f>IF(ISBLANK(Fld_N_Compte),"",Fld_N_Compte)</f>
      </c>
      <c r="J60" s="319" t="s">
        <v>1175</v>
      </c>
    </row>
    <row r="61" spans="1:10" ht="12.75">
      <c r="A61" s="59">
        <v>55</v>
      </c>
      <c r="B61" s="104" t="s">
        <v>1577</v>
      </c>
      <c r="C61" s="807"/>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1175</v>
      </c>
    </row>
    <row r="62" spans="1:10" ht="12.75">
      <c r="A62" s="59">
        <v>56</v>
      </c>
      <c r="B62" s="104" t="s">
        <v>1578</v>
      </c>
      <c r="C62" s="807"/>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1175</v>
      </c>
    </row>
    <row r="63" spans="1:10" ht="12.75">
      <c r="A63" s="59">
        <v>57</v>
      </c>
      <c r="B63" s="104" t="s">
        <v>1579</v>
      </c>
      <c r="C63" s="807"/>
      <c r="D63" s="138" t="s">
        <v>320</v>
      </c>
      <c r="E63" s="139">
        <v>20</v>
      </c>
      <c r="F63" s="139" t="s">
        <v>323</v>
      </c>
      <c r="G63" s="141" t="str">
        <f>Lbl_N_Compte&amp;" part 3"</f>
        <v>Compte bancaire no. part 3</v>
      </c>
      <c r="H63" s="274">
        <f>Fld_Bank_DE3&amp;Fld_Bank_ES3&amp;Fld_Bank_FR3&amp;Fld_Bank_IRL3&amp;Fld_Bank_PT3&amp;Fld_Bank_UK3</f>
      </c>
      <c r="J63" s="317" t="s">
        <v>1175</v>
      </c>
    </row>
    <row r="64" spans="1:10" ht="12.75">
      <c r="A64" s="59">
        <v>58</v>
      </c>
      <c r="B64" s="104" t="s">
        <v>1580</v>
      </c>
      <c r="C64" s="807"/>
      <c r="D64" s="138" t="s">
        <v>320</v>
      </c>
      <c r="E64" s="139">
        <v>20</v>
      </c>
      <c r="F64" s="139" t="s">
        <v>323</v>
      </c>
      <c r="G64" s="141" t="str">
        <f>Lbl_N_Compte&amp;" part 4"</f>
        <v>Compte bancaire no. part 4</v>
      </c>
      <c r="H64" s="274"/>
      <c r="J64" s="317" t="s">
        <v>1175</v>
      </c>
    </row>
    <row r="65" spans="1:10" ht="12.75">
      <c r="A65" s="59">
        <v>59</v>
      </c>
      <c r="B65" s="104" t="s">
        <v>1581</v>
      </c>
      <c r="C65" s="807"/>
      <c r="D65" s="138" t="s">
        <v>320</v>
      </c>
      <c r="E65" s="139">
        <v>10</v>
      </c>
      <c r="F65" s="139" t="s">
        <v>323</v>
      </c>
      <c r="G65" s="140" t="str">
        <f>Lbl_IBAN</f>
        <v>IBAN (Optionnel)</v>
      </c>
      <c r="H65" s="274">
        <f>IF(ISBLANK(Fld_Swift),"",Fld_Swift)</f>
      </c>
      <c r="J65" s="317" t="s">
        <v>1175</v>
      </c>
    </row>
    <row r="66" spans="1:10" ht="13.5" thickBot="1">
      <c r="A66" s="59">
        <v>60</v>
      </c>
      <c r="B66" s="104" t="s">
        <v>1582</v>
      </c>
      <c r="C66" s="808"/>
      <c r="D66" s="146" t="s">
        <v>320</v>
      </c>
      <c r="E66" s="147">
        <v>50</v>
      </c>
      <c r="F66" s="147" t="s">
        <v>321</v>
      </c>
      <c r="G66" s="148" t="str">
        <f>Lbl_Devise</f>
        <v>Devise du compte</v>
      </c>
      <c r="H66" s="245">
        <f>IF(ISBLANK(Fld_Devise),"",Fld_Devise)</f>
      </c>
      <c r="I66" s="142" t="s">
        <v>1583</v>
      </c>
      <c r="J66" s="319" t="s">
        <v>1175</v>
      </c>
    </row>
    <row r="67" spans="1:10" ht="12.75" customHeight="1">
      <c r="A67" s="59">
        <v>61</v>
      </c>
      <c r="B67" s="104" t="s">
        <v>1584</v>
      </c>
      <c r="C67" s="806" t="s">
        <v>1585</v>
      </c>
      <c r="D67" s="135" t="s">
        <v>320</v>
      </c>
      <c r="E67" s="136">
        <v>100</v>
      </c>
      <c r="F67" s="136" t="s">
        <v>323</v>
      </c>
      <c r="G67" s="163" t="str">
        <f>Lbl_Nom_ou_raison_sociale</f>
        <v>Nom ou raison sociale</v>
      </c>
      <c r="H67" s="153">
        <f>IF(OR(Fld_Compte_nom="",Fld_Compte_nom=0),"",Fld_Compte_nom)</f>
      </c>
      <c r="J67" s="319" t="s">
        <v>1175</v>
      </c>
    </row>
    <row r="68" spans="1:10" ht="12.75">
      <c r="A68" s="59">
        <v>62</v>
      </c>
      <c r="B68" s="104" t="s">
        <v>1586</v>
      </c>
      <c r="C68" s="807"/>
      <c r="D68" s="138" t="s">
        <v>320</v>
      </c>
      <c r="E68" s="139">
        <v>20</v>
      </c>
      <c r="F68" s="139" t="s">
        <v>321</v>
      </c>
      <c r="G68" s="145" t="str">
        <f>Lbl_Titre&amp;" (Mr, Mme,…)"</f>
        <v>Titre (Mr, Mme,…)</v>
      </c>
      <c r="H68" s="243">
        <f>IF(OR(Fld_Cpt_TitreContact="",Fld_Cpt_TitreContact=0),"",Fld_Cpt_TitreContact)</f>
      </c>
      <c r="I68" s="142" t="s">
        <v>605</v>
      </c>
      <c r="J68" s="319" t="s">
        <v>1175</v>
      </c>
    </row>
    <row r="69" spans="1:10" ht="12.75">
      <c r="A69" s="59">
        <v>63</v>
      </c>
      <c r="B69" s="104" t="s">
        <v>1587</v>
      </c>
      <c r="C69" s="807"/>
      <c r="D69" s="138" t="s">
        <v>320</v>
      </c>
      <c r="E69" s="139">
        <v>80</v>
      </c>
      <c r="F69" s="139" t="s">
        <v>321</v>
      </c>
      <c r="G69" s="145" t="str">
        <f>Lbl_Nom</f>
        <v>Nom</v>
      </c>
      <c r="H69" s="243">
        <f>IF(OR(Fld_Cpt_ContactNom="",Fld_Cpt_ContactNom=0),"",Fld_Cpt_ContactNom)</f>
      </c>
      <c r="J69" s="319" t="s">
        <v>1175</v>
      </c>
    </row>
    <row r="70" spans="1:10" ht="12.75">
      <c r="A70" s="59">
        <v>64</v>
      </c>
      <c r="B70" s="104" t="s">
        <v>1588</v>
      </c>
      <c r="C70" s="807"/>
      <c r="D70" s="138" t="s">
        <v>320</v>
      </c>
      <c r="E70" s="139">
        <v>50</v>
      </c>
      <c r="F70" s="139" t="s">
        <v>323</v>
      </c>
      <c r="G70" s="140" t="str">
        <f>Lbl_Prénom</f>
        <v>Prénom</v>
      </c>
      <c r="H70" s="154">
        <f>IF(OR(Fld_Cpt_ContactPrenom="",Fld_Cpt_ContactPrenom=0),"",Fld_Cpt_ContactPrenom)</f>
      </c>
      <c r="J70" s="319" t="s">
        <v>1175</v>
      </c>
    </row>
    <row r="71" spans="1:10" ht="12.75">
      <c r="A71" s="59">
        <v>65</v>
      </c>
      <c r="B71" s="104" t="s">
        <v>1589</v>
      </c>
      <c r="C71" s="807"/>
      <c r="D71" s="138" t="s">
        <v>320</v>
      </c>
      <c r="E71" s="139">
        <v>3</v>
      </c>
      <c r="F71" s="233" t="s">
        <v>323</v>
      </c>
      <c r="G71" s="227" t="s">
        <v>1590</v>
      </c>
      <c r="H71" s="244"/>
      <c r="I71" s="142" t="s">
        <v>824</v>
      </c>
      <c r="J71" s="240"/>
    </row>
    <row r="72" spans="1:10" ht="12.75">
      <c r="A72" s="59">
        <v>66</v>
      </c>
      <c r="B72" s="104" t="s">
        <v>1591</v>
      </c>
      <c r="C72" s="807"/>
      <c r="D72" s="138" t="s">
        <v>320</v>
      </c>
      <c r="E72" s="139">
        <v>50</v>
      </c>
      <c r="F72" s="233" t="s">
        <v>323</v>
      </c>
      <c r="G72" s="226" t="s">
        <v>1416</v>
      </c>
      <c r="H72" s="244"/>
      <c r="J72" s="240"/>
    </row>
    <row r="73" spans="1:10" ht="12.75">
      <c r="A73" s="59">
        <v>67</v>
      </c>
      <c r="B73" s="104" t="s">
        <v>1417</v>
      </c>
      <c r="C73" s="807"/>
      <c r="D73" s="138" t="s">
        <v>320</v>
      </c>
      <c r="E73" s="139">
        <v>50</v>
      </c>
      <c r="F73" s="233" t="s">
        <v>323</v>
      </c>
      <c r="G73" s="227" t="s">
        <v>1418</v>
      </c>
      <c r="H73" s="247"/>
      <c r="I73" s="142" t="s">
        <v>107</v>
      </c>
      <c r="J73" s="240"/>
    </row>
    <row r="74" spans="1:10" ht="12.75">
      <c r="A74" s="59">
        <v>68</v>
      </c>
      <c r="B74" s="104" t="s">
        <v>1419</v>
      </c>
      <c r="C74" s="807"/>
      <c r="D74" s="138" t="s">
        <v>320</v>
      </c>
      <c r="E74" s="139">
        <v>1</v>
      </c>
      <c r="F74" s="139" t="s">
        <v>321</v>
      </c>
      <c r="G74" s="145" t="str">
        <f>Lbl_Contact_Sexe&amp;" (M / F)"</f>
        <v>Genre (M / F)</v>
      </c>
      <c r="H74" s="243">
        <f>IF(OR(Fld_Cpt_Contactgenre="",Fld_Cpt_Contactgenre=0),"",Fld_Cpt_Contactgenre)</f>
      </c>
      <c r="I74" s="142" t="s">
        <v>1931</v>
      </c>
      <c r="J74" s="319" t="s">
        <v>1175</v>
      </c>
    </row>
    <row r="75" spans="1:10" ht="12.75">
      <c r="A75" s="59">
        <v>69</v>
      </c>
      <c r="B75" s="104" t="s">
        <v>1420</v>
      </c>
      <c r="C75" s="807"/>
      <c r="D75" s="138" t="s">
        <v>320</v>
      </c>
      <c r="E75" s="139">
        <v>2</v>
      </c>
      <c r="F75" s="139" t="s">
        <v>321</v>
      </c>
      <c r="G75" s="145" t="str">
        <f>Lbl_Contact_LNG</f>
        <v>Langue</v>
      </c>
      <c r="H75" s="243">
        <f>IF(OR(Fld_Cpt_ContactLangue="",Fld_Cpt_ContactLangue=0),"",Fld_Cpt_ContactLangue)</f>
      </c>
      <c r="I75" s="142" t="s">
        <v>109</v>
      </c>
      <c r="J75" s="319" t="s">
        <v>1175</v>
      </c>
    </row>
    <row r="76" spans="1:10" ht="12.75">
      <c r="A76" s="59">
        <v>70</v>
      </c>
      <c r="B76" s="104" t="s">
        <v>1421</v>
      </c>
      <c r="C76" s="807"/>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1175</v>
      </c>
    </row>
    <row r="77" spans="1:10" ht="12.75">
      <c r="A77" s="59">
        <v>71</v>
      </c>
      <c r="B77" s="104" t="s">
        <v>1422</v>
      </c>
      <c r="C77" s="807"/>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1175</v>
      </c>
    </row>
    <row r="78" spans="1:10" ht="12.75">
      <c r="A78" s="59">
        <v>72</v>
      </c>
      <c r="B78" s="104" t="s">
        <v>1423</v>
      </c>
      <c r="C78" s="807"/>
      <c r="D78" s="138" t="s">
        <v>320</v>
      </c>
      <c r="E78" s="139">
        <v>100</v>
      </c>
      <c r="F78" s="233" t="s">
        <v>323</v>
      </c>
      <c r="G78" s="226" t="s">
        <v>608</v>
      </c>
      <c r="H78" s="244"/>
      <c r="J78" s="240"/>
    </row>
    <row r="79" spans="1:10" ht="12.75">
      <c r="A79" s="59">
        <v>73</v>
      </c>
      <c r="B79" s="104" t="s">
        <v>1424</v>
      </c>
      <c r="C79" s="807"/>
      <c r="D79" s="138" t="s">
        <v>320</v>
      </c>
      <c r="E79" s="139">
        <v>20</v>
      </c>
      <c r="F79" s="233" t="s">
        <v>323</v>
      </c>
      <c r="G79" s="226" t="s">
        <v>609</v>
      </c>
      <c r="H79" s="244"/>
      <c r="J79" s="240"/>
    </row>
    <row r="80" spans="1:10" ht="12.75">
      <c r="A80" s="59">
        <v>74</v>
      </c>
      <c r="B80" s="104" t="s">
        <v>1425</v>
      </c>
      <c r="C80" s="807"/>
      <c r="D80" s="138" t="s">
        <v>320</v>
      </c>
      <c r="E80" s="139">
        <v>8</v>
      </c>
      <c r="F80" s="233" t="s">
        <v>323</v>
      </c>
      <c r="G80" s="227" t="s">
        <v>1426</v>
      </c>
      <c r="H80" s="244"/>
      <c r="I80" s="142" t="s">
        <v>641</v>
      </c>
      <c r="J80" s="240"/>
    </row>
    <row r="81" spans="1:10" ht="12.75">
      <c r="A81" s="59">
        <v>75</v>
      </c>
      <c r="B81" s="104" t="s">
        <v>1427</v>
      </c>
      <c r="C81" s="807"/>
      <c r="D81" s="138" t="s">
        <v>320</v>
      </c>
      <c r="E81" s="139">
        <v>30</v>
      </c>
      <c r="F81" s="233" t="s">
        <v>323</v>
      </c>
      <c r="G81" s="227" t="s">
        <v>327</v>
      </c>
      <c r="H81" s="244"/>
      <c r="I81" s="142" t="s">
        <v>328</v>
      </c>
      <c r="J81" s="240"/>
    </row>
    <row r="82" spans="1:10" ht="12.75">
      <c r="A82" s="59">
        <v>76</v>
      </c>
      <c r="B82" s="104" t="s">
        <v>1428</v>
      </c>
      <c r="C82" s="807"/>
      <c r="D82" s="138" t="s">
        <v>320</v>
      </c>
      <c r="E82" s="139">
        <v>50</v>
      </c>
      <c r="F82" s="139" t="s">
        <v>323</v>
      </c>
      <c r="G82" s="141" t="str">
        <f>Lbl_N_TVA</f>
        <v>N. TVA</v>
      </c>
      <c r="H82" s="275">
        <f>IF(OR(Fld_Cpt_ContactTVA="",Fld_Cpt_ContactTVA=0),"",Fld_Cpt_ContactTVA)</f>
      </c>
      <c r="J82" s="319" t="s">
        <v>1175</v>
      </c>
    </row>
    <row r="83" spans="1:10" ht="12.75">
      <c r="A83" s="59">
        <v>77</v>
      </c>
      <c r="B83" s="104" t="s">
        <v>1429</v>
      </c>
      <c r="C83" s="807"/>
      <c r="D83" s="138" t="s">
        <v>320</v>
      </c>
      <c r="E83" s="139">
        <v>50</v>
      </c>
      <c r="F83" s="233" t="s">
        <v>323</v>
      </c>
      <c r="G83" s="226" t="s">
        <v>332</v>
      </c>
      <c r="H83" s="218"/>
      <c r="J83" s="240"/>
    </row>
    <row r="84" spans="1:10" ht="12.75">
      <c r="A84" s="59">
        <v>78</v>
      </c>
      <c r="B84" s="104" t="s">
        <v>1430</v>
      </c>
      <c r="C84" s="807"/>
      <c r="D84" s="138" t="s">
        <v>320</v>
      </c>
      <c r="E84" s="139">
        <v>100</v>
      </c>
      <c r="F84" s="139" t="s">
        <v>321</v>
      </c>
      <c r="G84" s="145" t="str">
        <f>Lbl_Adresse&amp;"1"</f>
        <v>Adresse1</v>
      </c>
      <c r="H84" s="243">
        <f>IF(OR(Fld_Cpt_Address1="",Fld_Cpt_Address1=0),"",Fld_Cpt_Address1)</f>
      </c>
      <c r="J84" s="319" t="s">
        <v>1175</v>
      </c>
    </row>
    <row r="85" spans="1:10" ht="12.75">
      <c r="A85" s="59">
        <v>79</v>
      </c>
      <c r="B85" s="104" t="s">
        <v>1431</v>
      </c>
      <c r="C85" s="807"/>
      <c r="D85" s="138" t="s">
        <v>320</v>
      </c>
      <c r="E85" s="139">
        <v>100</v>
      </c>
      <c r="F85" s="139" t="s">
        <v>323</v>
      </c>
      <c r="G85" s="140" t="str">
        <f>Lbl_Adresse&amp;"2"</f>
        <v>Adresse2</v>
      </c>
      <c r="H85" s="154">
        <f>IF(OR(Fld_Cpt_Address2="",Fld_Cpt_Address2=0),"",Fld_Cpt_Address2)</f>
      </c>
      <c r="J85" s="319" t="s">
        <v>1175</v>
      </c>
    </row>
    <row r="86" spans="1:10" ht="12.75">
      <c r="A86" s="59">
        <v>80</v>
      </c>
      <c r="B86" s="104" t="s">
        <v>1432</v>
      </c>
      <c r="C86" s="807"/>
      <c r="D86" s="138" t="s">
        <v>320</v>
      </c>
      <c r="E86" s="139">
        <v>20</v>
      </c>
      <c r="F86" s="139" t="s">
        <v>323</v>
      </c>
      <c r="G86" s="140" t="str">
        <f>Lbl_Banque_Code_postal</f>
        <v>Code postal</v>
      </c>
      <c r="H86" s="275">
        <f>IF(OR(Fld_Cpt_CodePostal="",Fld_Cpt_CodePostal=0),"",Fld_Cpt_CodePostal)</f>
      </c>
      <c r="J86" s="319" t="s">
        <v>1175</v>
      </c>
    </row>
    <row r="87" spans="1:10" ht="12.75">
      <c r="A87" s="59">
        <v>81</v>
      </c>
      <c r="B87" s="104" t="s">
        <v>1433</v>
      </c>
      <c r="C87" s="807"/>
      <c r="D87" s="138" t="s">
        <v>320</v>
      </c>
      <c r="E87" s="139">
        <v>50</v>
      </c>
      <c r="F87" s="139" t="s">
        <v>321</v>
      </c>
      <c r="G87" s="145" t="str">
        <f>Lbl_Banque_Commune_Ville</f>
        <v>Commune/Ville</v>
      </c>
      <c r="H87" s="243">
        <f>IF(OR(Fld_Cpt_Ville="",Fld_Cpt_Ville=0),"",Fld_Cpt_Ville)</f>
      </c>
      <c r="J87" s="319" t="s">
        <v>1175</v>
      </c>
    </row>
    <row r="88" spans="1:10" ht="12.75">
      <c r="A88" s="59">
        <v>82</v>
      </c>
      <c r="B88" s="104" t="s">
        <v>1434</v>
      </c>
      <c r="C88" s="807"/>
      <c r="D88" s="138" t="s">
        <v>320</v>
      </c>
      <c r="E88" s="139">
        <v>3</v>
      </c>
      <c r="F88" s="139" t="s">
        <v>321</v>
      </c>
      <c r="G88" s="145" t="str">
        <f>Lbl_Pays</f>
        <v>Pays</v>
      </c>
      <c r="H88" s="243">
        <f>IF(OR(Fld_Cpt_Pays="",Fld_Cpt_Pays=0),"",Fld_Cpt_Pays)</f>
      </c>
      <c r="I88" s="142" t="s">
        <v>1021</v>
      </c>
      <c r="J88" s="319" t="s">
        <v>1175</v>
      </c>
    </row>
    <row r="89" spans="1:10" ht="12.75">
      <c r="A89" s="59">
        <v>83</v>
      </c>
      <c r="B89" s="104" t="s">
        <v>1022</v>
      </c>
      <c r="C89" s="807"/>
      <c r="D89" s="138" t="s">
        <v>320</v>
      </c>
      <c r="E89" s="139">
        <v>50</v>
      </c>
      <c r="F89" s="233" t="s">
        <v>323</v>
      </c>
      <c r="G89" s="226" t="s">
        <v>649</v>
      </c>
      <c r="H89" s="244"/>
      <c r="J89" s="240"/>
    </row>
    <row r="90" spans="1:10" ht="12.75">
      <c r="A90" s="59">
        <v>84</v>
      </c>
      <c r="B90" s="104" t="s">
        <v>1023</v>
      </c>
      <c r="C90" s="807"/>
      <c r="D90" s="138" t="s">
        <v>320</v>
      </c>
      <c r="E90" s="139">
        <v>30</v>
      </c>
      <c r="F90" s="233" t="s">
        <v>323</v>
      </c>
      <c r="G90" s="227" t="s">
        <v>1526</v>
      </c>
      <c r="H90" s="247"/>
      <c r="J90" s="240"/>
    </row>
    <row r="91" spans="1:10" ht="12.75">
      <c r="A91" s="59">
        <v>85</v>
      </c>
      <c r="B91" s="104" t="s">
        <v>1022</v>
      </c>
      <c r="C91" s="807"/>
      <c r="D91" s="138" t="s">
        <v>320</v>
      </c>
      <c r="E91" s="139">
        <v>30</v>
      </c>
      <c r="F91" s="233" t="s">
        <v>323</v>
      </c>
      <c r="G91" s="226" t="s">
        <v>1527</v>
      </c>
      <c r="H91" s="244"/>
      <c r="J91" s="240"/>
    </row>
    <row r="92" spans="1:10" ht="12.75">
      <c r="A92" s="59">
        <v>86</v>
      </c>
      <c r="B92" s="104" t="s">
        <v>1024</v>
      </c>
      <c r="C92" s="807"/>
      <c r="D92" s="138" t="s">
        <v>320</v>
      </c>
      <c r="E92" s="139">
        <v>100</v>
      </c>
      <c r="F92" s="233" t="s">
        <v>323</v>
      </c>
      <c r="G92" s="226" t="s">
        <v>1528</v>
      </c>
      <c r="H92" s="244"/>
      <c r="J92" s="240"/>
    </row>
    <row r="93" spans="1:10" ht="12.75" customHeight="1" thickBot="1">
      <c r="A93" s="59">
        <v>87</v>
      </c>
      <c r="B93" s="104" t="s">
        <v>1718</v>
      </c>
      <c r="C93" s="808"/>
      <c r="D93" s="146" t="s">
        <v>320</v>
      </c>
      <c r="E93" s="147">
        <v>100</v>
      </c>
      <c r="F93" s="235" t="s">
        <v>323</v>
      </c>
      <c r="G93" s="228" t="s">
        <v>1782</v>
      </c>
      <c r="H93" s="248"/>
      <c r="J93" s="241"/>
    </row>
    <row r="94" spans="1:11" ht="12.75" customHeight="1">
      <c r="A94" s="59">
        <v>115</v>
      </c>
      <c r="B94" s="104" t="s">
        <v>196</v>
      </c>
      <c r="C94" s="814" t="s">
        <v>197</v>
      </c>
      <c r="D94" s="135" t="s">
        <v>320</v>
      </c>
      <c r="E94" s="136">
        <v>20</v>
      </c>
      <c r="F94" s="136" t="s">
        <v>321</v>
      </c>
      <c r="G94" s="150" t="str">
        <f>Lbl_Titre&amp;" (Mr, Mme,…)"</f>
        <v>Titre (Mr, Mme,…)</v>
      </c>
      <c r="H94" s="153">
        <f>IF(OR(Fld_CHP_Titre="",Fld_CHP_Titre=0),"",Fld_CHP_Titre)</f>
      </c>
      <c r="I94" s="142" t="s">
        <v>605</v>
      </c>
      <c r="J94" s="319" t="s">
        <v>1175</v>
      </c>
      <c r="K94" s="177">
        <v>1</v>
      </c>
    </row>
    <row r="95" spans="1:10" ht="12.75">
      <c r="A95" s="59">
        <v>116</v>
      </c>
      <c r="B95" s="104" t="s">
        <v>198</v>
      </c>
      <c r="C95" s="815"/>
      <c r="D95" s="138" t="s">
        <v>320</v>
      </c>
      <c r="E95" s="139">
        <v>80</v>
      </c>
      <c r="F95" s="139" t="s">
        <v>321</v>
      </c>
      <c r="G95" s="151" t="str">
        <f>Lbl_Nom</f>
        <v>Nom</v>
      </c>
      <c r="H95" s="243">
        <f>IF(OR(Fld_CHP_Nom="",Fld_CHP_Nom=0),"",Fld_CHP_Nom)</f>
      </c>
      <c r="J95" s="319" t="s">
        <v>1175</v>
      </c>
    </row>
    <row r="96" spans="1:10" ht="12.75">
      <c r="A96" s="59">
        <v>117</v>
      </c>
      <c r="B96" s="104" t="s">
        <v>199</v>
      </c>
      <c r="C96" s="815"/>
      <c r="D96" s="138" t="s">
        <v>320</v>
      </c>
      <c r="E96" s="139">
        <v>50</v>
      </c>
      <c r="F96" s="139" t="s">
        <v>323</v>
      </c>
      <c r="G96" s="140" t="str">
        <f>Lbl_Prénom</f>
        <v>Prénom</v>
      </c>
      <c r="H96" s="154">
        <f>IF(OR(Fld_CHP_Prenom="",Fld_CHP_Prenom=0),"",Fld_CHP_Prenom)</f>
      </c>
      <c r="J96" s="319" t="s">
        <v>1175</v>
      </c>
    </row>
    <row r="97" spans="1:10" ht="12.75">
      <c r="A97" s="59">
        <v>118</v>
      </c>
      <c r="B97" s="104" t="s">
        <v>200</v>
      </c>
      <c r="C97" s="815"/>
      <c r="D97" s="138" t="s">
        <v>320</v>
      </c>
      <c r="E97" s="139">
        <v>1</v>
      </c>
      <c r="F97" s="139" t="s">
        <v>321</v>
      </c>
      <c r="G97" s="151" t="str">
        <f>Lbl_Contact_Sexe&amp;" (M / F)"</f>
        <v>Genre (M / F)</v>
      </c>
      <c r="H97" s="243">
        <f>IF(OR(Fld_CHP_Genre="",Fld_CHP_Genre=0),"",Fld_CHP_Genre)</f>
      </c>
      <c r="I97" s="142" t="s">
        <v>1931</v>
      </c>
      <c r="J97" s="319" t="s">
        <v>1175</v>
      </c>
    </row>
    <row r="98" spans="1:10" ht="12.75">
      <c r="A98" s="59">
        <v>119</v>
      </c>
      <c r="B98" s="104" t="s">
        <v>202</v>
      </c>
      <c r="C98" s="815"/>
      <c r="D98" s="138" t="s">
        <v>320</v>
      </c>
      <c r="E98" s="139">
        <v>3</v>
      </c>
      <c r="F98" s="233" t="s">
        <v>323</v>
      </c>
      <c r="G98" s="227" t="s">
        <v>203</v>
      </c>
      <c r="H98" s="244"/>
      <c r="I98" s="142" t="s">
        <v>824</v>
      </c>
      <c r="J98" s="240"/>
    </row>
    <row r="99" spans="1:10" ht="12.75">
      <c r="A99" s="59">
        <v>120</v>
      </c>
      <c r="B99" s="104" t="s">
        <v>204</v>
      </c>
      <c r="C99" s="815"/>
      <c r="D99" s="138" t="s">
        <v>320</v>
      </c>
      <c r="E99" s="139">
        <v>50</v>
      </c>
      <c r="F99" s="233" t="s">
        <v>323</v>
      </c>
      <c r="G99" s="226" t="s">
        <v>1560</v>
      </c>
      <c r="H99" s="244"/>
      <c r="J99" s="240"/>
    </row>
    <row r="100" spans="1:10" ht="12.75">
      <c r="A100" s="59">
        <v>121</v>
      </c>
      <c r="B100" s="104" t="s">
        <v>1561</v>
      </c>
      <c r="C100" s="815"/>
      <c r="D100" s="138" t="s">
        <v>320</v>
      </c>
      <c r="E100" s="139">
        <v>50</v>
      </c>
      <c r="F100" s="139" t="s">
        <v>323</v>
      </c>
      <c r="G100" s="141" t="str">
        <f>Lbl_Fonction</f>
        <v>Fonction</v>
      </c>
      <c r="H100" s="154">
        <f>IF(OR(Fld_CHP_Fonction="",Fld_CHP_Fonction=0),"",Fld_CHP_Fonction)</f>
      </c>
      <c r="I100" s="142" t="s">
        <v>107</v>
      </c>
      <c r="J100" s="319" t="s">
        <v>1175</v>
      </c>
    </row>
    <row r="101" spans="1:10" ht="12.75">
      <c r="A101" s="59">
        <v>122</v>
      </c>
      <c r="B101" s="104" t="s">
        <v>1507</v>
      </c>
      <c r="C101" s="815"/>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1175</v>
      </c>
    </row>
    <row r="102" spans="1:10" ht="12.75">
      <c r="A102" s="59">
        <v>123</v>
      </c>
      <c r="B102" s="104" t="s">
        <v>1562</v>
      </c>
      <c r="C102" s="815"/>
      <c r="D102" s="138" t="s">
        <v>320</v>
      </c>
      <c r="E102" s="139">
        <v>2</v>
      </c>
      <c r="F102" s="139" t="s">
        <v>321</v>
      </c>
      <c r="G102" s="151" t="str">
        <f>Lbl_Contact_LNG</f>
        <v>Langue</v>
      </c>
      <c r="H102" s="243">
        <f>IF(OR(Fld_CHP_Langue="",Fld_CHP_Langue=0),"",Fld_CHP_Langue)</f>
      </c>
      <c r="I102" s="142" t="s">
        <v>109</v>
      </c>
      <c r="J102" s="319" t="s">
        <v>1175</v>
      </c>
    </row>
    <row r="103" spans="1:10" ht="12.75">
      <c r="A103" s="59">
        <v>124</v>
      </c>
      <c r="B103" s="104" t="s">
        <v>1563</v>
      </c>
      <c r="C103" s="815"/>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1175</v>
      </c>
    </row>
    <row r="104" spans="1:10" ht="12.75">
      <c r="A104" s="59">
        <v>125</v>
      </c>
      <c r="B104" s="104" t="s">
        <v>1564</v>
      </c>
      <c r="C104" s="815"/>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1175</v>
      </c>
    </row>
    <row r="105" spans="1:10" ht="12.75">
      <c r="A105" s="59">
        <v>126</v>
      </c>
      <c r="B105" s="104" t="s">
        <v>1565</v>
      </c>
      <c r="C105" s="815"/>
      <c r="D105" s="138" t="s">
        <v>320</v>
      </c>
      <c r="E105" s="139">
        <v>100</v>
      </c>
      <c r="F105" s="139" t="s">
        <v>323</v>
      </c>
      <c r="G105" s="140" t="s">
        <v>1566</v>
      </c>
      <c r="H105" s="154">
        <f>IF(OR(Fld_CHP_Email="",Fld_CHP_Email=0),"",Fld_CHP_Email)</f>
      </c>
      <c r="J105" s="319" t="s">
        <v>1175</v>
      </c>
    </row>
    <row r="106" spans="1:10" ht="12.75">
      <c r="A106" s="59">
        <v>127</v>
      </c>
      <c r="B106" s="104" t="s">
        <v>1567</v>
      </c>
      <c r="C106" s="815"/>
      <c r="D106" s="138" t="s">
        <v>114</v>
      </c>
      <c r="E106" s="139"/>
      <c r="F106" s="139" t="s">
        <v>321</v>
      </c>
      <c r="G106" s="151" t="s">
        <v>1568</v>
      </c>
      <c r="H106" s="243" t="s">
        <v>1569</v>
      </c>
      <c r="I106" s="142" t="s">
        <v>1569</v>
      </c>
      <c r="J106" s="240"/>
    </row>
    <row r="107" spans="1:10" ht="12.75">
      <c r="A107" s="59">
        <v>128</v>
      </c>
      <c r="B107" s="104" t="s">
        <v>1570</v>
      </c>
      <c r="C107" s="815"/>
      <c r="D107" s="138" t="s">
        <v>320</v>
      </c>
      <c r="E107" s="139">
        <v>255</v>
      </c>
      <c r="F107" s="139" t="s">
        <v>323</v>
      </c>
      <c r="G107" s="141" t="str">
        <f>Lbl_Nom_ou_raison_sociale</f>
        <v>Nom ou raison sociale</v>
      </c>
      <c r="H107" s="154">
        <f>IF(OR(Fld_CHP_Org_Nom="",Fld_CHP_Org_Nom=0),"",Fld_CHP_Org_Nom)</f>
      </c>
      <c r="J107" s="319" t="s">
        <v>1175</v>
      </c>
    </row>
    <row r="108" spans="1:10" ht="12.75">
      <c r="A108" s="59">
        <v>129</v>
      </c>
      <c r="B108" s="104" t="s">
        <v>1571</v>
      </c>
      <c r="C108" s="815"/>
      <c r="D108" s="138" t="s">
        <v>320</v>
      </c>
      <c r="E108" s="139">
        <v>20</v>
      </c>
      <c r="F108" s="233" t="s">
        <v>323</v>
      </c>
      <c r="G108" s="226" t="s">
        <v>610</v>
      </c>
      <c r="H108" s="244"/>
      <c r="J108" s="240"/>
    </row>
    <row r="109" spans="1:10" ht="12.75">
      <c r="A109" s="59">
        <v>130</v>
      </c>
      <c r="B109" s="104" t="s">
        <v>1572</v>
      </c>
      <c r="C109" s="815"/>
      <c r="D109" s="138" t="s">
        <v>320</v>
      </c>
      <c r="E109" s="139">
        <v>8</v>
      </c>
      <c r="F109" s="233" t="s">
        <v>323</v>
      </c>
      <c r="G109" s="227" t="s">
        <v>1573</v>
      </c>
      <c r="H109" s="244"/>
      <c r="I109" s="142" t="s">
        <v>641</v>
      </c>
      <c r="J109" s="240"/>
    </row>
    <row r="110" spans="1:10" ht="12.75">
      <c r="A110" s="59">
        <v>131</v>
      </c>
      <c r="B110" s="104" t="s">
        <v>1574</v>
      </c>
      <c r="C110" s="815"/>
      <c r="D110" s="138" t="s">
        <v>320</v>
      </c>
      <c r="E110" s="139">
        <v>30</v>
      </c>
      <c r="F110" s="233" t="s">
        <v>323</v>
      </c>
      <c r="G110" s="227" t="s">
        <v>327</v>
      </c>
      <c r="H110" s="244"/>
      <c r="I110" s="142" t="s">
        <v>328</v>
      </c>
      <c r="J110" s="240"/>
    </row>
    <row r="111" spans="1:10" ht="12.75">
      <c r="A111" s="59">
        <v>132</v>
      </c>
      <c r="B111" s="104" t="s">
        <v>1575</v>
      </c>
      <c r="C111" s="815"/>
      <c r="D111" s="138" t="s">
        <v>320</v>
      </c>
      <c r="E111" s="139">
        <v>50</v>
      </c>
      <c r="F111" s="139" t="s">
        <v>323</v>
      </c>
      <c r="G111" s="141" t="str">
        <f>Lbl_N_TVA</f>
        <v>N. TVA</v>
      </c>
      <c r="H111" s="275">
        <f>IF(OR(Fld_CHP_Org_NTVA="",Fld_CHP_Org_NTVA=0),"",Fld_CHP_Org_NTVA)</f>
      </c>
      <c r="J111" s="319" t="s">
        <v>1175</v>
      </c>
    </row>
    <row r="112" spans="1:10" ht="12.75">
      <c r="A112" s="59">
        <v>133</v>
      </c>
      <c r="B112" s="104" t="s">
        <v>2044</v>
      </c>
      <c r="C112" s="815"/>
      <c r="D112" s="138" t="s">
        <v>320</v>
      </c>
      <c r="E112" s="139">
        <v>50</v>
      </c>
      <c r="F112" s="233" t="s">
        <v>323</v>
      </c>
      <c r="G112" s="226" t="s">
        <v>332</v>
      </c>
      <c r="H112" s="218"/>
      <c r="J112" s="240"/>
    </row>
    <row r="113" spans="1:10" ht="12.75">
      <c r="A113" s="59">
        <v>134</v>
      </c>
      <c r="B113" s="104" t="s">
        <v>2045</v>
      </c>
      <c r="C113" s="815"/>
      <c r="D113" s="138" t="s">
        <v>320</v>
      </c>
      <c r="E113" s="139">
        <v>100</v>
      </c>
      <c r="F113" s="139" t="s">
        <v>321</v>
      </c>
      <c r="G113" s="151" t="str">
        <f>Lbl_Adresse&amp;"1"</f>
        <v>Adresse1</v>
      </c>
      <c r="H113" s="243">
        <f>IF(OR(Fld_CHP_Org_Adresse1="",Fld_CHP_Org_Adresse1=0),"",Fld_CHP_Org_Adresse1)</f>
      </c>
      <c r="J113" s="319" t="s">
        <v>1175</v>
      </c>
    </row>
    <row r="114" spans="1:10" ht="12.75">
      <c r="A114" s="59">
        <v>135</v>
      </c>
      <c r="B114" s="104" t="s">
        <v>2046</v>
      </c>
      <c r="C114" s="815"/>
      <c r="D114" s="138" t="s">
        <v>320</v>
      </c>
      <c r="E114" s="139">
        <v>100</v>
      </c>
      <c r="F114" s="139" t="s">
        <v>323</v>
      </c>
      <c r="G114" s="140" t="str">
        <f>Lbl_Adresse&amp;"2"</f>
        <v>Adresse2</v>
      </c>
      <c r="H114" s="243">
        <f>IF(OR(Fld_CHP_Org_Adresse2="",Fld_CHP_Org_Adresse2=0),"",Fld_CHP_Org_Adresse2)</f>
      </c>
      <c r="J114" s="319" t="s">
        <v>1175</v>
      </c>
    </row>
    <row r="115" spans="1:10" ht="12.75">
      <c r="A115" s="59">
        <v>136</v>
      </c>
      <c r="B115" s="104" t="s">
        <v>2047</v>
      </c>
      <c r="C115" s="815"/>
      <c r="D115" s="138" t="s">
        <v>320</v>
      </c>
      <c r="E115" s="139">
        <v>50</v>
      </c>
      <c r="F115" s="139" t="s">
        <v>321</v>
      </c>
      <c r="G115" s="151" t="str">
        <f>Lbl_Banque_Commune_Ville</f>
        <v>Commune/Ville</v>
      </c>
      <c r="H115" s="243">
        <f>IF(OR(Fld_CHP_Org_Ville="",Fld_CHP_Org_Ville=0),"",Fld_CHP_Org_Ville)</f>
      </c>
      <c r="J115" s="319" t="s">
        <v>1175</v>
      </c>
    </row>
    <row r="116" spans="1:10" ht="12.75">
      <c r="A116" s="59">
        <v>137</v>
      </c>
      <c r="B116" s="104" t="s">
        <v>2048</v>
      </c>
      <c r="C116" s="815"/>
      <c r="D116" s="138" t="s">
        <v>320</v>
      </c>
      <c r="E116" s="139">
        <v>50</v>
      </c>
      <c r="F116" s="233" t="s">
        <v>323</v>
      </c>
      <c r="G116" s="226" t="s">
        <v>1529</v>
      </c>
      <c r="H116" s="218"/>
      <c r="J116" s="240"/>
    </row>
    <row r="117" spans="1:10" ht="12.75">
      <c r="A117" s="59">
        <v>138</v>
      </c>
      <c r="B117" s="104" t="s">
        <v>1530</v>
      </c>
      <c r="C117" s="815"/>
      <c r="D117" s="138" t="s">
        <v>320</v>
      </c>
      <c r="E117" s="139">
        <v>20</v>
      </c>
      <c r="F117" s="139" t="s">
        <v>323</v>
      </c>
      <c r="G117" s="140" t="str">
        <f>Lbl_Banque_Code_postal</f>
        <v>Code postal</v>
      </c>
      <c r="H117" s="275">
        <f>IF(OR(Fld_CHP_Org_ZipCode="",Fld_CHP_Org_ZipCode=0),"",Fld_CHP_Org_ZipCode)</f>
      </c>
      <c r="J117" s="319" t="s">
        <v>1175</v>
      </c>
    </row>
    <row r="118" spans="1:10" ht="12.75">
      <c r="A118" s="59">
        <v>139</v>
      </c>
      <c r="B118" s="104" t="s">
        <v>1531</v>
      </c>
      <c r="C118" s="815"/>
      <c r="D118" s="138" t="s">
        <v>320</v>
      </c>
      <c r="E118" s="139">
        <v>3</v>
      </c>
      <c r="F118" s="139" t="s">
        <v>321</v>
      </c>
      <c r="G118" s="151" t="str">
        <f>Lbl_Pays</f>
        <v>Pays</v>
      </c>
      <c r="H118" s="243">
        <f>IF(OR(Fld_CHP_Org_Pays="",Fld_CHP_Org_Pays=0),"",Fld_CHP_Org_Pays)</f>
      </c>
      <c r="I118" s="142" t="s">
        <v>349</v>
      </c>
      <c r="J118" s="319" t="s">
        <v>1175</v>
      </c>
    </row>
    <row r="119" spans="1:10" ht="12.75">
      <c r="A119" s="59">
        <v>140</v>
      </c>
      <c r="B119" s="104" t="s">
        <v>350</v>
      </c>
      <c r="C119" s="815"/>
      <c r="D119" s="138" t="s">
        <v>320</v>
      </c>
      <c r="E119" s="139">
        <v>30</v>
      </c>
      <c r="F119" s="233" t="s">
        <v>323</v>
      </c>
      <c r="G119" s="226" t="s">
        <v>611</v>
      </c>
      <c r="H119" s="244">
        <f>IF(OR(Fld_CHP_Org_Tel="",Fld_CHP_Org_Tel=0),"",Fld_CHP_Org_Tel)</f>
      </c>
      <c r="J119" s="240"/>
    </row>
    <row r="120" spans="1:10" ht="12.75">
      <c r="A120" s="59">
        <v>141</v>
      </c>
      <c r="B120" s="104" t="s">
        <v>351</v>
      </c>
      <c r="C120" s="815"/>
      <c r="D120" s="138" t="s">
        <v>320</v>
      </c>
      <c r="E120" s="139">
        <v>30</v>
      </c>
      <c r="F120" s="233" t="s">
        <v>323</v>
      </c>
      <c r="G120" s="226" t="s">
        <v>612</v>
      </c>
      <c r="H120" s="244">
        <f>IF(OR(Fld_CHP_Org_Fax="",Fld_CHP_Org_Fax=0),"",Fld_CHP_Org_Fax)</f>
      </c>
      <c r="J120" s="240"/>
    </row>
    <row r="121" spans="1:10" ht="12.75">
      <c r="A121" s="59">
        <v>142</v>
      </c>
      <c r="B121" s="104" t="s">
        <v>352</v>
      </c>
      <c r="C121" s="815"/>
      <c r="D121" s="138" t="s">
        <v>320</v>
      </c>
      <c r="E121" s="139">
        <v>100</v>
      </c>
      <c r="F121" s="233" t="s">
        <v>323</v>
      </c>
      <c r="G121" s="226" t="s">
        <v>353</v>
      </c>
      <c r="H121" s="244"/>
      <c r="J121" s="240"/>
    </row>
    <row r="122" spans="1:10" ht="13.5" thickBot="1">
      <c r="A122" s="59">
        <v>143</v>
      </c>
      <c r="B122" s="104" t="s">
        <v>354</v>
      </c>
      <c r="C122" s="816"/>
      <c r="D122" s="146" t="s">
        <v>320</v>
      </c>
      <c r="E122" s="147">
        <v>100</v>
      </c>
      <c r="F122" s="235" t="s">
        <v>323</v>
      </c>
      <c r="G122" s="228" t="s">
        <v>2022</v>
      </c>
      <c r="H122" s="248"/>
      <c r="J122" s="240"/>
    </row>
    <row r="123" spans="1:11" ht="12.75" customHeight="1">
      <c r="A123" s="59">
        <v>144</v>
      </c>
      <c r="B123" s="104" t="s">
        <v>2023</v>
      </c>
      <c r="C123" s="809" t="s">
        <v>2024</v>
      </c>
      <c r="D123" s="152" t="s">
        <v>320</v>
      </c>
      <c r="E123" s="152">
        <v>20</v>
      </c>
      <c r="F123" s="117" t="s">
        <v>321</v>
      </c>
      <c r="G123" s="237" t="s">
        <v>2025</v>
      </c>
      <c r="H123" s="246"/>
      <c r="I123" s="142" t="s">
        <v>605</v>
      </c>
      <c r="J123" s="241"/>
      <c r="K123" s="176">
        <v>0</v>
      </c>
    </row>
    <row r="124" spans="1:10" ht="12.75">
      <c r="A124" s="59">
        <v>145</v>
      </c>
      <c r="B124" s="104" t="s">
        <v>2026</v>
      </c>
      <c r="C124" s="810"/>
      <c r="D124" s="152" t="s">
        <v>320</v>
      </c>
      <c r="E124" s="152">
        <v>80</v>
      </c>
      <c r="F124" s="117" t="s">
        <v>321</v>
      </c>
      <c r="G124" s="236" t="s">
        <v>2027</v>
      </c>
      <c r="H124" s="247"/>
      <c r="J124" s="240"/>
    </row>
    <row r="125" spans="1:10" ht="12.75">
      <c r="A125" s="59">
        <v>146</v>
      </c>
      <c r="B125" s="104" t="s">
        <v>2028</v>
      </c>
      <c r="C125" s="810"/>
      <c r="D125" s="152" t="s">
        <v>320</v>
      </c>
      <c r="E125" s="152">
        <v>50</v>
      </c>
      <c r="F125" s="117" t="s">
        <v>323</v>
      </c>
      <c r="G125" s="227" t="s">
        <v>613</v>
      </c>
      <c r="H125" s="244"/>
      <c r="J125" s="240"/>
    </row>
    <row r="126" spans="1:10" ht="12.75">
      <c r="A126" s="59">
        <v>147</v>
      </c>
      <c r="B126" s="104" t="s">
        <v>2029</v>
      </c>
      <c r="C126" s="810"/>
      <c r="D126" s="152" t="s">
        <v>320</v>
      </c>
      <c r="E126" s="152">
        <v>1</v>
      </c>
      <c r="F126" s="117" t="s">
        <v>321</v>
      </c>
      <c r="G126" s="236" t="s">
        <v>201</v>
      </c>
      <c r="H126" s="247"/>
      <c r="I126" s="142" t="s">
        <v>1931</v>
      </c>
      <c r="J126" s="240"/>
    </row>
    <row r="127" spans="1:10" ht="12.75">
      <c r="A127" s="59">
        <v>148</v>
      </c>
      <c r="B127" s="104" t="s">
        <v>2030</v>
      </c>
      <c r="C127" s="810"/>
      <c r="D127" s="138" t="s">
        <v>320</v>
      </c>
      <c r="E127" s="139">
        <v>3</v>
      </c>
      <c r="F127" s="233" t="s">
        <v>323</v>
      </c>
      <c r="G127" s="227" t="s">
        <v>2031</v>
      </c>
      <c r="H127" s="244"/>
      <c r="I127" s="142" t="s">
        <v>824</v>
      </c>
      <c r="J127" s="240"/>
    </row>
    <row r="128" spans="1:10" ht="12.75">
      <c r="A128" s="59">
        <v>149</v>
      </c>
      <c r="B128" s="104" t="s">
        <v>2032</v>
      </c>
      <c r="C128" s="810"/>
      <c r="D128" s="152" t="s">
        <v>320</v>
      </c>
      <c r="E128" s="152">
        <v>50</v>
      </c>
      <c r="F128" s="117" t="s">
        <v>323</v>
      </c>
      <c r="G128" s="227" t="s">
        <v>2033</v>
      </c>
      <c r="H128" s="244"/>
      <c r="J128" s="240"/>
    </row>
    <row r="129" spans="1:10" ht="12.75">
      <c r="A129" s="59">
        <v>150</v>
      </c>
      <c r="B129" s="104" t="s">
        <v>2034</v>
      </c>
      <c r="C129" s="810"/>
      <c r="D129" s="152" t="s">
        <v>320</v>
      </c>
      <c r="E129" s="152">
        <v>50</v>
      </c>
      <c r="F129" s="117" t="s">
        <v>323</v>
      </c>
      <c r="G129" s="227" t="s">
        <v>2035</v>
      </c>
      <c r="H129" s="244"/>
      <c r="I129" s="142" t="s">
        <v>107</v>
      </c>
      <c r="J129" s="240"/>
    </row>
    <row r="130" spans="1:10" ht="12.75">
      <c r="A130" s="59">
        <v>151</v>
      </c>
      <c r="B130" s="104" t="s">
        <v>2036</v>
      </c>
      <c r="C130" s="810"/>
      <c r="D130" s="152" t="s">
        <v>320</v>
      </c>
      <c r="E130" s="152">
        <v>2</v>
      </c>
      <c r="F130" s="117" t="s">
        <v>321</v>
      </c>
      <c r="G130" s="236" t="s">
        <v>2037</v>
      </c>
      <c r="H130" s="247"/>
      <c r="I130" s="142" t="s">
        <v>109</v>
      </c>
      <c r="J130" s="240"/>
    </row>
    <row r="131" spans="1:10" ht="12.75">
      <c r="A131" s="59">
        <v>152</v>
      </c>
      <c r="B131" s="104" t="s">
        <v>2038</v>
      </c>
      <c r="C131" s="810"/>
      <c r="D131" s="152" t="s">
        <v>320</v>
      </c>
      <c r="E131" s="152">
        <v>30</v>
      </c>
      <c r="F131" s="117" t="s">
        <v>323</v>
      </c>
      <c r="G131" s="227" t="s">
        <v>614</v>
      </c>
      <c r="H131" s="244"/>
      <c r="J131" s="240"/>
    </row>
    <row r="132" spans="1:10" ht="12.75">
      <c r="A132" s="59">
        <v>153</v>
      </c>
      <c r="B132" s="104" t="s">
        <v>2039</v>
      </c>
      <c r="C132" s="810"/>
      <c r="D132" s="152" t="s">
        <v>320</v>
      </c>
      <c r="E132" s="152">
        <v>30</v>
      </c>
      <c r="F132" s="117" t="s">
        <v>323</v>
      </c>
      <c r="G132" s="227" t="s">
        <v>615</v>
      </c>
      <c r="H132" s="244"/>
      <c r="J132" s="240"/>
    </row>
    <row r="133" spans="1:10" ht="12.75">
      <c r="A133" s="59">
        <v>154</v>
      </c>
      <c r="B133" s="104" t="s">
        <v>2040</v>
      </c>
      <c r="C133" s="810"/>
      <c r="D133" s="152" t="s">
        <v>320</v>
      </c>
      <c r="E133" s="152">
        <v>100</v>
      </c>
      <c r="F133" s="117" t="s">
        <v>323</v>
      </c>
      <c r="G133" s="227" t="s">
        <v>616</v>
      </c>
      <c r="H133" s="244"/>
      <c r="J133" s="240"/>
    </row>
    <row r="134" spans="1:10" ht="12.75">
      <c r="A134" s="59">
        <v>155</v>
      </c>
      <c r="B134" s="104" t="s">
        <v>2041</v>
      </c>
      <c r="C134" s="810"/>
      <c r="D134" s="152" t="s">
        <v>114</v>
      </c>
      <c r="E134" s="152"/>
      <c r="F134" s="117" t="s">
        <v>321</v>
      </c>
      <c r="G134" s="236" t="s">
        <v>2042</v>
      </c>
      <c r="H134" s="247"/>
      <c r="I134" s="142" t="s">
        <v>1569</v>
      </c>
      <c r="J134" s="240"/>
    </row>
    <row r="135" spans="1:10" ht="12.75">
      <c r="A135" s="59">
        <v>156</v>
      </c>
      <c r="B135" s="104" t="s">
        <v>2043</v>
      </c>
      <c r="C135" s="810"/>
      <c r="D135" s="152" t="s">
        <v>320</v>
      </c>
      <c r="E135" s="152">
        <v>255</v>
      </c>
      <c r="F135" s="117" t="s">
        <v>323</v>
      </c>
      <c r="G135" s="227" t="s">
        <v>1698</v>
      </c>
      <c r="H135" s="244"/>
      <c r="J135" s="240"/>
    </row>
    <row r="136" spans="1:10" ht="12.75">
      <c r="A136" s="59">
        <v>157</v>
      </c>
      <c r="B136" s="104" t="s">
        <v>1699</v>
      </c>
      <c r="C136" s="810"/>
      <c r="D136" s="152" t="s">
        <v>320</v>
      </c>
      <c r="E136" s="152">
        <v>20</v>
      </c>
      <c r="F136" s="117" t="s">
        <v>323</v>
      </c>
      <c r="G136" s="227" t="s">
        <v>617</v>
      </c>
      <c r="H136" s="244"/>
      <c r="J136" s="240"/>
    </row>
    <row r="137" spans="1:10" ht="12.75">
      <c r="A137" s="59">
        <v>158</v>
      </c>
      <c r="B137" s="104" t="s">
        <v>1700</v>
      </c>
      <c r="C137" s="810"/>
      <c r="D137" s="152" t="s">
        <v>320</v>
      </c>
      <c r="E137" s="152">
        <v>8</v>
      </c>
      <c r="F137" s="117" t="s">
        <v>323</v>
      </c>
      <c r="G137" s="227" t="s">
        <v>1701</v>
      </c>
      <c r="H137" s="244"/>
      <c r="I137" s="142" t="s">
        <v>641</v>
      </c>
      <c r="J137" s="240"/>
    </row>
    <row r="138" spans="1:10" ht="12.75">
      <c r="A138" s="59">
        <v>159</v>
      </c>
      <c r="B138" s="104" t="s">
        <v>1702</v>
      </c>
      <c r="C138" s="810"/>
      <c r="D138" s="138" t="s">
        <v>320</v>
      </c>
      <c r="E138" s="139">
        <v>30</v>
      </c>
      <c r="F138" s="233" t="s">
        <v>323</v>
      </c>
      <c r="G138" s="227" t="s">
        <v>327</v>
      </c>
      <c r="H138" s="244"/>
      <c r="I138" s="142" t="s">
        <v>328</v>
      </c>
      <c r="J138" s="240"/>
    </row>
    <row r="139" spans="1:10" ht="12.75">
      <c r="A139" s="59">
        <v>160</v>
      </c>
      <c r="B139" s="104" t="s">
        <v>1703</v>
      </c>
      <c r="C139" s="810"/>
      <c r="D139" s="138" t="s">
        <v>320</v>
      </c>
      <c r="E139" s="139">
        <v>50</v>
      </c>
      <c r="F139" s="233" t="s">
        <v>323</v>
      </c>
      <c r="G139" s="227" t="s">
        <v>330</v>
      </c>
      <c r="H139" s="244"/>
      <c r="J139" s="240"/>
    </row>
    <row r="140" spans="1:10" ht="12.75">
      <c r="A140" s="59">
        <v>161</v>
      </c>
      <c r="B140" s="104" t="s">
        <v>1704</v>
      </c>
      <c r="C140" s="810"/>
      <c r="D140" s="138" t="s">
        <v>320</v>
      </c>
      <c r="E140" s="139">
        <v>50</v>
      </c>
      <c r="F140" s="233" t="s">
        <v>323</v>
      </c>
      <c r="G140" s="226" t="s">
        <v>332</v>
      </c>
      <c r="H140" s="244"/>
      <c r="J140" s="240"/>
    </row>
    <row r="141" spans="1:10" ht="12.75">
      <c r="A141" s="59">
        <v>162</v>
      </c>
      <c r="B141" s="104" t="s">
        <v>1705</v>
      </c>
      <c r="C141" s="810"/>
      <c r="D141" s="152" t="s">
        <v>320</v>
      </c>
      <c r="E141" s="152">
        <v>100</v>
      </c>
      <c r="F141" s="117" t="s">
        <v>321</v>
      </c>
      <c r="G141" s="236" t="s">
        <v>528</v>
      </c>
      <c r="H141" s="247"/>
      <c r="J141" s="240"/>
    </row>
    <row r="142" spans="1:10" ht="12.75">
      <c r="A142" s="59">
        <v>163</v>
      </c>
      <c r="B142" s="104" t="s">
        <v>1706</v>
      </c>
      <c r="C142" s="810"/>
      <c r="D142" s="152" t="s">
        <v>320</v>
      </c>
      <c r="E142" s="152">
        <v>100</v>
      </c>
      <c r="F142" s="117" t="s">
        <v>323</v>
      </c>
      <c r="G142" s="227" t="s">
        <v>618</v>
      </c>
      <c r="H142" s="244"/>
      <c r="J142" s="240"/>
    </row>
    <row r="143" spans="1:10" ht="12.75">
      <c r="A143" s="59">
        <v>164</v>
      </c>
      <c r="B143" s="104" t="s">
        <v>1707</v>
      </c>
      <c r="C143" s="810"/>
      <c r="D143" s="152" t="s">
        <v>320</v>
      </c>
      <c r="E143" s="152">
        <v>50</v>
      </c>
      <c r="F143" s="117" t="s">
        <v>321</v>
      </c>
      <c r="G143" s="236" t="s">
        <v>1708</v>
      </c>
      <c r="H143" s="247"/>
      <c r="J143" s="240"/>
    </row>
    <row r="144" spans="1:10" ht="12.75">
      <c r="A144" s="59">
        <v>165</v>
      </c>
      <c r="B144" s="104" t="s">
        <v>1709</v>
      </c>
      <c r="C144" s="810"/>
      <c r="D144" s="152" t="s">
        <v>320</v>
      </c>
      <c r="E144" s="152">
        <v>50</v>
      </c>
      <c r="F144" s="117" t="s">
        <v>323</v>
      </c>
      <c r="G144" s="227" t="s">
        <v>1710</v>
      </c>
      <c r="H144" s="244"/>
      <c r="J144" s="240"/>
    </row>
    <row r="145" spans="1:10" ht="12.75">
      <c r="A145" s="59">
        <v>166</v>
      </c>
      <c r="B145" s="104" t="s">
        <v>1711</v>
      </c>
      <c r="C145" s="810"/>
      <c r="D145" s="152" t="s">
        <v>320</v>
      </c>
      <c r="E145" s="152">
        <v>20</v>
      </c>
      <c r="F145" s="117" t="s">
        <v>323</v>
      </c>
      <c r="G145" s="227" t="s">
        <v>1712</v>
      </c>
      <c r="H145" s="244"/>
      <c r="J145" s="240"/>
    </row>
    <row r="146" spans="1:10" ht="12.75">
      <c r="A146" s="59">
        <v>167</v>
      </c>
      <c r="B146" s="104" t="s">
        <v>1713</v>
      </c>
      <c r="C146" s="810"/>
      <c r="D146" s="152" t="s">
        <v>320</v>
      </c>
      <c r="E146" s="152">
        <v>3</v>
      </c>
      <c r="F146" s="117" t="s">
        <v>321</v>
      </c>
      <c r="G146" s="236" t="s">
        <v>355</v>
      </c>
      <c r="H146" s="247"/>
      <c r="I146" s="142" t="s">
        <v>1021</v>
      </c>
      <c r="J146" s="240"/>
    </row>
    <row r="147" spans="1:10" ht="12.75">
      <c r="A147" s="59">
        <v>168</v>
      </c>
      <c r="B147" s="104" t="s">
        <v>356</v>
      </c>
      <c r="C147" s="810"/>
      <c r="D147" s="152" t="s">
        <v>320</v>
      </c>
      <c r="E147" s="152">
        <v>30</v>
      </c>
      <c r="F147" s="117" t="s">
        <v>323</v>
      </c>
      <c r="G147" s="227" t="s">
        <v>619</v>
      </c>
      <c r="H147" s="244"/>
      <c r="J147" s="240"/>
    </row>
    <row r="148" spans="1:10" ht="12.75">
      <c r="A148" s="59">
        <v>169</v>
      </c>
      <c r="B148" s="104" t="s">
        <v>357</v>
      </c>
      <c r="C148" s="810"/>
      <c r="D148" s="152" t="s">
        <v>320</v>
      </c>
      <c r="E148" s="152">
        <v>30</v>
      </c>
      <c r="F148" s="117" t="s">
        <v>323</v>
      </c>
      <c r="G148" s="227" t="s">
        <v>620</v>
      </c>
      <c r="H148" s="244"/>
      <c r="J148" s="240"/>
    </row>
    <row r="149" spans="1:10" ht="12.75">
      <c r="A149" s="59">
        <v>170</v>
      </c>
      <c r="B149" s="104" t="s">
        <v>358</v>
      </c>
      <c r="C149" s="810"/>
      <c r="D149" s="152" t="s">
        <v>320</v>
      </c>
      <c r="E149" s="152">
        <v>100</v>
      </c>
      <c r="F149" s="117" t="s">
        <v>323</v>
      </c>
      <c r="G149" s="227" t="s">
        <v>359</v>
      </c>
      <c r="H149" s="244"/>
      <c r="J149" s="240"/>
    </row>
    <row r="150" spans="1:10" ht="13.5" thickBot="1">
      <c r="A150" s="59">
        <v>171</v>
      </c>
      <c r="B150" s="104" t="s">
        <v>360</v>
      </c>
      <c r="C150" s="811"/>
      <c r="D150" s="152" t="s">
        <v>320</v>
      </c>
      <c r="E150" s="152">
        <v>100</v>
      </c>
      <c r="F150" s="117" t="s">
        <v>323</v>
      </c>
      <c r="G150" s="229" t="s">
        <v>361</v>
      </c>
      <c r="H150" s="248"/>
      <c r="J150" s="240"/>
    </row>
    <row r="151" spans="1:10" ht="12.75" customHeight="1">
      <c r="A151" s="59">
        <v>172</v>
      </c>
      <c r="B151" s="104" t="s">
        <v>362</v>
      </c>
      <c r="C151" s="806" t="s">
        <v>363</v>
      </c>
      <c r="D151" s="135" t="s">
        <v>320</v>
      </c>
      <c r="E151" s="136">
        <v>2</v>
      </c>
      <c r="F151" s="136" t="s">
        <v>321</v>
      </c>
      <c r="G151" s="144" t="str">
        <f>Lbl_Type_de_projet</f>
        <v>Type d'activités</v>
      </c>
      <c r="H151" s="153">
        <f>IF(OR(Fld_Type_de_projet="",Fld_Type_de_projet=0),"",Fld_Type_de_projet)</f>
      </c>
      <c r="I151" s="142" t="s">
        <v>364</v>
      </c>
      <c r="J151" s="319" t="s">
        <v>1175</v>
      </c>
    </row>
    <row r="152" spans="1:10" ht="12.75">
      <c r="A152" s="59">
        <v>173</v>
      </c>
      <c r="B152" s="104" t="s">
        <v>365</v>
      </c>
      <c r="C152" s="807"/>
      <c r="D152" s="138" t="s">
        <v>320</v>
      </c>
      <c r="E152" s="139">
        <v>4</v>
      </c>
      <c r="F152" s="139" t="s">
        <v>321</v>
      </c>
      <c r="G152" s="145" t="str">
        <f>Lbl_Année</f>
        <v>Année</v>
      </c>
      <c r="H152" s="276">
        <f>IF(OR(Fld_Année_Projet="",Fld_Année_Projet=0),"",Fld_Année_Projet)</f>
      </c>
      <c r="J152" s="319" t="s">
        <v>1175</v>
      </c>
    </row>
    <row r="153" spans="1:10" ht="12.75">
      <c r="A153" s="59">
        <v>174</v>
      </c>
      <c r="B153" s="104" t="s">
        <v>366</v>
      </c>
      <c r="C153" s="807"/>
      <c r="D153" s="138" t="s">
        <v>320</v>
      </c>
      <c r="E153" s="139">
        <v>3</v>
      </c>
      <c r="F153" s="139" t="s">
        <v>321</v>
      </c>
      <c r="G153" s="145" t="str">
        <f>Lbl_Pays</f>
        <v>Pays</v>
      </c>
      <c r="H153" s="243">
        <f>IF(OR(Fld_Org_Pays="",Fld_Org_Pays=0),"",Fld_Org_Pays)</f>
      </c>
      <c r="I153" s="142" t="s">
        <v>1021</v>
      </c>
      <c r="J153" s="319" t="s">
        <v>1175</v>
      </c>
    </row>
    <row r="154" spans="1:10" ht="12.75">
      <c r="A154" s="59">
        <v>175</v>
      </c>
      <c r="B154" s="104" t="s">
        <v>367</v>
      </c>
      <c r="C154" s="807"/>
      <c r="D154" s="138" t="s">
        <v>320</v>
      </c>
      <c r="E154" s="139">
        <v>2</v>
      </c>
      <c r="F154" s="139" t="s">
        <v>321</v>
      </c>
      <c r="G154" s="145" t="str">
        <f>Lbl_Contact_LNG</f>
        <v>Langue</v>
      </c>
      <c r="H154" s="243" t="str">
        <f>IF(OR(Fld_Langue="",Fld_Langue=0),"",Fld_Langue)</f>
        <v>Français</v>
      </c>
      <c r="I154" s="142" t="s">
        <v>109</v>
      </c>
      <c r="J154" s="317" t="s">
        <v>1175</v>
      </c>
    </row>
    <row r="155" spans="1:10" ht="12.75">
      <c r="A155" s="59">
        <v>176</v>
      </c>
      <c r="B155" s="104" t="s">
        <v>368</v>
      </c>
      <c r="C155" s="807"/>
      <c r="D155" s="138" t="s">
        <v>320</v>
      </c>
      <c r="E155" s="139">
        <v>3</v>
      </c>
      <c r="F155" s="139" t="s">
        <v>321</v>
      </c>
      <c r="G155" s="145" t="str">
        <f>Lbl_Langue_de_correspondance</f>
        <v>Langue de correspondance</v>
      </c>
      <c r="H155" s="243">
        <f>IF(OR(Fld_LNG_Correspondance="",Fld_LNG_Correspondance=0),"",Fld_LNG_Correspondance)</f>
      </c>
      <c r="I155" s="142" t="s">
        <v>109</v>
      </c>
      <c r="J155" s="318" t="s">
        <v>1175</v>
      </c>
    </row>
    <row r="156" spans="1:10" ht="12.75">
      <c r="A156" s="59">
        <v>177</v>
      </c>
      <c r="B156" s="104" t="s">
        <v>369</v>
      </c>
      <c r="C156" s="807"/>
      <c r="D156" s="138" t="s">
        <v>320</v>
      </c>
      <c r="E156" s="139">
        <v>255</v>
      </c>
      <c r="F156" s="139" t="s">
        <v>321</v>
      </c>
      <c r="G156" s="145" t="str">
        <f>Lbl_TitreProjet</f>
        <v>TITRE DU PROJET:</v>
      </c>
      <c r="H156" s="243">
        <f>IF(OR(Fld_TITRE_PROJET="",Fld_TITRE_PROJET=0),"",Fld_TITRE_PROJET)</f>
      </c>
      <c r="J156" s="318" t="s">
        <v>1175</v>
      </c>
    </row>
    <row r="157" spans="1:10" ht="12.75">
      <c r="A157" s="59">
        <v>178</v>
      </c>
      <c r="B157" s="104" t="s">
        <v>372</v>
      </c>
      <c r="C157" s="807"/>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7"/>
      <c r="D158" s="138" t="s">
        <v>320</v>
      </c>
      <c r="E158" s="139">
        <v>50</v>
      </c>
      <c r="F158" s="139" t="s">
        <v>323</v>
      </c>
      <c r="G158" s="140" t="str">
        <f>Lbl_Domaine</f>
        <v>Volet d'action</v>
      </c>
      <c r="H158" s="154">
        <f>IF(OR(Fld_Domaine="",Fld_Domaine=0),"",Fld_Domaine)</f>
      </c>
      <c r="I158" s="142" t="s">
        <v>376</v>
      </c>
      <c r="J158" s="318" t="s">
        <v>1175</v>
      </c>
    </row>
    <row r="159" spans="1:10" ht="12.75">
      <c r="A159" s="59">
        <v>180</v>
      </c>
      <c r="B159" s="104" t="s">
        <v>377</v>
      </c>
      <c r="C159" s="807"/>
      <c r="D159" s="138" t="s">
        <v>320</v>
      </c>
      <c r="E159" s="139">
        <v>50</v>
      </c>
      <c r="F159" s="233" t="s">
        <v>323</v>
      </c>
      <c r="G159" s="226" t="s">
        <v>378</v>
      </c>
      <c r="H159" s="218"/>
      <c r="I159" s="142" t="s">
        <v>379</v>
      </c>
      <c r="J159" s="240"/>
    </row>
    <row r="160" spans="1:10" ht="12.75">
      <c r="A160" s="59">
        <v>181</v>
      </c>
      <c r="B160" s="104" t="s">
        <v>380</v>
      </c>
      <c r="C160" s="807"/>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7"/>
      <c r="D161" s="138" t="s">
        <v>384</v>
      </c>
      <c r="E161" s="139"/>
      <c r="F161" s="233" t="s">
        <v>323</v>
      </c>
      <c r="G161" s="226" t="s">
        <v>385</v>
      </c>
      <c r="H161" s="218"/>
      <c r="J161" s="240"/>
    </row>
    <row r="162" spans="1:10" ht="12.75">
      <c r="A162" s="59">
        <v>183</v>
      </c>
      <c r="B162" s="104" t="s">
        <v>386</v>
      </c>
      <c r="C162" s="807"/>
      <c r="D162" s="138" t="s">
        <v>384</v>
      </c>
      <c r="E162" s="139"/>
      <c r="F162" s="139" t="s">
        <v>321</v>
      </c>
      <c r="G162" s="145" t="s">
        <v>1481</v>
      </c>
      <c r="H162" s="243">
        <f>IF(OR(Fld_Debut_Projet="",Fld_Debut_Projet=0),"",Fld_Debut_Projet)</f>
      </c>
      <c r="J162" s="318" t="s">
        <v>1175</v>
      </c>
    </row>
    <row r="163" spans="1:10" ht="12.75">
      <c r="A163" s="59">
        <v>184</v>
      </c>
      <c r="B163" s="104" t="s">
        <v>1482</v>
      </c>
      <c r="C163" s="807"/>
      <c r="D163" s="138" t="s">
        <v>1483</v>
      </c>
      <c r="E163" s="139"/>
      <c r="F163" s="139" t="s">
        <v>321</v>
      </c>
      <c r="G163" s="145" t="s">
        <v>1484</v>
      </c>
      <c r="H163" s="243">
        <f>IF(OR(Fld_Duree="",Fld_Duree=0),"",Fld_Duree)</f>
      </c>
      <c r="J163" s="318" t="s">
        <v>1175</v>
      </c>
    </row>
    <row r="164" spans="1:10" ht="12.75">
      <c r="A164" s="59">
        <v>185</v>
      </c>
      <c r="B164" s="104" t="s">
        <v>1485</v>
      </c>
      <c r="C164" s="807"/>
      <c r="D164" s="138" t="s">
        <v>384</v>
      </c>
      <c r="E164" s="139"/>
      <c r="F164" s="139" t="s">
        <v>321</v>
      </c>
      <c r="G164" s="145" t="s">
        <v>1486</v>
      </c>
      <c r="H164" s="243">
        <f>IF(OR(Fld_Fin_Projet="",Fld_Fin_Projet=0),"",Fld_Fin_Projet)</f>
      </c>
      <c r="J164" s="318" t="s">
        <v>1175</v>
      </c>
    </row>
    <row r="165" spans="1:10" ht="12.75">
      <c r="A165" s="59">
        <v>186</v>
      </c>
      <c r="B165" s="104" t="s">
        <v>1487</v>
      </c>
      <c r="C165" s="807"/>
      <c r="D165" s="138" t="s">
        <v>320</v>
      </c>
      <c r="E165" s="139">
        <v>255</v>
      </c>
      <c r="F165" s="139" t="s">
        <v>323</v>
      </c>
      <c r="G165" s="140" t="str">
        <f>Lbl_Partenaires_impliqués_dans_le_projet</f>
        <v>Partenaires impliqués dans les activités</v>
      </c>
      <c r="H165" s="154" t="str">
        <f>IF(OR(Fld_Pays_Membres="",Fld_Pays_Membres=0),"",Fld_Pays_Membres)</f>
        <v>,,,,,,</v>
      </c>
      <c r="J165" s="318" t="s">
        <v>1175</v>
      </c>
    </row>
    <row r="166" spans="1:10" ht="12.75">
      <c r="A166" s="59">
        <v>187</v>
      </c>
      <c r="B166" s="104" t="s">
        <v>1488</v>
      </c>
      <c r="C166" s="807"/>
      <c r="D166" s="138" t="s">
        <v>1483</v>
      </c>
      <c r="E166" s="139"/>
      <c r="F166" s="139" t="s">
        <v>323</v>
      </c>
      <c r="G166" s="141" t="str">
        <f>Lbl_Partenaires_impliqués_dans_le_projet&amp;" (Nbr)"</f>
        <v>Partenaires impliqués dans les activités (Nbr)</v>
      </c>
      <c r="H166" s="154">
        <f>IF(OR(Fld_Nb_EM="",Fld_Nb_EM=0),0,Fld_Nb_EM)</f>
        <v>0</v>
      </c>
      <c r="J166" s="318" t="s">
        <v>1175</v>
      </c>
    </row>
    <row r="167" spans="1:10" ht="12.75">
      <c r="A167" s="59">
        <v>188</v>
      </c>
      <c r="B167" s="104" t="s">
        <v>1489</v>
      </c>
      <c r="C167" s="807"/>
      <c r="D167" s="138" t="s">
        <v>320</v>
      </c>
      <c r="E167" s="139">
        <v>255</v>
      </c>
      <c r="F167" s="233" t="s">
        <v>323</v>
      </c>
      <c r="G167" s="226" t="s">
        <v>1550</v>
      </c>
      <c r="H167" s="244"/>
      <c r="J167" s="240"/>
    </row>
    <row r="168" spans="1:10" ht="12.75">
      <c r="A168" s="59">
        <v>189</v>
      </c>
      <c r="B168" s="104" t="s">
        <v>1490</v>
      </c>
      <c r="C168" s="807"/>
      <c r="D168" s="138" t="s">
        <v>1483</v>
      </c>
      <c r="E168" s="139"/>
      <c r="F168" s="233" t="s">
        <v>323</v>
      </c>
      <c r="G168" s="227" t="s">
        <v>1491</v>
      </c>
      <c r="H168" s="244"/>
      <c r="J168" s="240"/>
    </row>
    <row r="169" spans="1:10" ht="13.5" thickBot="1">
      <c r="A169" s="59">
        <v>190</v>
      </c>
      <c r="B169" s="104" t="s">
        <v>1492</v>
      </c>
      <c r="C169" s="808"/>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1175</v>
      </c>
    </row>
    <row r="170" spans="1:10" ht="12.75" customHeight="1">
      <c r="A170" s="59">
        <v>191</v>
      </c>
      <c r="B170" s="104" t="s">
        <v>1493</v>
      </c>
      <c r="C170" s="806" t="s">
        <v>1494</v>
      </c>
      <c r="D170" s="135" t="s">
        <v>1495</v>
      </c>
      <c r="E170" s="136"/>
      <c r="F170" s="136" t="s">
        <v>321</v>
      </c>
      <c r="G170" s="144" t="str">
        <f>Lbl_CoutTotal&amp;" (Euro)"</f>
        <v>Cout total du projet (Euro)</v>
      </c>
      <c r="H170" s="153">
        <f>IF(OR(Fld_Cout_Total="",Fld_Cout_Total=0),0,Fld_Cout_Total)</f>
        <v>0</v>
      </c>
      <c r="J170" s="318" t="s">
        <v>1175</v>
      </c>
    </row>
    <row r="171" spans="1:10" ht="12.75">
      <c r="A171" s="59">
        <v>192</v>
      </c>
      <c r="B171" s="104" t="s">
        <v>1496</v>
      </c>
      <c r="C171" s="807"/>
      <c r="D171" s="138" t="s">
        <v>1495</v>
      </c>
      <c r="E171" s="139"/>
      <c r="F171" s="139" t="s">
        <v>321</v>
      </c>
      <c r="G171" s="145" t="str">
        <f>Lbl_MNT_Demande&amp;" (Euro)"</f>
        <v>Subvention demandée (Euro)</v>
      </c>
      <c r="H171" s="243">
        <f>IF(OR(Fld_MNT_demande="",Fld_MNT_demande=0),0,Fld_MNT_demande)</f>
        <v>0</v>
      </c>
      <c r="J171" s="318" t="s">
        <v>1175</v>
      </c>
    </row>
    <row r="172" spans="1:10" ht="12.75">
      <c r="A172" s="59">
        <v>193</v>
      </c>
      <c r="B172" s="104" t="s">
        <v>1497</v>
      </c>
      <c r="C172" s="807"/>
      <c r="D172" s="138" t="s">
        <v>1495</v>
      </c>
      <c r="E172" s="139"/>
      <c r="F172" s="139" t="s">
        <v>323</v>
      </c>
      <c r="G172" s="140" t="str">
        <f>Lbl_MNT_Apport&amp;" (Euro)"</f>
        <v>Apport propre (Euro)</v>
      </c>
      <c r="H172" s="154">
        <f>IF(OR(Fld_MNT_Apport="",Fld_MNT_Apport=0),0,Fld_MNT_Apport)</f>
        <v>0</v>
      </c>
      <c r="J172" s="319" t="s">
        <v>1175</v>
      </c>
    </row>
    <row r="173" spans="1:10" ht="12.75">
      <c r="A173" s="59">
        <v>194</v>
      </c>
      <c r="B173" s="104" t="s">
        <v>1498</v>
      </c>
      <c r="C173" s="807"/>
      <c r="D173" s="138" t="s">
        <v>1495</v>
      </c>
      <c r="E173" s="139"/>
      <c r="F173" s="139" t="s">
        <v>323</v>
      </c>
      <c r="G173" s="140" t="str">
        <f>Lbl_MNT_RessExt&amp;" (Euro)"</f>
        <v>Ressources externes (Euro)</v>
      </c>
      <c r="H173" s="154">
        <f>IF(OR(Fld_MNT_Ext_Ressources="",Fld_MNT_Ext_Ressources=0),0,Fld_MNT_Ext_Ressources)</f>
        <v>0</v>
      </c>
      <c r="J173" s="319" t="s">
        <v>1175</v>
      </c>
    </row>
    <row r="174" spans="1:10" ht="13.5" thickBot="1">
      <c r="A174" s="59">
        <v>195</v>
      </c>
      <c r="B174" s="104" t="s">
        <v>115</v>
      </c>
      <c r="C174" s="808"/>
      <c r="D174" s="146" t="s">
        <v>1495</v>
      </c>
      <c r="E174" s="147"/>
      <c r="F174" s="147" t="s">
        <v>323</v>
      </c>
      <c r="G174" s="149" t="str">
        <f>Lbl_MNT_AutresApports&amp;" (Euro)"</f>
        <v>Ressources générées par le projet (Euro)</v>
      </c>
      <c r="H174" s="154">
        <f>IF(OR(Fld_MNT_Autre_Apport="",Fld_MNT_Autre_Apport=0),0,Fld_MNT_Autre_Apport)</f>
        <v>0</v>
      </c>
      <c r="J174" s="319" t="s">
        <v>1175</v>
      </c>
    </row>
    <row r="175" spans="1:10" ht="12.75" customHeight="1">
      <c r="A175" s="59">
        <v>196</v>
      </c>
      <c r="B175" s="104" t="s">
        <v>116</v>
      </c>
      <c r="C175" s="814" t="s">
        <v>117</v>
      </c>
      <c r="D175" s="135" t="s">
        <v>320</v>
      </c>
      <c r="E175" s="136">
        <v>20</v>
      </c>
      <c r="F175" s="339" t="s">
        <v>321</v>
      </c>
      <c r="G175" s="340" t="str">
        <f>"Nom de la description 0 ("&amp;Fld_Desc_Titre0&amp;")"</f>
        <v>Nom de la description 0 (Structure de l'organisation)</v>
      </c>
      <c r="H175" s="341" t="str">
        <f>Fld_Desc_Titre0</f>
        <v>Structure de l'organisation</v>
      </c>
      <c r="I175" s="342" t="s">
        <v>476</v>
      </c>
      <c r="J175" s="343"/>
    </row>
    <row r="176" spans="1:10" ht="51">
      <c r="A176" s="59">
        <v>197</v>
      </c>
      <c r="B176" s="104" t="s">
        <v>477</v>
      </c>
      <c r="C176" s="815"/>
      <c r="D176" s="138" t="s">
        <v>320</v>
      </c>
      <c r="E176" s="139">
        <v>2000</v>
      </c>
      <c r="F176" s="344" t="s">
        <v>321</v>
      </c>
      <c r="G176" s="345" t="str">
        <f>Lib_Desc_Titre0</f>
        <v>Quelle est la structure de l'organisation (autorités locales, régionales ou nationales, association indépendante, etc.) et mentionnez combien d'organisations sont membres de votre structure, qui et quelle sorte d'organisation peut être membre : </v>
      </c>
      <c r="H176" s="346">
        <f>IF(OR(Fld_Description0="",Fld_Description0=0),"",Fld_Description0)</f>
      </c>
      <c r="I176" s="347"/>
      <c r="J176" s="348" t="s">
        <v>1175</v>
      </c>
    </row>
    <row r="177" spans="1:10" ht="12.75">
      <c r="A177" s="59">
        <v>198</v>
      </c>
      <c r="B177" s="104" t="s">
        <v>478</v>
      </c>
      <c r="C177" s="815"/>
      <c r="D177" s="138" t="s">
        <v>320</v>
      </c>
      <c r="E177" s="139">
        <v>20</v>
      </c>
      <c r="F177" s="344" t="s">
        <v>321</v>
      </c>
      <c r="G177" s="349" t="str">
        <f>"Nom de la description 1 ("&amp;Fld_Desc_Titre1&amp;")"</f>
        <v>Nom de la description 1 (Personnel permanent)</v>
      </c>
      <c r="H177" s="346" t="str">
        <f>Fld_Desc_Titre1</f>
        <v>Personnel permanent</v>
      </c>
      <c r="I177" s="342" t="s">
        <v>476</v>
      </c>
      <c r="J177" s="343"/>
    </row>
    <row r="178" spans="1:10" ht="12.75">
      <c r="A178" s="59">
        <v>199</v>
      </c>
      <c r="B178" s="104" t="s">
        <v>479</v>
      </c>
      <c r="C178" s="815"/>
      <c r="D178" s="138" t="s">
        <v>320</v>
      </c>
      <c r="E178" s="139">
        <v>2000</v>
      </c>
      <c r="F178" s="344" t="s">
        <v>321</v>
      </c>
      <c r="G178" s="350" t="str">
        <f>Lib_Desc_Titre1</f>
        <v>Personnel permanent employé par votre organisation (nombre) :</v>
      </c>
      <c r="H178" s="346">
        <f>IF(OR(Fld_Description1="",Fld_Description1=0),"",Fld_Description1)</f>
      </c>
      <c r="I178" s="347"/>
      <c r="J178" s="348" t="s">
        <v>1175</v>
      </c>
    </row>
    <row r="179" spans="1:10" ht="12.75">
      <c r="A179" s="59">
        <v>200</v>
      </c>
      <c r="B179" s="104" t="s">
        <v>480</v>
      </c>
      <c r="C179" s="815"/>
      <c r="D179" s="138" t="s">
        <v>320</v>
      </c>
      <c r="E179" s="139">
        <v>20</v>
      </c>
      <c r="F179" s="344" t="s">
        <v>321</v>
      </c>
      <c r="G179" s="349" t="str">
        <f>"Nom de la description 2 ("&amp;Fld_Desc_Titre2&amp;")"</f>
        <v>Nom de la description 2 (Objectifs et activité)</v>
      </c>
      <c r="H179" s="346" t="str">
        <f>Fld_Desc_Titre2</f>
        <v>Objectifs et activité</v>
      </c>
      <c r="I179" s="342" t="s">
        <v>476</v>
      </c>
      <c r="J179" s="343"/>
    </row>
    <row r="180" spans="1:10" ht="12.75">
      <c r="A180" s="59">
        <v>201</v>
      </c>
      <c r="B180" s="104" t="s">
        <v>481</v>
      </c>
      <c r="C180" s="815"/>
      <c r="D180" s="138" t="s">
        <v>320</v>
      </c>
      <c r="E180" s="139">
        <v>2000</v>
      </c>
      <c r="F180" s="344" t="s">
        <v>321</v>
      </c>
      <c r="G180" s="350" t="str">
        <f>Lib_Desc_Titre2</f>
        <v>Bref résumé des objectifs et des activités habituelles de l'organisation:</v>
      </c>
      <c r="H180" s="346">
        <f>IF(OR(Fld_Description2="",Fld_Description2=0),"",Fld_Description2)</f>
      </c>
      <c r="I180" s="347"/>
      <c r="J180" s="348" t="s">
        <v>1175</v>
      </c>
    </row>
    <row r="181" spans="1:10" ht="12.75">
      <c r="A181" s="59">
        <v>202</v>
      </c>
      <c r="B181" s="104" t="s">
        <v>482</v>
      </c>
      <c r="C181" s="815"/>
      <c r="D181" s="138" t="s">
        <v>320</v>
      </c>
      <c r="E181" s="139">
        <v>20</v>
      </c>
      <c r="F181" s="344" t="s">
        <v>321</v>
      </c>
      <c r="G181" s="349" t="str">
        <f>"Nom de la description 3 ("&amp;Fld_Desc_Titre3&amp;")"</f>
        <v>Nom de la description 3 (Source de financement)</v>
      </c>
      <c r="H181" s="346" t="str">
        <f>Fld_Desc_Titre3</f>
        <v>Source de financement</v>
      </c>
      <c r="I181" s="342" t="s">
        <v>476</v>
      </c>
      <c r="J181" s="343"/>
    </row>
    <row r="182" spans="1:10" ht="12.75">
      <c r="A182" s="59">
        <v>203</v>
      </c>
      <c r="B182" s="104" t="s">
        <v>483</v>
      </c>
      <c r="C182" s="815"/>
      <c r="D182" s="138" t="s">
        <v>320</v>
      </c>
      <c r="E182" s="139">
        <v>2000</v>
      </c>
      <c r="F182" s="344" t="s">
        <v>321</v>
      </c>
      <c r="G182" s="350" t="str">
        <f>Lib_Desc_Titre3</f>
        <v>Sources habituelles de financement de l'organisation :</v>
      </c>
      <c r="H182" s="346">
        <f>IF(OR(Fld_Description3="",Fld_Description3=0),"",Fld_Description3)</f>
      </c>
      <c r="I182" s="347"/>
      <c r="J182" s="348" t="s">
        <v>1175</v>
      </c>
    </row>
    <row r="183" spans="1:10" ht="12.75">
      <c r="A183" s="59">
        <v>204</v>
      </c>
      <c r="B183" s="104" t="s">
        <v>484</v>
      </c>
      <c r="C183" s="815"/>
      <c r="D183" s="138" t="s">
        <v>320</v>
      </c>
      <c r="E183" s="139">
        <v>20</v>
      </c>
      <c r="F183" s="344" t="s">
        <v>321</v>
      </c>
      <c r="G183" s="349" t="str">
        <f>"Nom de la description 4 ("&amp;Fld_Desc_Titre4&amp;")"</f>
        <v>Nom de la description 4 (Autres informations utiles)</v>
      </c>
      <c r="H183" s="346" t="str">
        <f>Fld_Desc_Titre4</f>
        <v>Autres informations utiles</v>
      </c>
      <c r="I183" s="342" t="s">
        <v>476</v>
      </c>
      <c r="J183" s="343"/>
    </row>
    <row r="184" spans="1:10" ht="12.75">
      <c r="A184" s="59">
        <v>205</v>
      </c>
      <c r="B184" s="104" t="s">
        <v>485</v>
      </c>
      <c r="C184" s="815"/>
      <c r="D184" s="138" t="s">
        <v>320</v>
      </c>
      <c r="E184" s="139">
        <v>2000</v>
      </c>
      <c r="F184" s="344" t="s">
        <v>321</v>
      </c>
      <c r="G184" s="349" t="str">
        <f>Lib_Desc_Titre4</f>
        <v>Autres informations utiles :</v>
      </c>
      <c r="H184" s="346">
        <f>IF(OR(Fld_Description4="",Fld_Description4=0),"",Fld_Description4)</f>
      </c>
      <c r="I184" s="347"/>
      <c r="J184" s="348" t="s">
        <v>1175</v>
      </c>
    </row>
    <row r="185" spans="1:10" ht="12.75">
      <c r="A185" s="59">
        <v>206</v>
      </c>
      <c r="B185" s="104" t="s">
        <v>212</v>
      </c>
      <c r="C185" s="815"/>
      <c r="D185" s="138" t="s">
        <v>320</v>
      </c>
      <c r="E185" s="139">
        <v>20</v>
      </c>
      <c r="F185" s="351" t="s">
        <v>323</v>
      </c>
      <c r="G185" s="352" t="s">
        <v>621</v>
      </c>
      <c r="H185" s="353"/>
      <c r="I185" s="342" t="s">
        <v>476</v>
      </c>
      <c r="J185" s="343"/>
    </row>
    <row r="186" spans="1:10" ht="12.75">
      <c r="A186" s="59">
        <v>207</v>
      </c>
      <c r="B186" s="104" t="s">
        <v>557</v>
      </c>
      <c r="C186" s="815"/>
      <c r="D186" s="138" t="s">
        <v>320</v>
      </c>
      <c r="E186" s="139">
        <v>2000</v>
      </c>
      <c r="F186" s="351" t="s">
        <v>323</v>
      </c>
      <c r="G186" s="352" t="s">
        <v>558</v>
      </c>
      <c r="H186" s="353"/>
      <c r="I186" s="347"/>
      <c r="J186" s="343"/>
    </row>
    <row r="187" spans="1:10" ht="12.75">
      <c r="A187" s="59">
        <v>208</v>
      </c>
      <c r="B187" s="104" t="s">
        <v>559</v>
      </c>
      <c r="C187" s="815"/>
      <c r="D187" s="138" t="s">
        <v>320</v>
      </c>
      <c r="E187" s="139">
        <v>20</v>
      </c>
      <c r="F187" s="351" t="s">
        <v>323</v>
      </c>
      <c r="G187" s="352" t="s">
        <v>622</v>
      </c>
      <c r="H187" s="353"/>
      <c r="I187" s="342" t="s">
        <v>476</v>
      </c>
      <c r="J187" s="343"/>
    </row>
    <row r="188" spans="1:10" ht="12.75">
      <c r="A188" s="59">
        <v>209</v>
      </c>
      <c r="B188" s="104" t="s">
        <v>560</v>
      </c>
      <c r="C188" s="815"/>
      <c r="D188" s="138" t="s">
        <v>320</v>
      </c>
      <c r="E188" s="139">
        <v>2000</v>
      </c>
      <c r="F188" s="351" t="s">
        <v>323</v>
      </c>
      <c r="G188" s="352" t="s">
        <v>555</v>
      </c>
      <c r="H188" s="353"/>
      <c r="I188" s="347"/>
      <c r="J188" s="343"/>
    </row>
    <row r="189" spans="1:10" ht="12.75">
      <c r="A189" s="59">
        <v>210</v>
      </c>
      <c r="B189" s="104" t="s">
        <v>556</v>
      </c>
      <c r="C189" s="815"/>
      <c r="D189" s="138" t="s">
        <v>320</v>
      </c>
      <c r="E189" s="139">
        <v>20</v>
      </c>
      <c r="F189" s="351" t="s">
        <v>323</v>
      </c>
      <c r="G189" s="352" t="s">
        <v>1502</v>
      </c>
      <c r="H189" s="353"/>
      <c r="I189" s="342" t="s">
        <v>190</v>
      </c>
      <c r="J189" s="343"/>
    </row>
    <row r="190" spans="1:10" ht="12.75">
      <c r="A190" s="59">
        <v>211</v>
      </c>
      <c r="B190" s="104" t="s">
        <v>191</v>
      </c>
      <c r="C190" s="815"/>
      <c r="D190" s="138" t="s">
        <v>320</v>
      </c>
      <c r="E190" s="139">
        <v>2000</v>
      </c>
      <c r="F190" s="351" t="s">
        <v>323</v>
      </c>
      <c r="G190" s="352" t="s">
        <v>192</v>
      </c>
      <c r="H190" s="353"/>
      <c r="I190" s="347"/>
      <c r="J190" s="343"/>
    </row>
    <row r="191" spans="1:10" ht="12.75">
      <c r="A191" s="59">
        <v>212</v>
      </c>
      <c r="B191" s="104" t="s">
        <v>193</v>
      </c>
      <c r="C191" s="815"/>
      <c r="D191" s="138" t="s">
        <v>320</v>
      </c>
      <c r="E191" s="139">
        <v>20</v>
      </c>
      <c r="F191" s="351" t="s">
        <v>323</v>
      </c>
      <c r="G191" s="352" t="s">
        <v>1503</v>
      </c>
      <c r="H191" s="353"/>
      <c r="I191" s="342" t="s">
        <v>775</v>
      </c>
      <c r="J191" s="343"/>
    </row>
    <row r="192" spans="1:10" ht="12.75">
      <c r="A192" s="59">
        <v>213</v>
      </c>
      <c r="B192" s="104" t="s">
        <v>776</v>
      </c>
      <c r="C192" s="815"/>
      <c r="D192" s="138" t="s">
        <v>320</v>
      </c>
      <c r="E192" s="139">
        <v>2000</v>
      </c>
      <c r="F192" s="351" t="s">
        <v>323</v>
      </c>
      <c r="G192" s="352" t="s">
        <v>777</v>
      </c>
      <c r="H192" s="353"/>
      <c r="I192" s="347"/>
      <c r="J192" s="343"/>
    </row>
    <row r="193" spans="1:10" ht="12.75">
      <c r="A193" s="59">
        <v>214</v>
      </c>
      <c r="B193" s="104" t="s">
        <v>778</v>
      </c>
      <c r="C193" s="815"/>
      <c r="D193" s="138" t="s">
        <v>320</v>
      </c>
      <c r="E193" s="139">
        <v>20</v>
      </c>
      <c r="F193" s="351" t="s">
        <v>323</v>
      </c>
      <c r="G193" s="352" t="s">
        <v>1504</v>
      </c>
      <c r="H193" s="353"/>
      <c r="I193" s="342" t="s">
        <v>779</v>
      </c>
      <c r="J193" s="343"/>
    </row>
    <row r="194" spans="1:10" ht="13.5" thickBot="1">
      <c r="A194" s="59">
        <v>215</v>
      </c>
      <c r="B194" s="104" t="s">
        <v>780</v>
      </c>
      <c r="C194" s="816"/>
      <c r="D194" s="146" t="s">
        <v>320</v>
      </c>
      <c r="E194" s="147">
        <v>2000</v>
      </c>
      <c r="F194" s="354" t="s">
        <v>323</v>
      </c>
      <c r="G194" s="355" t="s">
        <v>781</v>
      </c>
      <c r="H194" s="356"/>
      <c r="I194" s="347"/>
      <c r="J194" s="343"/>
    </row>
    <row r="195" spans="1:10" ht="45" customHeight="1">
      <c r="A195" s="59">
        <v>216</v>
      </c>
      <c r="B195" s="104" t="s">
        <v>782</v>
      </c>
      <c r="C195" s="814" t="s">
        <v>530</v>
      </c>
      <c r="D195" s="135" t="s">
        <v>114</v>
      </c>
      <c r="E195" s="136"/>
      <c r="F195" s="339" t="s">
        <v>321</v>
      </c>
      <c r="G195" s="357" t="str">
        <f>Lbl_SubventionsAnterieures</f>
        <v>Soutiens financiers antérieurs obtenus directement ou indirectement au cours des trois années précédentes auprès d'une institution européenne ou organisme communautaire (s’il y a lieu)</v>
      </c>
      <c r="H195" s="358" t="str">
        <f>IF('Part I'!$M$69=1,"Yes","No")</f>
        <v>No</v>
      </c>
      <c r="I195" s="342" t="s">
        <v>636</v>
      </c>
      <c r="J195" s="359" t="s">
        <v>1175</v>
      </c>
    </row>
    <row r="196" spans="1:10" ht="12.75">
      <c r="A196" s="59">
        <v>217</v>
      </c>
      <c r="B196" s="104" t="s">
        <v>783</v>
      </c>
      <c r="C196" s="815"/>
      <c r="D196" s="138" t="s">
        <v>320</v>
      </c>
      <c r="E196" s="139">
        <v>10</v>
      </c>
      <c r="F196" s="351" t="s">
        <v>323</v>
      </c>
      <c r="G196" s="360" t="s">
        <v>784</v>
      </c>
      <c r="H196" s="361"/>
      <c r="I196" s="342" t="s">
        <v>785</v>
      </c>
      <c r="J196" s="343"/>
    </row>
    <row r="197" spans="1:10" ht="12.75">
      <c r="A197" s="59">
        <v>218</v>
      </c>
      <c r="B197" s="104" t="s">
        <v>786</v>
      </c>
      <c r="C197" s="815"/>
      <c r="D197" s="138" t="s">
        <v>320</v>
      </c>
      <c r="E197" s="139">
        <v>50</v>
      </c>
      <c r="F197" s="344" t="s">
        <v>323</v>
      </c>
      <c r="G197" s="362" t="str">
        <f>Lbl_N_SOC</f>
        <v>N° du contrat</v>
      </c>
      <c r="H197" s="346">
        <f>IF(ISBLANK(Fld_N_SOC_1),"",Fld_N_SOC_1)</f>
      </c>
      <c r="I197" s="347"/>
      <c r="J197" s="363" t="s">
        <v>1175</v>
      </c>
    </row>
    <row r="198" spans="1:10" ht="12.75">
      <c r="A198" s="59">
        <v>219</v>
      </c>
      <c r="B198" s="104" t="s">
        <v>788</v>
      </c>
      <c r="C198" s="815"/>
      <c r="D198" s="138" t="s">
        <v>320</v>
      </c>
      <c r="E198" s="139">
        <v>50</v>
      </c>
      <c r="F198" s="344" t="s">
        <v>323</v>
      </c>
      <c r="G198" s="362" t="str">
        <f>Lbl_DG_Respons</f>
        <v>Direction générale responsable de la ligne budgétaire</v>
      </c>
      <c r="H198" s="346">
        <f>IF(ISBLANK(Fld_DG_4),"",Fld_DG_4)</f>
      </c>
      <c r="I198" s="347"/>
      <c r="J198" s="363" t="s">
        <v>1175</v>
      </c>
    </row>
    <row r="199" spans="1:10" ht="12.75">
      <c r="A199" s="59">
        <v>220</v>
      </c>
      <c r="B199" s="104" t="s">
        <v>789</v>
      </c>
      <c r="C199" s="815"/>
      <c r="D199" s="138" t="s">
        <v>320</v>
      </c>
      <c r="E199" s="139">
        <v>4</v>
      </c>
      <c r="F199" s="344" t="s">
        <v>323</v>
      </c>
      <c r="G199" s="362" t="str">
        <f>Lbl_Année</f>
        <v>Année</v>
      </c>
      <c r="H199" s="346">
        <f>IF(ISBLANK(Fld_Annee_1),"",Fld_Annee_1)</f>
      </c>
      <c r="I199" s="347"/>
      <c r="J199" s="363" t="s">
        <v>1175</v>
      </c>
    </row>
    <row r="200" spans="1:10" ht="12.75">
      <c r="A200" s="59">
        <v>221</v>
      </c>
      <c r="B200" s="104" t="s">
        <v>791</v>
      </c>
      <c r="C200" s="815"/>
      <c r="D200" s="138" t="s">
        <v>1495</v>
      </c>
      <c r="E200" s="139"/>
      <c r="F200" s="344" t="s">
        <v>323</v>
      </c>
      <c r="G200" s="362" t="str">
        <f>Lbl_Montant</f>
        <v>Montant (€)</v>
      </c>
      <c r="H200" s="346">
        <f>IF(ISBLANK(Fld_Montant_1),"",Fld_Montant_1)</f>
      </c>
      <c r="I200" s="347"/>
      <c r="J200" s="363" t="s">
        <v>1175</v>
      </c>
    </row>
    <row r="201" spans="1:10" ht="12.75">
      <c r="A201" s="59">
        <v>222</v>
      </c>
      <c r="B201" s="104" t="s">
        <v>793</v>
      </c>
      <c r="C201" s="815"/>
      <c r="D201" s="138" t="s">
        <v>320</v>
      </c>
      <c r="E201" s="139"/>
      <c r="F201" s="344" t="s">
        <v>323</v>
      </c>
      <c r="G201" s="362" t="str">
        <f>Lbl_Titre</f>
        <v>Titre</v>
      </c>
      <c r="H201" s="346">
        <f>IF(ISBLANK(Fld_Titre_1),"",Fld_Titre_1)</f>
      </c>
      <c r="I201" s="347"/>
      <c r="J201" s="363" t="s">
        <v>1175</v>
      </c>
    </row>
    <row r="202" spans="1:10" ht="13.5" thickBot="1">
      <c r="A202" s="59">
        <v>223</v>
      </c>
      <c r="B202" s="104" t="s">
        <v>794</v>
      </c>
      <c r="C202" s="815"/>
      <c r="D202" s="155" t="s">
        <v>320</v>
      </c>
      <c r="E202" s="156"/>
      <c r="F202" s="364" t="s">
        <v>323</v>
      </c>
      <c r="G202" s="365" t="s">
        <v>381</v>
      </c>
      <c r="H202" s="361"/>
      <c r="I202" s="347"/>
      <c r="J202" s="343"/>
    </row>
    <row r="203" spans="1:10" ht="38.25">
      <c r="A203" s="59">
        <v>224</v>
      </c>
      <c r="B203" s="104" t="s">
        <v>795</v>
      </c>
      <c r="C203" s="815"/>
      <c r="D203" s="138" t="s">
        <v>114</v>
      </c>
      <c r="E203" s="139"/>
      <c r="F203" s="344" t="s">
        <v>321</v>
      </c>
      <c r="G203" s="357" t="str">
        <f>Lbl_SubventionsAnterieures</f>
        <v>Soutiens financiers antérieurs obtenus directement ou indirectement au cours des trois années précédentes auprès d'une institution européenne ou organisme communautaire (s’il y a lieu)</v>
      </c>
      <c r="H203" s="358" t="str">
        <f>IF('Part I'!$M$70=1,"Yes","No")</f>
        <v>No</v>
      </c>
      <c r="I203" s="342" t="s">
        <v>636</v>
      </c>
      <c r="J203" s="359" t="s">
        <v>1175</v>
      </c>
    </row>
    <row r="204" spans="1:10" ht="12.75">
      <c r="A204" s="59">
        <v>225</v>
      </c>
      <c r="B204" s="104" t="s">
        <v>796</v>
      </c>
      <c r="C204" s="815"/>
      <c r="D204" s="138" t="s">
        <v>320</v>
      </c>
      <c r="E204" s="139">
        <v>10</v>
      </c>
      <c r="F204" s="351" t="s">
        <v>323</v>
      </c>
      <c r="G204" s="352" t="s">
        <v>784</v>
      </c>
      <c r="H204" s="361"/>
      <c r="I204" s="342" t="s">
        <v>785</v>
      </c>
      <c r="J204" s="343"/>
    </row>
    <row r="205" spans="1:10" ht="12.75">
      <c r="A205" s="59">
        <v>226</v>
      </c>
      <c r="B205" s="104" t="s">
        <v>797</v>
      </c>
      <c r="C205" s="815"/>
      <c r="D205" s="138" t="s">
        <v>320</v>
      </c>
      <c r="E205" s="139">
        <v>50</v>
      </c>
      <c r="F205" s="344" t="s">
        <v>323</v>
      </c>
      <c r="G205" s="362" t="str">
        <f>Lbl_N_SOC</f>
        <v>N° du contrat</v>
      </c>
      <c r="H205" s="346">
        <f>IF(ISBLANK(Fld_N_SOC_2),"",Fld_N_SOC_2)</f>
      </c>
      <c r="I205" s="347"/>
      <c r="J205" s="359" t="s">
        <v>1175</v>
      </c>
    </row>
    <row r="206" spans="1:10" ht="12.75">
      <c r="A206" s="59">
        <v>227</v>
      </c>
      <c r="B206" s="104" t="s">
        <v>798</v>
      </c>
      <c r="C206" s="815"/>
      <c r="D206" s="138" t="s">
        <v>320</v>
      </c>
      <c r="E206" s="139">
        <v>50</v>
      </c>
      <c r="F206" s="344" t="s">
        <v>323</v>
      </c>
      <c r="G206" s="362" t="str">
        <f>Lbl_DG_Respons</f>
        <v>Direction générale responsable de la ligne budgétaire</v>
      </c>
      <c r="H206" s="346">
        <f>IF(ISBLANK(Fld_DG_5),"",Fld_DG_5)</f>
      </c>
      <c r="I206" s="347"/>
      <c r="J206" s="359" t="s">
        <v>1175</v>
      </c>
    </row>
    <row r="207" spans="1:10" ht="12.75">
      <c r="A207" s="59">
        <v>228</v>
      </c>
      <c r="B207" s="104" t="s">
        <v>799</v>
      </c>
      <c r="C207" s="815"/>
      <c r="D207" s="138" t="s">
        <v>320</v>
      </c>
      <c r="E207" s="139">
        <v>4</v>
      </c>
      <c r="F207" s="344" t="s">
        <v>323</v>
      </c>
      <c r="G207" s="362" t="str">
        <f>Lbl_Année</f>
        <v>Année</v>
      </c>
      <c r="H207" s="346">
        <f>IF(ISBLANK(Fld_Annee_2),"",Fld_Annee_2)</f>
      </c>
      <c r="I207" s="347"/>
      <c r="J207" s="366" t="s">
        <v>1175</v>
      </c>
    </row>
    <row r="208" spans="1:10" ht="12.75">
      <c r="A208" s="59">
        <v>229</v>
      </c>
      <c r="B208" s="104" t="s">
        <v>800</v>
      </c>
      <c r="C208" s="815"/>
      <c r="D208" s="138" t="s">
        <v>1495</v>
      </c>
      <c r="E208" s="139"/>
      <c r="F208" s="344" t="s">
        <v>323</v>
      </c>
      <c r="G208" s="362" t="str">
        <f>Lbl_Montant</f>
        <v>Montant (€)</v>
      </c>
      <c r="H208" s="346">
        <f>IF(ISBLANK(Fld_Montant_2),"",Fld_Montant_2)</f>
      </c>
      <c r="I208" s="347"/>
      <c r="J208" s="366" t="s">
        <v>1175</v>
      </c>
    </row>
    <row r="209" spans="1:10" ht="12.75">
      <c r="A209" s="59">
        <v>230</v>
      </c>
      <c r="B209" s="104" t="s">
        <v>801</v>
      </c>
      <c r="C209" s="815"/>
      <c r="D209" s="138" t="s">
        <v>320</v>
      </c>
      <c r="E209" s="139"/>
      <c r="F209" s="344" t="s">
        <v>323</v>
      </c>
      <c r="G209" s="362" t="str">
        <f>Lbl_Titre</f>
        <v>Titre</v>
      </c>
      <c r="H209" s="346">
        <f>IF(ISBLANK(Fld_Titre_2),"",Fld_Titre_2)</f>
      </c>
      <c r="I209" s="347"/>
      <c r="J209" s="366" t="s">
        <v>1175</v>
      </c>
    </row>
    <row r="210" spans="1:10" ht="13.5" thickBot="1">
      <c r="A210" s="59">
        <v>231</v>
      </c>
      <c r="B210" s="104" t="s">
        <v>802</v>
      </c>
      <c r="C210" s="815"/>
      <c r="D210" s="155" t="s">
        <v>320</v>
      </c>
      <c r="E210" s="156"/>
      <c r="F210" s="364" t="s">
        <v>323</v>
      </c>
      <c r="G210" s="365" t="s">
        <v>381</v>
      </c>
      <c r="H210" s="367"/>
      <c r="I210" s="347"/>
      <c r="J210" s="343"/>
    </row>
    <row r="211" spans="1:10" ht="38.25">
      <c r="A211" s="59">
        <v>232</v>
      </c>
      <c r="B211" s="104" t="s">
        <v>803</v>
      </c>
      <c r="C211" s="815"/>
      <c r="D211" s="138" t="s">
        <v>114</v>
      </c>
      <c r="E211" s="139"/>
      <c r="F211" s="344" t="s">
        <v>321</v>
      </c>
      <c r="G211" s="357" t="str">
        <f>Lbl_SubventionsAnterieures</f>
        <v>Soutiens financiers antérieurs obtenus directement ou indirectement au cours des trois années précédentes auprès d'une institution européenne ou organisme communautaire (s’il y a lieu)</v>
      </c>
      <c r="H211" s="358" t="str">
        <f>IF('Part I'!$M$71=1,"Yes","No")</f>
        <v>No</v>
      </c>
      <c r="I211" s="342" t="s">
        <v>636</v>
      </c>
      <c r="J211" s="359" t="s">
        <v>1175</v>
      </c>
    </row>
    <row r="212" spans="1:10" ht="12.75">
      <c r="A212" s="59">
        <v>233</v>
      </c>
      <c r="B212" s="104" t="s">
        <v>804</v>
      </c>
      <c r="C212" s="815"/>
      <c r="D212" s="138" t="s">
        <v>320</v>
      </c>
      <c r="E212" s="139">
        <v>10</v>
      </c>
      <c r="F212" s="351" t="s">
        <v>323</v>
      </c>
      <c r="G212" s="352" t="s">
        <v>784</v>
      </c>
      <c r="H212" s="361"/>
      <c r="I212" s="342" t="s">
        <v>785</v>
      </c>
      <c r="J212" s="343"/>
    </row>
    <row r="213" spans="1:10" ht="12.75">
      <c r="A213" s="59">
        <v>234</v>
      </c>
      <c r="B213" s="104" t="s">
        <v>805</v>
      </c>
      <c r="C213" s="815"/>
      <c r="D213" s="138" t="s">
        <v>320</v>
      </c>
      <c r="E213" s="139">
        <v>50</v>
      </c>
      <c r="F213" s="344" t="s">
        <v>323</v>
      </c>
      <c r="G213" s="362" t="str">
        <f>Lbl_N_SOC</f>
        <v>N° du contrat</v>
      </c>
      <c r="H213" s="346">
        <f>IF(ISBLANK(Fld_N_SOC_3),"",Fld_N_SOC_3)</f>
      </c>
      <c r="I213" s="347"/>
      <c r="J213" s="363" t="s">
        <v>1175</v>
      </c>
    </row>
    <row r="214" spans="1:10" ht="12.75">
      <c r="A214" s="59">
        <v>235</v>
      </c>
      <c r="B214" s="104" t="s">
        <v>806</v>
      </c>
      <c r="C214" s="815"/>
      <c r="D214" s="138" t="s">
        <v>320</v>
      </c>
      <c r="E214" s="139">
        <v>50</v>
      </c>
      <c r="F214" s="344" t="s">
        <v>323</v>
      </c>
      <c r="G214" s="362" t="str">
        <f>Lbl_DG_Respons</f>
        <v>Direction générale responsable de la ligne budgétaire</v>
      </c>
      <c r="H214" s="346">
        <f>IF(ISBLANK(Fld_DG_6),"",Fld_DG_6)</f>
      </c>
      <c r="I214" s="347"/>
      <c r="J214" s="363" t="s">
        <v>1175</v>
      </c>
    </row>
    <row r="215" spans="1:10" ht="12.75">
      <c r="A215" s="59">
        <v>236</v>
      </c>
      <c r="B215" s="104" t="s">
        <v>807</v>
      </c>
      <c r="C215" s="815"/>
      <c r="D215" s="138" t="s">
        <v>320</v>
      </c>
      <c r="E215" s="139">
        <v>4</v>
      </c>
      <c r="F215" s="344" t="s">
        <v>323</v>
      </c>
      <c r="G215" s="362" t="str">
        <f>Lbl_Année</f>
        <v>Année</v>
      </c>
      <c r="H215" s="346">
        <f>IF(ISBLANK(Fld_Annee_3),"",Fld_Annee_3)</f>
      </c>
      <c r="I215" s="347"/>
      <c r="J215" s="363" t="s">
        <v>1175</v>
      </c>
    </row>
    <row r="216" spans="1:10" ht="12.75">
      <c r="A216" s="59">
        <v>237</v>
      </c>
      <c r="B216" s="104" t="s">
        <v>808</v>
      </c>
      <c r="C216" s="815"/>
      <c r="D216" s="138" t="s">
        <v>1495</v>
      </c>
      <c r="E216" s="139"/>
      <c r="F216" s="344" t="s">
        <v>323</v>
      </c>
      <c r="G216" s="362" t="str">
        <f>Lbl_Montant</f>
        <v>Montant (€)</v>
      </c>
      <c r="H216" s="346">
        <f>IF(ISBLANK(Fld_Montant_3),"",Fld_Montant_3)</f>
      </c>
      <c r="I216" s="347"/>
      <c r="J216" s="363" t="s">
        <v>1175</v>
      </c>
    </row>
    <row r="217" spans="1:10" ht="12.75">
      <c r="A217" s="59">
        <v>238</v>
      </c>
      <c r="B217" s="104" t="s">
        <v>809</v>
      </c>
      <c r="C217" s="815"/>
      <c r="D217" s="138" t="s">
        <v>320</v>
      </c>
      <c r="E217" s="139"/>
      <c r="F217" s="344" t="s">
        <v>323</v>
      </c>
      <c r="G217" s="362" t="str">
        <f>Lbl_Titre</f>
        <v>Titre</v>
      </c>
      <c r="H217" s="346">
        <f>IF(ISBLANK(Fld_Titre_3),"",Fld_Titre_3)</f>
      </c>
      <c r="I217" s="347"/>
      <c r="J217" s="363" t="s">
        <v>1175</v>
      </c>
    </row>
    <row r="218" spans="1:10" ht="13.5" thickBot="1">
      <c r="A218" s="59">
        <v>239</v>
      </c>
      <c r="B218" s="104" t="s">
        <v>813</v>
      </c>
      <c r="C218" s="815"/>
      <c r="D218" s="155" t="s">
        <v>320</v>
      </c>
      <c r="E218" s="156"/>
      <c r="F218" s="364" t="s">
        <v>323</v>
      </c>
      <c r="G218" s="365" t="s">
        <v>381</v>
      </c>
      <c r="H218" s="367"/>
      <c r="I218" s="347"/>
      <c r="J218" s="343"/>
    </row>
    <row r="219" spans="1:10" ht="38.25">
      <c r="A219" s="59">
        <v>240</v>
      </c>
      <c r="B219" s="104" t="s">
        <v>814</v>
      </c>
      <c r="C219" s="815"/>
      <c r="D219" s="138" t="s">
        <v>114</v>
      </c>
      <c r="E219" s="139"/>
      <c r="F219" s="344" t="s">
        <v>321</v>
      </c>
      <c r="G219" s="357" t="str">
        <f>Lbl_SubventionsAnterieures</f>
        <v>Soutiens financiers antérieurs obtenus directement ou indirectement au cours des trois années précédentes auprès d'une institution européenne ou organisme communautaire (s’il y a lieu)</v>
      </c>
      <c r="H219" s="358" t="str">
        <f>IF('Part I'!$M$72=1,"Yes","No")</f>
        <v>No</v>
      </c>
      <c r="I219" s="342" t="s">
        <v>636</v>
      </c>
      <c r="J219" s="359" t="s">
        <v>1175</v>
      </c>
    </row>
    <row r="220" spans="1:10" ht="12.75">
      <c r="A220" s="59">
        <v>241</v>
      </c>
      <c r="B220" s="104" t="s">
        <v>815</v>
      </c>
      <c r="C220" s="815"/>
      <c r="D220" s="138" t="s">
        <v>320</v>
      </c>
      <c r="E220" s="139">
        <v>10</v>
      </c>
      <c r="F220" s="351" t="s">
        <v>323</v>
      </c>
      <c r="G220" s="352" t="s">
        <v>784</v>
      </c>
      <c r="H220" s="361"/>
      <c r="I220" s="342" t="s">
        <v>785</v>
      </c>
      <c r="J220" s="343"/>
    </row>
    <row r="221" spans="1:10" ht="12.75">
      <c r="A221" s="59">
        <v>242</v>
      </c>
      <c r="B221" s="104" t="s">
        <v>816</v>
      </c>
      <c r="C221" s="815"/>
      <c r="D221" s="138" t="s">
        <v>320</v>
      </c>
      <c r="E221" s="139">
        <v>50</v>
      </c>
      <c r="F221" s="344" t="s">
        <v>323</v>
      </c>
      <c r="G221" s="362" t="str">
        <f>Lbl_N_SOC</f>
        <v>N° du contrat</v>
      </c>
      <c r="H221" s="346">
        <f>IF(ISBLANK(Fld_N_SOC_4),"",Fld_N_SOC_4)</f>
      </c>
      <c r="I221" s="347"/>
      <c r="J221" s="366" t="s">
        <v>1175</v>
      </c>
    </row>
    <row r="222" spans="1:10" ht="12.75">
      <c r="A222" s="59">
        <v>243</v>
      </c>
      <c r="B222" s="104" t="s">
        <v>817</v>
      </c>
      <c r="C222" s="815"/>
      <c r="D222" s="138" t="s">
        <v>320</v>
      </c>
      <c r="E222" s="139">
        <v>50</v>
      </c>
      <c r="F222" s="344" t="s">
        <v>323</v>
      </c>
      <c r="G222" s="362" t="str">
        <f>Lbl_DG_Respons</f>
        <v>Direction générale responsable de la ligne budgétaire</v>
      </c>
      <c r="H222" s="346">
        <f>IF(ISBLANK(Fld_DG_7),"",Fld_DG_7)</f>
      </c>
      <c r="I222" s="347"/>
      <c r="J222" s="366" t="s">
        <v>1175</v>
      </c>
    </row>
    <row r="223" spans="1:10" ht="12.75">
      <c r="A223" s="59">
        <v>244</v>
      </c>
      <c r="B223" s="104" t="s">
        <v>818</v>
      </c>
      <c r="C223" s="815"/>
      <c r="D223" s="138" t="s">
        <v>320</v>
      </c>
      <c r="E223" s="139">
        <v>4</v>
      </c>
      <c r="F223" s="344" t="s">
        <v>323</v>
      </c>
      <c r="G223" s="362" t="str">
        <f>Lbl_Année</f>
        <v>Année</v>
      </c>
      <c r="H223" s="346">
        <f>IF(ISBLANK(Fld_Annee_4),"",Fld_Annee_4)</f>
      </c>
      <c r="I223" s="347"/>
      <c r="J223" s="366" t="s">
        <v>1175</v>
      </c>
    </row>
    <row r="224" spans="1:10" ht="12.75">
      <c r="A224" s="59">
        <v>245</v>
      </c>
      <c r="B224" s="104" t="s">
        <v>819</v>
      </c>
      <c r="C224" s="815"/>
      <c r="D224" s="138" t="s">
        <v>1495</v>
      </c>
      <c r="E224" s="139"/>
      <c r="F224" s="344" t="s">
        <v>323</v>
      </c>
      <c r="G224" s="362" t="str">
        <f>Lbl_Montant</f>
        <v>Montant (€)</v>
      </c>
      <c r="H224" s="346">
        <f>IF(ISBLANK(Fld_Montant_4),"",Fld_Montant_4)</f>
      </c>
      <c r="I224" s="347"/>
      <c r="J224" s="366" t="s">
        <v>1175</v>
      </c>
    </row>
    <row r="225" spans="1:10" ht="12.75">
      <c r="A225" s="59">
        <v>246</v>
      </c>
      <c r="B225" s="104" t="s">
        <v>820</v>
      </c>
      <c r="C225" s="815"/>
      <c r="D225" s="138" t="s">
        <v>320</v>
      </c>
      <c r="E225" s="139"/>
      <c r="F225" s="344" t="s">
        <v>323</v>
      </c>
      <c r="G225" s="362" t="str">
        <f>Lbl_Titre</f>
        <v>Titre</v>
      </c>
      <c r="H225" s="346">
        <f>IF(ISBLANK(Fld_Titre_4),"",Fld_Titre_4)</f>
      </c>
      <c r="I225" s="347"/>
      <c r="J225" s="366" t="s">
        <v>1175</v>
      </c>
    </row>
    <row r="226" spans="1:10" ht="13.5" thickBot="1">
      <c r="A226" s="59">
        <v>247</v>
      </c>
      <c r="B226" s="104" t="s">
        <v>821</v>
      </c>
      <c r="C226" s="815"/>
      <c r="D226" s="155" t="s">
        <v>320</v>
      </c>
      <c r="E226" s="156"/>
      <c r="F226" s="364" t="s">
        <v>323</v>
      </c>
      <c r="G226" s="365" t="s">
        <v>381</v>
      </c>
      <c r="H226" s="367"/>
      <c r="I226" s="347"/>
      <c r="J226" s="343"/>
    </row>
    <row r="227" spans="1:10" ht="38.25">
      <c r="A227" s="59">
        <v>248</v>
      </c>
      <c r="B227" s="104" t="s">
        <v>1966</v>
      </c>
      <c r="C227" s="815"/>
      <c r="D227" s="138" t="s">
        <v>114</v>
      </c>
      <c r="E227" s="139"/>
      <c r="F227" s="344" t="s">
        <v>321</v>
      </c>
      <c r="G227" s="357" t="str">
        <f>Lbl_SubventionsAnterieures</f>
        <v>Soutiens financiers antérieurs obtenus directement ou indirectement au cours des trois années précédentes auprès d'une institution européenne ou organisme communautaire (s’il y a lieu)</v>
      </c>
      <c r="H227" s="358" t="str">
        <f>IF('Part I'!$M$73=1,"Yes","No")</f>
        <v>No</v>
      </c>
      <c r="I227" s="342" t="s">
        <v>636</v>
      </c>
      <c r="J227" s="359" t="s">
        <v>1175</v>
      </c>
    </row>
    <row r="228" spans="1:10" ht="12.75">
      <c r="A228" s="59">
        <v>249</v>
      </c>
      <c r="B228" s="104" t="s">
        <v>1967</v>
      </c>
      <c r="C228" s="815"/>
      <c r="D228" s="138" t="s">
        <v>320</v>
      </c>
      <c r="E228" s="139">
        <v>10</v>
      </c>
      <c r="F228" s="351" t="s">
        <v>323</v>
      </c>
      <c r="G228" s="352" t="s">
        <v>784</v>
      </c>
      <c r="H228" s="361"/>
      <c r="I228" s="342" t="s">
        <v>785</v>
      </c>
      <c r="J228" s="343"/>
    </row>
    <row r="229" spans="1:10" ht="12.75">
      <c r="A229" s="59">
        <v>250</v>
      </c>
      <c r="B229" s="104" t="s">
        <v>1968</v>
      </c>
      <c r="C229" s="815"/>
      <c r="D229" s="138" t="s">
        <v>320</v>
      </c>
      <c r="E229" s="139">
        <v>50</v>
      </c>
      <c r="F229" s="344" t="s">
        <v>323</v>
      </c>
      <c r="G229" s="362" t="str">
        <f>Lbl_N_SOC</f>
        <v>N° du contrat</v>
      </c>
      <c r="H229" s="346">
        <f>IF(ISBLANK(Fld_N_SOC_5),"",Fld_N_SOC_5)</f>
      </c>
      <c r="I229" s="347"/>
      <c r="J229" s="366" t="s">
        <v>1175</v>
      </c>
    </row>
    <row r="230" spans="1:10" ht="12.75">
      <c r="A230" s="59">
        <v>251</v>
      </c>
      <c r="B230" s="104" t="s">
        <v>1969</v>
      </c>
      <c r="C230" s="815"/>
      <c r="D230" s="138" t="s">
        <v>320</v>
      </c>
      <c r="E230" s="139">
        <v>50</v>
      </c>
      <c r="F230" s="344" t="s">
        <v>323</v>
      </c>
      <c r="G230" s="362" t="str">
        <f>Lbl_DG_Respons</f>
        <v>Direction générale responsable de la ligne budgétaire</v>
      </c>
      <c r="H230" s="346">
        <f>IF(ISBLANK(Fld_DG_8),"",Fld_DG_8)</f>
      </c>
      <c r="I230" s="347"/>
      <c r="J230" s="366" t="s">
        <v>1175</v>
      </c>
    </row>
    <row r="231" spans="1:10" ht="12.75">
      <c r="A231" s="59">
        <v>252</v>
      </c>
      <c r="B231" s="104" t="s">
        <v>1970</v>
      </c>
      <c r="C231" s="815"/>
      <c r="D231" s="138" t="s">
        <v>320</v>
      </c>
      <c r="E231" s="139">
        <v>4</v>
      </c>
      <c r="F231" s="344" t="s">
        <v>323</v>
      </c>
      <c r="G231" s="362" t="str">
        <f>Lbl_Année</f>
        <v>Année</v>
      </c>
      <c r="H231" s="346">
        <f>IF(ISBLANK(Fld_Annee_5),"",Fld_Annee_5)</f>
      </c>
      <c r="I231" s="347"/>
      <c r="J231" s="366" t="s">
        <v>1175</v>
      </c>
    </row>
    <row r="232" spans="1:10" ht="12.75">
      <c r="A232" s="59">
        <v>253</v>
      </c>
      <c r="B232" s="104" t="s">
        <v>1971</v>
      </c>
      <c r="C232" s="815"/>
      <c r="D232" s="138" t="s">
        <v>1495</v>
      </c>
      <c r="E232" s="139"/>
      <c r="F232" s="344" t="s">
        <v>323</v>
      </c>
      <c r="G232" s="362" t="str">
        <f>Lbl_Montant</f>
        <v>Montant (€)</v>
      </c>
      <c r="H232" s="346">
        <f>IF(ISBLANK(Fld_Montant_5),"",Fld_Montant_5)</f>
      </c>
      <c r="I232" s="347"/>
      <c r="J232" s="366" t="s">
        <v>1175</v>
      </c>
    </row>
    <row r="233" spans="1:10" ht="12.75">
      <c r="A233" s="59">
        <v>254</v>
      </c>
      <c r="B233" s="104" t="s">
        <v>1972</v>
      </c>
      <c r="C233" s="815"/>
      <c r="D233" s="138" t="s">
        <v>320</v>
      </c>
      <c r="E233" s="139"/>
      <c r="F233" s="344" t="s">
        <v>323</v>
      </c>
      <c r="G233" s="362" t="str">
        <f>Lbl_Titre</f>
        <v>Titre</v>
      </c>
      <c r="H233" s="346">
        <f>IF(ISBLANK(Fld_Titre_5),"",Fld_Titre_5)</f>
      </c>
      <c r="I233" s="347"/>
      <c r="J233" s="366" t="s">
        <v>1175</v>
      </c>
    </row>
    <row r="234" spans="1:10" ht="13.5" thickBot="1">
      <c r="A234" s="59">
        <v>255</v>
      </c>
      <c r="B234" s="104" t="s">
        <v>1973</v>
      </c>
      <c r="C234" s="815"/>
      <c r="D234" s="155" t="s">
        <v>320</v>
      </c>
      <c r="E234" s="156"/>
      <c r="F234" s="364" t="s">
        <v>323</v>
      </c>
      <c r="G234" s="365" t="s">
        <v>381</v>
      </c>
      <c r="H234" s="367"/>
      <c r="I234" s="347"/>
      <c r="J234" s="343"/>
    </row>
    <row r="235" spans="1:10" ht="38.25">
      <c r="A235" s="59">
        <v>256</v>
      </c>
      <c r="B235" s="104" t="s">
        <v>1974</v>
      </c>
      <c r="C235" s="815"/>
      <c r="D235" s="138" t="s">
        <v>114</v>
      </c>
      <c r="E235" s="139"/>
      <c r="F235" s="344" t="s">
        <v>321</v>
      </c>
      <c r="G235" s="357" t="str">
        <f>Lbl_SubventionsAnterieures</f>
        <v>Soutiens financiers antérieurs obtenus directement ou indirectement au cours des trois années précédentes auprès d'une institution européenne ou organisme communautaire (s’il y a lieu)</v>
      </c>
      <c r="H235" s="358" t="str">
        <f>IF('Part I'!$M$74=1,"Yes","No")</f>
        <v>No</v>
      </c>
      <c r="I235" s="342" t="s">
        <v>636</v>
      </c>
      <c r="J235" s="359" t="s">
        <v>1175</v>
      </c>
    </row>
    <row r="236" spans="1:10" ht="12.75">
      <c r="A236" s="59">
        <v>257</v>
      </c>
      <c r="B236" s="104" t="s">
        <v>1975</v>
      </c>
      <c r="C236" s="815"/>
      <c r="D236" s="138" t="s">
        <v>320</v>
      </c>
      <c r="E236" s="139">
        <v>10</v>
      </c>
      <c r="F236" s="351" t="s">
        <v>323</v>
      </c>
      <c r="G236" s="352" t="s">
        <v>784</v>
      </c>
      <c r="H236" s="361"/>
      <c r="I236" s="342" t="s">
        <v>785</v>
      </c>
      <c r="J236" s="343"/>
    </row>
    <row r="237" spans="1:10" ht="12.75">
      <c r="A237" s="59">
        <v>258</v>
      </c>
      <c r="B237" s="104" t="s">
        <v>1985</v>
      </c>
      <c r="C237" s="815"/>
      <c r="D237" s="138" t="s">
        <v>320</v>
      </c>
      <c r="E237" s="139">
        <v>50</v>
      </c>
      <c r="F237" s="344" t="s">
        <v>323</v>
      </c>
      <c r="G237" s="362" t="str">
        <f>Lbl_N_SOC</f>
        <v>N° du contrat</v>
      </c>
      <c r="H237" s="346">
        <f>IF(ISBLANK(Fld_N_SOC_6),"",Fld_N_SOC_6)</f>
      </c>
      <c r="I237" s="347"/>
      <c r="J237" s="366" t="s">
        <v>1175</v>
      </c>
    </row>
    <row r="238" spans="1:10" ht="12.75">
      <c r="A238" s="59">
        <v>259</v>
      </c>
      <c r="B238" s="104" t="s">
        <v>1986</v>
      </c>
      <c r="C238" s="815"/>
      <c r="D238" s="138" t="s">
        <v>320</v>
      </c>
      <c r="E238" s="139">
        <v>50</v>
      </c>
      <c r="F238" s="344" t="s">
        <v>323</v>
      </c>
      <c r="G238" s="362" t="str">
        <f>Lbl_DG_Respons</f>
        <v>Direction générale responsable de la ligne budgétaire</v>
      </c>
      <c r="H238" s="346">
        <f>IF(ISBLANK(Fld_DG_9),"",Fld_DG_9)</f>
      </c>
      <c r="I238" s="347"/>
      <c r="J238" s="366" t="s">
        <v>1175</v>
      </c>
    </row>
    <row r="239" spans="1:10" ht="12.75">
      <c r="A239" s="59">
        <v>260</v>
      </c>
      <c r="B239" s="104" t="s">
        <v>1987</v>
      </c>
      <c r="C239" s="815"/>
      <c r="D239" s="138" t="s">
        <v>320</v>
      </c>
      <c r="E239" s="139">
        <v>4</v>
      </c>
      <c r="F239" s="344" t="s">
        <v>323</v>
      </c>
      <c r="G239" s="362" t="str">
        <f>Lbl_Année</f>
        <v>Année</v>
      </c>
      <c r="H239" s="346">
        <f>IF(ISBLANK(Fld_Annee_6),"",Fld_Annee_6)</f>
      </c>
      <c r="I239" s="347"/>
      <c r="J239" s="366" t="s">
        <v>1175</v>
      </c>
    </row>
    <row r="240" spans="1:10" ht="12.75">
      <c r="A240" s="59">
        <v>261</v>
      </c>
      <c r="B240" s="104" t="s">
        <v>1988</v>
      </c>
      <c r="C240" s="815"/>
      <c r="D240" s="138" t="s">
        <v>1495</v>
      </c>
      <c r="E240" s="139"/>
      <c r="F240" s="344" t="s">
        <v>323</v>
      </c>
      <c r="G240" s="362" t="str">
        <f>Lbl_Montant</f>
        <v>Montant (€)</v>
      </c>
      <c r="H240" s="346">
        <f>IF(ISBLANK(Fld_Montant_6),"",Fld_Montant_6)</f>
      </c>
      <c r="I240" s="347"/>
      <c r="J240" s="366" t="s">
        <v>1175</v>
      </c>
    </row>
    <row r="241" spans="1:10" ht="12.75">
      <c r="A241" s="59">
        <v>262</v>
      </c>
      <c r="B241" s="104" t="s">
        <v>1989</v>
      </c>
      <c r="C241" s="815"/>
      <c r="D241" s="138" t="s">
        <v>320</v>
      </c>
      <c r="E241" s="139"/>
      <c r="F241" s="344" t="s">
        <v>323</v>
      </c>
      <c r="G241" s="362" t="str">
        <f>Lbl_Titre</f>
        <v>Titre</v>
      </c>
      <c r="H241" s="346">
        <f>IF(ISBLANK(Fld_Titre_6),"",Fld_Titre_6)</f>
      </c>
      <c r="I241" s="347"/>
      <c r="J241" s="366" t="s">
        <v>1175</v>
      </c>
    </row>
    <row r="242" spans="1:10" ht="13.5" thickBot="1">
      <c r="A242" s="59">
        <v>263</v>
      </c>
      <c r="B242" s="104" t="s">
        <v>1990</v>
      </c>
      <c r="C242" s="815"/>
      <c r="D242" s="155" t="s">
        <v>320</v>
      </c>
      <c r="E242" s="156"/>
      <c r="F242" s="364" t="s">
        <v>323</v>
      </c>
      <c r="G242" s="365" t="s">
        <v>381</v>
      </c>
      <c r="H242" s="367"/>
      <c r="I242" s="347"/>
      <c r="J242" s="343"/>
    </row>
    <row r="243" spans="1:10" ht="38.25">
      <c r="A243" s="59">
        <v>264</v>
      </c>
      <c r="B243" s="104" t="s">
        <v>1991</v>
      </c>
      <c r="C243" s="815"/>
      <c r="D243" s="138" t="s">
        <v>114</v>
      </c>
      <c r="E243" s="139"/>
      <c r="F243" s="344" t="s">
        <v>321</v>
      </c>
      <c r="G243" s="357" t="str">
        <f>Lbl_SubventionsAnterieures</f>
        <v>Soutiens financiers antérieurs obtenus directement ou indirectement au cours des trois années précédentes auprès d'une institution européenne ou organisme communautaire (s’il y a lieu)</v>
      </c>
      <c r="H243" s="358" t="str">
        <f>IF('Part I'!$M$75=1,"Yes","No")</f>
        <v>No</v>
      </c>
      <c r="I243" s="342" t="s">
        <v>636</v>
      </c>
      <c r="J243" s="359" t="s">
        <v>1175</v>
      </c>
    </row>
    <row r="244" spans="1:10" ht="12.75">
      <c r="A244" s="59">
        <v>265</v>
      </c>
      <c r="B244" s="104" t="s">
        <v>1992</v>
      </c>
      <c r="C244" s="815"/>
      <c r="D244" s="138" t="s">
        <v>320</v>
      </c>
      <c r="E244" s="139">
        <v>10</v>
      </c>
      <c r="F244" s="351" t="s">
        <v>323</v>
      </c>
      <c r="G244" s="352" t="s">
        <v>784</v>
      </c>
      <c r="H244" s="361"/>
      <c r="I244" s="342" t="s">
        <v>785</v>
      </c>
      <c r="J244" s="343"/>
    </row>
    <row r="245" spans="1:10" ht="12.75">
      <c r="A245" s="59">
        <v>266</v>
      </c>
      <c r="B245" s="104" t="s">
        <v>1993</v>
      </c>
      <c r="C245" s="815"/>
      <c r="D245" s="138" t="s">
        <v>320</v>
      </c>
      <c r="E245" s="139">
        <v>50</v>
      </c>
      <c r="F245" s="344" t="s">
        <v>323</v>
      </c>
      <c r="G245" s="362" t="str">
        <f>Lbl_N_SOC</f>
        <v>N° du contrat</v>
      </c>
      <c r="H245" s="346">
        <f>IF(ISBLANK(Fld_N_SOC_7),"",Fld_N_SOC_7)</f>
      </c>
      <c r="I245" s="347"/>
      <c r="J245" s="366" t="s">
        <v>1175</v>
      </c>
    </row>
    <row r="246" spans="1:10" ht="12.75">
      <c r="A246" s="59">
        <v>267</v>
      </c>
      <c r="B246" s="104" t="s">
        <v>1994</v>
      </c>
      <c r="C246" s="815"/>
      <c r="D246" s="138" t="s">
        <v>320</v>
      </c>
      <c r="E246" s="139">
        <v>50</v>
      </c>
      <c r="F246" s="344" t="s">
        <v>323</v>
      </c>
      <c r="G246" s="362" t="str">
        <f>Lbl_DG_Respons</f>
        <v>Direction générale responsable de la ligne budgétaire</v>
      </c>
      <c r="H246" s="346">
        <f>IF(ISBLANK(Fld_DG_0),"",Fld_DG_0)</f>
      </c>
      <c r="I246" s="347"/>
      <c r="J246" s="366" t="s">
        <v>1175</v>
      </c>
    </row>
    <row r="247" spans="1:10" ht="12.75">
      <c r="A247" s="59">
        <v>268</v>
      </c>
      <c r="B247" s="104" t="s">
        <v>1995</v>
      </c>
      <c r="C247" s="815"/>
      <c r="D247" s="138" t="s">
        <v>320</v>
      </c>
      <c r="E247" s="139">
        <v>4</v>
      </c>
      <c r="F247" s="344" t="s">
        <v>323</v>
      </c>
      <c r="G247" s="362" t="str">
        <f>Lbl_Année</f>
        <v>Année</v>
      </c>
      <c r="H247" s="346">
        <f>IF(ISBLANK(Fld_Annee_7),"",Fld_Annee_7)</f>
      </c>
      <c r="I247" s="347"/>
      <c r="J247" s="366" t="s">
        <v>1175</v>
      </c>
    </row>
    <row r="248" spans="1:10" ht="12.75">
      <c r="A248" s="59">
        <v>269</v>
      </c>
      <c r="B248" s="104" t="s">
        <v>1283</v>
      </c>
      <c r="C248" s="815"/>
      <c r="D248" s="138" t="s">
        <v>1495</v>
      </c>
      <c r="E248" s="139"/>
      <c r="F248" s="344" t="s">
        <v>323</v>
      </c>
      <c r="G248" s="362" t="str">
        <f>Lbl_Montant</f>
        <v>Montant (€)</v>
      </c>
      <c r="H248" s="346">
        <f>IF(ISBLANK(Fld_Montant_7),"",Fld_Montant_7)</f>
      </c>
      <c r="I248" s="347"/>
      <c r="J248" s="366" t="s">
        <v>1175</v>
      </c>
    </row>
    <row r="249" spans="1:10" ht="12.75">
      <c r="A249" s="59">
        <v>270</v>
      </c>
      <c r="B249" s="104" t="s">
        <v>1284</v>
      </c>
      <c r="C249" s="815"/>
      <c r="D249" s="138" t="s">
        <v>320</v>
      </c>
      <c r="E249" s="139"/>
      <c r="F249" s="344" t="s">
        <v>323</v>
      </c>
      <c r="G249" s="362" t="str">
        <f>Lbl_Titre</f>
        <v>Titre</v>
      </c>
      <c r="H249" s="346">
        <f>IF(ISBLANK(Fld_Titre_7),"",Fld_Titre_7)</f>
      </c>
      <c r="I249" s="347"/>
      <c r="J249" s="366" t="s">
        <v>1175</v>
      </c>
    </row>
    <row r="250" spans="1:10" ht="13.5" thickBot="1">
      <c r="A250" s="59">
        <v>271</v>
      </c>
      <c r="B250" s="104" t="s">
        <v>1285</v>
      </c>
      <c r="C250" s="815"/>
      <c r="D250" s="155" t="s">
        <v>320</v>
      </c>
      <c r="E250" s="156"/>
      <c r="F250" s="364" t="s">
        <v>323</v>
      </c>
      <c r="G250" s="365" t="s">
        <v>381</v>
      </c>
      <c r="H250" s="367"/>
      <c r="I250" s="347"/>
      <c r="J250" s="343"/>
    </row>
    <row r="251" spans="1:10" ht="39">
      <c r="A251" s="59">
        <v>272</v>
      </c>
      <c r="B251" s="104" t="s">
        <v>1286</v>
      </c>
      <c r="C251" s="815"/>
      <c r="D251" s="138" t="s">
        <v>114</v>
      </c>
      <c r="E251" s="139"/>
      <c r="F251" s="344" t="s">
        <v>321</v>
      </c>
      <c r="G251" s="36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9" t="str">
        <f>IF('Part I'!$M$80=1,"Yes","No")</f>
        <v>No</v>
      </c>
      <c r="I251" s="342" t="s">
        <v>1569</v>
      </c>
      <c r="J251" s="359" t="s">
        <v>1175</v>
      </c>
    </row>
    <row r="252" spans="1:10" ht="12.75">
      <c r="A252" s="59">
        <v>273</v>
      </c>
      <c r="B252" s="104" t="s">
        <v>1287</v>
      </c>
      <c r="C252" s="815"/>
      <c r="D252" s="138" t="s">
        <v>320</v>
      </c>
      <c r="E252" s="139">
        <v>10</v>
      </c>
      <c r="F252" s="351" t="s">
        <v>323</v>
      </c>
      <c r="G252" s="352" t="s">
        <v>784</v>
      </c>
      <c r="H252" s="353"/>
      <c r="I252" s="342" t="s">
        <v>785</v>
      </c>
      <c r="J252" s="343"/>
    </row>
    <row r="253" spans="1:10" ht="12.75">
      <c r="A253" s="59">
        <v>274</v>
      </c>
      <c r="B253" s="104" t="s">
        <v>1288</v>
      </c>
      <c r="C253" s="815"/>
      <c r="D253" s="138" t="s">
        <v>320</v>
      </c>
      <c r="E253" s="139">
        <v>50</v>
      </c>
      <c r="F253" s="351" t="s">
        <v>323</v>
      </c>
      <c r="G253" s="352" t="s">
        <v>787</v>
      </c>
      <c r="H253" s="353"/>
      <c r="I253" s="347"/>
      <c r="J253" s="343"/>
    </row>
    <row r="254" spans="1:10" ht="12.75">
      <c r="A254" s="59">
        <v>275</v>
      </c>
      <c r="B254" s="104" t="s">
        <v>1289</v>
      </c>
      <c r="C254" s="815"/>
      <c r="D254" s="138" t="s">
        <v>320</v>
      </c>
      <c r="E254" s="139">
        <v>50</v>
      </c>
      <c r="F254" s="344" t="s">
        <v>323</v>
      </c>
      <c r="G254" s="349" t="str">
        <f>Lbl_DG_Respons</f>
        <v>Direction générale responsable de la ligne budgétaire</v>
      </c>
      <c r="H254" s="346">
        <f>IF(ISBLANK(Fld_DG_1),"",Fld_DG_1)</f>
      </c>
      <c r="I254" s="347"/>
      <c r="J254" s="366" t="s">
        <v>1175</v>
      </c>
    </row>
    <row r="255" spans="1:10" ht="12.75">
      <c r="A255" s="59">
        <v>276</v>
      </c>
      <c r="B255" s="104" t="s">
        <v>1290</v>
      </c>
      <c r="C255" s="815"/>
      <c r="D255" s="138" t="s">
        <v>320</v>
      </c>
      <c r="E255" s="139">
        <v>4</v>
      </c>
      <c r="F255" s="351" t="s">
        <v>323</v>
      </c>
      <c r="G255" s="352" t="s">
        <v>790</v>
      </c>
      <c r="H255" s="353"/>
      <c r="I255" s="347"/>
      <c r="J255" s="343"/>
    </row>
    <row r="256" spans="1:10" ht="12.75">
      <c r="A256" s="59">
        <v>277</v>
      </c>
      <c r="B256" s="104" t="s">
        <v>1291</v>
      </c>
      <c r="C256" s="815"/>
      <c r="D256" s="138" t="s">
        <v>1495</v>
      </c>
      <c r="E256" s="139"/>
      <c r="F256" s="351" t="s">
        <v>323</v>
      </c>
      <c r="G256" s="352" t="s">
        <v>792</v>
      </c>
      <c r="H256" s="353"/>
      <c r="I256" s="347"/>
      <c r="J256" s="343"/>
    </row>
    <row r="257" spans="1:10" ht="12.75">
      <c r="A257" s="59">
        <v>278</v>
      </c>
      <c r="B257" s="104" t="s">
        <v>1292</v>
      </c>
      <c r="C257" s="815"/>
      <c r="D257" s="138" t="s">
        <v>320</v>
      </c>
      <c r="E257" s="139"/>
      <c r="F257" s="344" t="s">
        <v>323</v>
      </c>
      <c r="G257" s="362" t="str">
        <f>Lbl_Ref_Proj</f>
        <v>Titre et numéro de référence du projet</v>
      </c>
      <c r="H257" s="346">
        <f>IF(ISBLANK(Fld_TitreRef_1),"",Fld_TitreRef_1)</f>
      </c>
      <c r="I257" s="347"/>
      <c r="J257" s="366" t="s">
        <v>1175</v>
      </c>
    </row>
    <row r="258" spans="1:10" ht="13.5" thickBot="1">
      <c r="A258" s="59">
        <v>279</v>
      </c>
      <c r="B258" s="104" t="s">
        <v>1293</v>
      </c>
      <c r="C258" s="815"/>
      <c r="D258" s="155" t="s">
        <v>320</v>
      </c>
      <c r="E258" s="156"/>
      <c r="F258" s="364" t="s">
        <v>323</v>
      </c>
      <c r="G258" s="365" t="s">
        <v>381</v>
      </c>
      <c r="H258" s="356"/>
      <c r="I258" s="347"/>
      <c r="J258" s="343"/>
    </row>
    <row r="259" spans="1:10" ht="39">
      <c r="A259" s="59">
        <v>280</v>
      </c>
      <c r="B259" s="104" t="s">
        <v>1294</v>
      </c>
      <c r="C259" s="815"/>
      <c r="D259" s="138" t="s">
        <v>114</v>
      </c>
      <c r="E259" s="139"/>
      <c r="F259" s="344" t="s">
        <v>321</v>
      </c>
      <c r="G259" s="36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9" t="str">
        <f>IF('Part I'!$M$81=1,"Yes","No")</f>
        <v>No</v>
      </c>
      <c r="I259" s="342" t="s">
        <v>1569</v>
      </c>
      <c r="J259" s="359" t="s">
        <v>1175</v>
      </c>
    </row>
    <row r="260" spans="1:10" ht="12.75">
      <c r="A260" s="59">
        <v>281</v>
      </c>
      <c r="B260" s="104" t="s">
        <v>1295</v>
      </c>
      <c r="C260" s="815"/>
      <c r="D260" s="138" t="s">
        <v>320</v>
      </c>
      <c r="E260" s="139">
        <v>10</v>
      </c>
      <c r="F260" s="351" t="s">
        <v>323</v>
      </c>
      <c r="G260" s="352" t="s">
        <v>784</v>
      </c>
      <c r="H260" s="353"/>
      <c r="I260" s="342" t="s">
        <v>785</v>
      </c>
      <c r="J260" s="343"/>
    </row>
    <row r="261" spans="1:10" ht="12.75">
      <c r="A261" s="59">
        <v>282</v>
      </c>
      <c r="B261" s="104" t="s">
        <v>1296</v>
      </c>
      <c r="C261" s="815"/>
      <c r="D261" s="138" t="s">
        <v>320</v>
      </c>
      <c r="E261" s="139">
        <v>50</v>
      </c>
      <c r="F261" s="351" t="s">
        <v>323</v>
      </c>
      <c r="G261" s="352" t="s">
        <v>787</v>
      </c>
      <c r="H261" s="353"/>
      <c r="I261" s="347"/>
      <c r="J261" s="343"/>
    </row>
    <row r="262" spans="1:10" ht="12.75">
      <c r="A262" s="59">
        <v>283</v>
      </c>
      <c r="B262" s="104" t="s">
        <v>1375</v>
      </c>
      <c r="C262" s="815"/>
      <c r="D262" s="138" t="s">
        <v>320</v>
      </c>
      <c r="E262" s="139">
        <v>50</v>
      </c>
      <c r="F262" s="344" t="s">
        <v>323</v>
      </c>
      <c r="G262" s="349" t="str">
        <f>Lbl_DG_Respons</f>
        <v>Direction générale responsable de la ligne budgétaire</v>
      </c>
      <c r="H262" s="346">
        <f>IF(ISBLANK(Fld_DG_2),"",Fld_DG_2)</f>
      </c>
      <c r="I262" s="347"/>
      <c r="J262" s="366" t="s">
        <v>1175</v>
      </c>
    </row>
    <row r="263" spans="1:10" ht="12.75">
      <c r="A263" s="59">
        <v>284</v>
      </c>
      <c r="B263" s="104" t="s">
        <v>1376</v>
      </c>
      <c r="C263" s="815"/>
      <c r="D263" s="138" t="s">
        <v>320</v>
      </c>
      <c r="E263" s="139">
        <v>4</v>
      </c>
      <c r="F263" s="351" t="s">
        <v>323</v>
      </c>
      <c r="G263" s="352" t="s">
        <v>790</v>
      </c>
      <c r="H263" s="353"/>
      <c r="I263" s="347"/>
      <c r="J263" s="343"/>
    </row>
    <row r="264" spans="1:10" ht="12.75">
      <c r="A264" s="59">
        <v>285</v>
      </c>
      <c r="B264" s="104" t="s">
        <v>1377</v>
      </c>
      <c r="C264" s="815"/>
      <c r="D264" s="138" t="s">
        <v>1495</v>
      </c>
      <c r="E264" s="139"/>
      <c r="F264" s="351" t="s">
        <v>323</v>
      </c>
      <c r="G264" s="352" t="s">
        <v>792</v>
      </c>
      <c r="H264" s="353"/>
      <c r="I264" s="347"/>
      <c r="J264" s="343"/>
    </row>
    <row r="265" spans="1:10" ht="12.75">
      <c r="A265" s="59">
        <v>286</v>
      </c>
      <c r="B265" s="104" t="s">
        <v>1378</v>
      </c>
      <c r="C265" s="815"/>
      <c r="D265" s="138" t="s">
        <v>320</v>
      </c>
      <c r="E265" s="139"/>
      <c r="F265" s="344" t="s">
        <v>323</v>
      </c>
      <c r="G265" s="362" t="str">
        <f>Lbl_Ref_Proj</f>
        <v>Titre et numéro de référence du projet</v>
      </c>
      <c r="H265" s="346">
        <f>IF(ISBLANK(Fld_TitreRef_2),"",Fld_TitreRef_2)</f>
      </c>
      <c r="I265" s="347"/>
      <c r="J265" s="366" t="s">
        <v>1175</v>
      </c>
    </row>
    <row r="266" spans="1:10" ht="13.5" thickBot="1">
      <c r="A266" s="59">
        <v>287</v>
      </c>
      <c r="B266" s="104" t="s">
        <v>1379</v>
      </c>
      <c r="C266" s="815"/>
      <c r="D266" s="155" t="s">
        <v>320</v>
      </c>
      <c r="E266" s="156"/>
      <c r="F266" s="364" t="s">
        <v>323</v>
      </c>
      <c r="G266" s="365" t="s">
        <v>381</v>
      </c>
      <c r="H266" s="367"/>
      <c r="I266" s="347"/>
      <c r="J266" s="343"/>
    </row>
    <row r="267" spans="1:10" ht="39">
      <c r="A267" s="59">
        <v>288</v>
      </c>
      <c r="B267" s="104" t="s">
        <v>1380</v>
      </c>
      <c r="C267" s="815"/>
      <c r="D267" s="138" t="s">
        <v>114</v>
      </c>
      <c r="E267" s="139"/>
      <c r="F267" s="344" t="s">
        <v>321</v>
      </c>
      <c r="G267" s="36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9" t="str">
        <f>IF('Part I'!$M$82=1,"Yes","No")</f>
        <v>No</v>
      </c>
      <c r="I267" s="342" t="s">
        <v>1569</v>
      </c>
      <c r="J267" s="359" t="s">
        <v>1175</v>
      </c>
    </row>
    <row r="268" spans="1:10" ht="12.75">
      <c r="A268" s="59">
        <v>289</v>
      </c>
      <c r="B268" s="104" t="s">
        <v>1381</v>
      </c>
      <c r="C268" s="815"/>
      <c r="D268" s="138" t="s">
        <v>320</v>
      </c>
      <c r="E268" s="139">
        <v>10</v>
      </c>
      <c r="F268" s="351" t="s">
        <v>323</v>
      </c>
      <c r="G268" s="352" t="s">
        <v>784</v>
      </c>
      <c r="H268" s="353"/>
      <c r="I268" s="342" t="s">
        <v>785</v>
      </c>
      <c r="J268" s="343"/>
    </row>
    <row r="269" spans="1:10" ht="12.75">
      <c r="A269" s="59">
        <v>290</v>
      </c>
      <c r="B269" s="104" t="s">
        <v>1382</v>
      </c>
      <c r="C269" s="815"/>
      <c r="D269" s="138" t="s">
        <v>320</v>
      </c>
      <c r="E269" s="139">
        <v>50</v>
      </c>
      <c r="F269" s="351" t="s">
        <v>323</v>
      </c>
      <c r="G269" s="352" t="s">
        <v>787</v>
      </c>
      <c r="H269" s="353"/>
      <c r="I269" s="347"/>
      <c r="J269" s="343"/>
    </row>
    <row r="270" spans="1:10" ht="12.75">
      <c r="A270" s="59">
        <v>291</v>
      </c>
      <c r="B270" s="104" t="s">
        <v>1383</v>
      </c>
      <c r="C270" s="815"/>
      <c r="D270" s="138" t="s">
        <v>320</v>
      </c>
      <c r="E270" s="139">
        <v>50</v>
      </c>
      <c r="F270" s="344" t="s">
        <v>323</v>
      </c>
      <c r="G270" s="349" t="str">
        <f>Lbl_DG_Respons</f>
        <v>Direction générale responsable de la ligne budgétaire</v>
      </c>
      <c r="H270" s="346">
        <f>IF(ISBLANK(Fld_DG_3),"",Fld_DG_3)</f>
      </c>
      <c r="I270" s="347"/>
      <c r="J270" s="366" t="s">
        <v>1175</v>
      </c>
    </row>
    <row r="271" spans="1:10" ht="12.75">
      <c r="A271" s="59">
        <v>292</v>
      </c>
      <c r="B271" s="104" t="s">
        <v>1384</v>
      </c>
      <c r="C271" s="815"/>
      <c r="D271" s="138" t="s">
        <v>320</v>
      </c>
      <c r="E271" s="139">
        <v>4</v>
      </c>
      <c r="F271" s="351" t="s">
        <v>323</v>
      </c>
      <c r="G271" s="352" t="s">
        <v>790</v>
      </c>
      <c r="H271" s="353"/>
      <c r="I271" s="347"/>
      <c r="J271" s="343"/>
    </row>
    <row r="272" spans="1:10" ht="12.75">
      <c r="A272" s="59">
        <v>293</v>
      </c>
      <c r="B272" s="104" t="s">
        <v>1385</v>
      </c>
      <c r="C272" s="815"/>
      <c r="D272" s="138" t="s">
        <v>1495</v>
      </c>
      <c r="E272" s="139"/>
      <c r="F272" s="351" t="s">
        <v>323</v>
      </c>
      <c r="G272" s="352" t="s">
        <v>792</v>
      </c>
      <c r="H272" s="353"/>
      <c r="I272" s="347"/>
      <c r="J272" s="370"/>
    </row>
    <row r="273" spans="1:10" ht="12.75">
      <c r="A273" s="59">
        <v>294</v>
      </c>
      <c r="B273" s="104" t="s">
        <v>1386</v>
      </c>
      <c r="C273" s="815"/>
      <c r="D273" s="138" t="s">
        <v>320</v>
      </c>
      <c r="E273" s="139"/>
      <c r="F273" s="344" t="s">
        <v>323</v>
      </c>
      <c r="G273" s="362" t="str">
        <f>Lbl_Ref_Proj</f>
        <v>Titre et numéro de référence du projet</v>
      </c>
      <c r="H273" s="346">
        <f>IF(ISBLANK(Fld_TitreRef_3),"",Fld_TitreRef_3)</f>
      </c>
      <c r="I273" s="347"/>
      <c r="J273" s="366" t="s">
        <v>1175</v>
      </c>
    </row>
    <row r="274" spans="1:10" ht="13.5" thickBot="1">
      <c r="A274" s="59">
        <v>295</v>
      </c>
      <c r="B274" s="104" t="s">
        <v>1387</v>
      </c>
      <c r="C274" s="816"/>
      <c r="D274" s="146" t="s">
        <v>320</v>
      </c>
      <c r="E274" s="147"/>
      <c r="F274" s="354" t="s">
        <v>323</v>
      </c>
      <c r="G274" s="371" t="s">
        <v>381</v>
      </c>
      <c r="H274" s="367"/>
      <c r="I274" s="347"/>
      <c r="J274" s="343"/>
    </row>
    <row r="275" spans="3:10" ht="12.75">
      <c r="C275" s="158"/>
      <c r="D275" s="158"/>
      <c r="E275" s="158"/>
      <c r="F275" s="158"/>
      <c r="G275" s="812" t="s">
        <v>1388</v>
      </c>
      <c r="H275" s="159"/>
      <c r="J275" s="59"/>
    </row>
    <row r="276" spans="3:10" ht="13.5" thickBot="1">
      <c r="C276" s="160"/>
      <c r="D276" s="160"/>
      <c r="E276" s="160"/>
      <c r="F276" s="160"/>
      <c r="G276" s="813"/>
      <c r="H276" s="159"/>
      <c r="J276" s="59"/>
    </row>
    <row r="277" spans="1:11" ht="12.75" customHeight="1">
      <c r="A277" s="161"/>
      <c r="B277" s="162"/>
      <c r="C277" s="809" t="s">
        <v>1389</v>
      </c>
      <c r="D277" s="230" t="s">
        <v>320</v>
      </c>
      <c r="E277" s="231">
        <v>20</v>
      </c>
      <c r="F277" s="231" t="s">
        <v>323</v>
      </c>
      <c r="G277" s="237" t="s">
        <v>1390</v>
      </c>
      <c r="H277" s="220"/>
      <c r="I277" s="142" t="s">
        <v>605</v>
      </c>
      <c r="J277" s="172"/>
      <c r="K277" s="176">
        <v>0</v>
      </c>
    </row>
    <row r="278" spans="1:10" ht="12.75">
      <c r="A278" s="162"/>
      <c r="B278" s="162"/>
      <c r="C278" s="810"/>
      <c r="D278" s="232" t="s">
        <v>320</v>
      </c>
      <c r="E278" s="233">
        <v>80</v>
      </c>
      <c r="F278" s="233" t="s">
        <v>323</v>
      </c>
      <c r="G278" s="236" t="s">
        <v>1391</v>
      </c>
      <c r="H278" s="221"/>
      <c r="J278" s="117"/>
    </row>
    <row r="279" spans="1:10" ht="12.75">
      <c r="A279" s="162"/>
      <c r="B279" s="162"/>
      <c r="C279" s="810"/>
      <c r="D279" s="232" t="s">
        <v>320</v>
      </c>
      <c r="E279" s="233">
        <v>50</v>
      </c>
      <c r="F279" s="233" t="s">
        <v>323</v>
      </c>
      <c r="G279" s="226" t="s">
        <v>1505</v>
      </c>
      <c r="H279" s="218"/>
      <c r="J279" s="117"/>
    </row>
    <row r="280" spans="1:10" ht="12.75">
      <c r="A280" s="162"/>
      <c r="B280" s="162"/>
      <c r="C280" s="810"/>
      <c r="D280" s="232" t="s">
        <v>320</v>
      </c>
      <c r="E280" s="233">
        <v>1</v>
      </c>
      <c r="F280" s="233" t="s">
        <v>323</v>
      </c>
      <c r="G280" s="236" t="s">
        <v>1930</v>
      </c>
      <c r="H280" s="221"/>
      <c r="I280" s="142" t="s">
        <v>1931</v>
      </c>
      <c r="J280" s="117"/>
    </row>
    <row r="281" spans="1:10" ht="12.75">
      <c r="A281" s="162"/>
      <c r="B281" s="162"/>
      <c r="C281" s="810"/>
      <c r="D281" s="232" t="s">
        <v>320</v>
      </c>
      <c r="E281" s="233">
        <v>3</v>
      </c>
      <c r="F281" s="233" t="s">
        <v>323</v>
      </c>
      <c r="G281" s="227" t="s">
        <v>1392</v>
      </c>
      <c r="H281" s="218"/>
      <c r="I281" s="142" t="s">
        <v>824</v>
      </c>
      <c r="J281" s="117"/>
    </row>
    <row r="282" spans="1:10" ht="12.75">
      <c r="A282" s="162"/>
      <c r="B282" s="162"/>
      <c r="C282" s="810"/>
      <c r="D282" s="232" t="s">
        <v>320</v>
      </c>
      <c r="E282" s="233">
        <v>50</v>
      </c>
      <c r="F282" s="233" t="s">
        <v>323</v>
      </c>
      <c r="G282" s="226" t="s">
        <v>1393</v>
      </c>
      <c r="H282" s="218"/>
      <c r="J282" s="117"/>
    </row>
    <row r="283" spans="1:10" ht="12.75">
      <c r="A283" s="162"/>
      <c r="B283" s="162"/>
      <c r="C283" s="810"/>
      <c r="D283" s="232" t="s">
        <v>320</v>
      </c>
      <c r="E283" s="233">
        <v>50</v>
      </c>
      <c r="F283" s="233" t="s">
        <v>323</v>
      </c>
      <c r="G283" s="227" t="s">
        <v>1394</v>
      </c>
      <c r="H283" s="218"/>
      <c r="I283" s="142" t="s">
        <v>107</v>
      </c>
      <c r="J283" s="117"/>
    </row>
    <row r="284" spans="1:10" ht="12.75">
      <c r="A284" s="162"/>
      <c r="B284" s="162"/>
      <c r="C284" s="810"/>
      <c r="D284" s="232" t="s">
        <v>320</v>
      </c>
      <c r="E284" s="233">
        <v>2</v>
      </c>
      <c r="F284" s="233" t="s">
        <v>323</v>
      </c>
      <c r="G284" s="236" t="s">
        <v>1395</v>
      </c>
      <c r="H284" s="221"/>
      <c r="I284" s="142" t="s">
        <v>109</v>
      </c>
      <c r="J284" s="117"/>
    </row>
    <row r="285" spans="1:10" ht="12.75">
      <c r="A285" s="162"/>
      <c r="B285" s="162"/>
      <c r="C285" s="810"/>
      <c r="D285" s="232" t="s">
        <v>320</v>
      </c>
      <c r="E285" s="233">
        <v>30</v>
      </c>
      <c r="F285" s="233" t="s">
        <v>323</v>
      </c>
      <c r="G285" s="227" t="s">
        <v>1506</v>
      </c>
      <c r="H285" s="218"/>
      <c r="J285" s="117"/>
    </row>
    <row r="286" spans="1:10" ht="12.75">
      <c r="A286" s="162"/>
      <c r="B286" s="162"/>
      <c r="C286" s="810"/>
      <c r="D286" s="232" t="s">
        <v>320</v>
      </c>
      <c r="E286" s="233">
        <v>30</v>
      </c>
      <c r="F286" s="233" t="s">
        <v>323</v>
      </c>
      <c r="G286" s="226" t="s">
        <v>523</v>
      </c>
      <c r="H286" s="218"/>
      <c r="J286" s="117"/>
    </row>
    <row r="287" spans="1:10" ht="12.75">
      <c r="A287" s="162"/>
      <c r="B287" s="162"/>
      <c r="C287" s="810"/>
      <c r="D287" s="232" t="s">
        <v>320</v>
      </c>
      <c r="E287" s="233">
        <v>100</v>
      </c>
      <c r="F287" s="233" t="s">
        <v>323</v>
      </c>
      <c r="G287" s="226" t="s">
        <v>524</v>
      </c>
      <c r="H287" s="218"/>
      <c r="J287" s="117"/>
    </row>
    <row r="288" spans="1:10" ht="12.75">
      <c r="A288" s="162"/>
      <c r="B288" s="162"/>
      <c r="C288" s="810"/>
      <c r="D288" s="232" t="s">
        <v>320</v>
      </c>
      <c r="E288" s="233">
        <v>255</v>
      </c>
      <c r="F288" s="233" t="s">
        <v>323</v>
      </c>
      <c r="G288" s="227" t="s">
        <v>1396</v>
      </c>
      <c r="H288" s="218"/>
      <c r="J288" s="117"/>
    </row>
    <row r="289" spans="1:10" ht="12.75">
      <c r="A289" s="162"/>
      <c r="B289" s="162"/>
      <c r="C289" s="810"/>
      <c r="D289" s="232" t="s">
        <v>320</v>
      </c>
      <c r="E289" s="233">
        <v>20</v>
      </c>
      <c r="F289" s="233" t="s">
        <v>323</v>
      </c>
      <c r="G289" s="226" t="s">
        <v>1397</v>
      </c>
      <c r="H289" s="218"/>
      <c r="J289" s="117"/>
    </row>
    <row r="290" spans="1:10" ht="12.75">
      <c r="A290" s="162"/>
      <c r="B290" s="162"/>
      <c r="C290" s="810"/>
      <c r="D290" s="232" t="s">
        <v>320</v>
      </c>
      <c r="E290" s="233">
        <v>8</v>
      </c>
      <c r="F290" s="233" t="s">
        <v>323</v>
      </c>
      <c r="G290" s="226" t="s">
        <v>1398</v>
      </c>
      <c r="H290" s="218"/>
      <c r="I290" s="142" t="s">
        <v>641</v>
      </c>
      <c r="J290" s="117"/>
    </row>
    <row r="291" spans="1:10" ht="12.75">
      <c r="A291" s="162"/>
      <c r="B291" s="162"/>
      <c r="C291" s="810"/>
      <c r="D291" s="232" t="s">
        <v>320</v>
      </c>
      <c r="E291" s="233">
        <v>30</v>
      </c>
      <c r="F291" s="233" t="s">
        <v>323</v>
      </c>
      <c r="G291" s="226" t="s">
        <v>327</v>
      </c>
      <c r="H291" s="218"/>
      <c r="I291" s="142" t="s">
        <v>328</v>
      </c>
      <c r="J291" s="117"/>
    </row>
    <row r="292" spans="1:10" ht="12.75">
      <c r="A292" s="162"/>
      <c r="B292" s="162"/>
      <c r="C292" s="810"/>
      <c r="D292" s="232" t="s">
        <v>320</v>
      </c>
      <c r="E292" s="233">
        <v>50</v>
      </c>
      <c r="F292" s="233" t="s">
        <v>323</v>
      </c>
      <c r="G292" s="226" t="s">
        <v>330</v>
      </c>
      <c r="H292" s="218"/>
      <c r="J292" s="117"/>
    </row>
    <row r="293" spans="1:10" ht="12.75">
      <c r="A293" s="162"/>
      <c r="B293" s="162"/>
      <c r="C293" s="810"/>
      <c r="D293" s="232" t="s">
        <v>320</v>
      </c>
      <c r="E293" s="233">
        <v>50</v>
      </c>
      <c r="F293" s="233" t="s">
        <v>323</v>
      </c>
      <c r="G293" s="226" t="s">
        <v>332</v>
      </c>
      <c r="H293" s="218"/>
      <c r="J293" s="117"/>
    </row>
    <row r="294" spans="1:10" ht="12.75">
      <c r="A294" s="162"/>
      <c r="B294" s="162"/>
      <c r="C294" s="810"/>
      <c r="D294" s="232" t="s">
        <v>320</v>
      </c>
      <c r="E294" s="233">
        <v>100</v>
      </c>
      <c r="F294" s="233" t="s">
        <v>323</v>
      </c>
      <c r="G294" s="236" t="s">
        <v>529</v>
      </c>
      <c r="H294" s="221"/>
      <c r="J294" s="117"/>
    </row>
    <row r="295" spans="1:10" ht="12.75">
      <c r="A295" s="162"/>
      <c r="B295" s="162"/>
      <c r="C295" s="810"/>
      <c r="D295" s="232" t="s">
        <v>320</v>
      </c>
      <c r="E295" s="233">
        <v>100</v>
      </c>
      <c r="F295" s="233" t="s">
        <v>323</v>
      </c>
      <c r="G295" s="226" t="s">
        <v>525</v>
      </c>
      <c r="H295" s="218"/>
      <c r="J295" s="117"/>
    </row>
    <row r="296" spans="1:10" ht="12.75">
      <c r="A296" s="162"/>
      <c r="B296" s="162"/>
      <c r="C296" s="810"/>
      <c r="D296" s="232" t="s">
        <v>320</v>
      </c>
      <c r="E296" s="233">
        <v>50</v>
      </c>
      <c r="F296" s="233" t="s">
        <v>323</v>
      </c>
      <c r="G296" s="236" t="s">
        <v>1399</v>
      </c>
      <c r="H296" s="221"/>
      <c r="J296" s="117"/>
    </row>
    <row r="297" spans="1:10" ht="12.75">
      <c r="A297" s="162"/>
      <c r="B297" s="162"/>
      <c r="C297" s="810"/>
      <c r="D297" s="232" t="s">
        <v>320</v>
      </c>
      <c r="E297" s="233">
        <v>50</v>
      </c>
      <c r="F297" s="233" t="s">
        <v>323</v>
      </c>
      <c r="G297" s="226" t="s">
        <v>1400</v>
      </c>
      <c r="H297" s="218"/>
      <c r="J297" s="117"/>
    </row>
    <row r="298" spans="1:10" ht="12.75">
      <c r="A298" s="162"/>
      <c r="B298" s="162"/>
      <c r="C298" s="810"/>
      <c r="D298" s="232" t="s">
        <v>320</v>
      </c>
      <c r="E298" s="233">
        <v>20</v>
      </c>
      <c r="F298" s="233" t="s">
        <v>323</v>
      </c>
      <c r="G298" s="226" t="s">
        <v>1401</v>
      </c>
      <c r="H298" s="218"/>
      <c r="J298" s="117"/>
    </row>
    <row r="299" spans="1:10" ht="12.75">
      <c r="A299" s="162"/>
      <c r="B299" s="162"/>
      <c r="C299" s="810"/>
      <c r="D299" s="232" t="s">
        <v>320</v>
      </c>
      <c r="E299" s="233">
        <v>3</v>
      </c>
      <c r="F299" s="233" t="s">
        <v>323</v>
      </c>
      <c r="G299" s="236" t="s">
        <v>1402</v>
      </c>
      <c r="H299" s="221"/>
      <c r="J299" s="117"/>
    </row>
    <row r="300" spans="1:10" ht="12.75">
      <c r="A300" s="162"/>
      <c r="B300" s="162"/>
      <c r="C300" s="810"/>
      <c r="D300" s="232" t="s">
        <v>320</v>
      </c>
      <c r="E300" s="233">
        <v>30</v>
      </c>
      <c r="F300" s="233" t="s">
        <v>323</v>
      </c>
      <c r="G300" s="226" t="s">
        <v>526</v>
      </c>
      <c r="H300" s="218"/>
      <c r="J300" s="117"/>
    </row>
    <row r="301" spans="1:10" ht="12.75">
      <c r="A301" s="162"/>
      <c r="B301" s="162"/>
      <c r="C301" s="810"/>
      <c r="D301" s="232" t="s">
        <v>320</v>
      </c>
      <c r="E301" s="233">
        <v>30</v>
      </c>
      <c r="F301" s="233" t="s">
        <v>323</v>
      </c>
      <c r="G301" s="226" t="s">
        <v>527</v>
      </c>
      <c r="H301" s="218"/>
      <c r="J301" s="117"/>
    </row>
    <row r="302" spans="1:10" ht="12.75">
      <c r="A302" s="162"/>
      <c r="B302" s="162"/>
      <c r="C302" s="810"/>
      <c r="D302" s="232" t="s">
        <v>320</v>
      </c>
      <c r="E302" s="233">
        <v>100</v>
      </c>
      <c r="F302" s="233" t="s">
        <v>323</v>
      </c>
      <c r="G302" s="226" t="s">
        <v>632</v>
      </c>
      <c r="H302" s="218"/>
      <c r="J302" s="117"/>
    </row>
    <row r="303" spans="1:10" ht="13.5" thickBot="1">
      <c r="A303" s="162"/>
      <c r="B303" s="162"/>
      <c r="C303" s="811"/>
      <c r="D303" s="234" t="s">
        <v>320</v>
      </c>
      <c r="E303" s="235">
        <v>100</v>
      </c>
      <c r="F303" s="235" t="s">
        <v>323</v>
      </c>
      <c r="G303" s="228" t="s">
        <v>633</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7" customWidth="1"/>
    <col min="2" max="2" width="44.7109375" style="387" customWidth="1"/>
    <col min="3" max="3" width="44.28125" style="387" customWidth="1"/>
    <col min="4" max="4" width="44.28125" style="397" customWidth="1"/>
    <col min="5" max="16384" width="40.7109375" style="387" hidden="1" customWidth="1"/>
  </cols>
  <sheetData>
    <row r="1" spans="1:7" ht="12">
      <c r="A1" s="387" t="str">
        <f>IF(Fld_Menu_DE&amp;"x"&lt;&gt;"x","DE",IF(Fld_Menu_EN&amp;"x"&lt;&gt;"x","EN","FR"))</f>
        <v>FR</v>
      </c>
      <c r="B1" s="388" t="s">
        <v>229</v>
      </c>
      <c r="C1" s="388" t="s">
        <v>230</v>
      </c>
      <c r="D1" s="389" t="s">
        <v>231</v>
      </c>
      <c r="F1" s="390"/>
      <c r="G1" s="390"/>
    </row>
    <row r="2" spans="1:7" ht="11.25">
      <c r="A2" s="387" t="str">
        <f aca="true" t="shared" si="0" ref="A2:A53">IF($A$1=$B$1,B2,IF($A$1=$C$1,C2,IF($A$1=$D$1,D2,"N/A")))</f>
        <v>Formulaire - Texte en …</v>
      </c>
      <c r="B2" s="387" t="s">
        <v>2017</v>
      </c>
      <c r="C2" s="393" t="s">
        <v>956</v>
      </c>
      <c r="D2" s="394" t="s">
        <v>955</v>
      </c>
      <c r="E2" s="395"/>
      <c r="F2" s="390"/>
      <c r="G2" s="390"/>
    </row>
    <row r="3" spans="1:7" ht="11.25">
      <c r="A3" s="387" t="str">
        <f t="shared" si="0"/>
        <v>Affichages du formulaire bancaire pour</v>
      </c>
      <c r="B3" s="387" t="s">
        <v>2020</v>
      </c>
      <c r="C3" s="387" t="s">
        <v>2019</v>
      </c>
      <c r="D3" s="396" t="s">
        <v>2018</v>
      </c>
      <c r="F3" s="390"/>
      <c r="G3" s="390"/>
    </row>
    <row r="4" spans="1:7" ht="11.25">
      <c r="A4" s="387" t="str">
        <f t="shared" si="0"/>
        <v>A - Autriche</v>
      </c>
      <c r="B4" s="387" t="s">
        <v>1346</v>
      </c>
      <c r="C4" s="387" t="s">
        <v>542</v>
      </c>
      <c r="D4" s="397" t="s">
        <v>2021</v>
      </c>
      <c r="F4" s="390"/>
      <c r="G4" s="390"/>
    </row>
    <row r="5" spans="1:7" ht="11.25">
      <c r="A5" s="387" t="str">
        <f t="shared" si="0"/>
        <v>B - Belgique</v>
      </c>
      <c r="B5" s="387" t="s">
        <v>1347</v>
      </c>
      <c r="C5" s="387" t="s">
        <v>543</v>
      </c>
      <c r="D5" s="397" t="s">
        <v>335</v>
      </c>
      <c r="F5" s="390"/>
      <c r="G5" s="390"/>
    </row>
    <row r="6" spans="1:7" ht="11.25">
      <c r="A6" s="387" t="str">
        <f t="shared" si="0"/>
        <v>D - Allemagne</v>
      </c>
      <c r="B6" s="387" t="s">
        <v>1348</v>
      </c>
      <c r="C6" s="387" t="s">
        <v>544</v>
      </c>
      <c r="D6" s="397" t="s">
        <v>336</v>
      </c>
      <c r="F6" s="390"/>
      <c r="G6" s="390"/>
    </row>
    <row r="7" spans="1:7" ht="11.25">
      <c r="A7" s="387" t="str">
        <f t="shared" si="0"/>
        <v>DK - Danemark</v>
      </c>
      <c r="B7" s="387" t="s">
        <v>1349</v>
      </c>
      <c r="C7" s="387" t="s">
        <v>545</v>
      </c>
      <c r="D7" s="397" t="s">
        <v>337</v>
      </c>
      <c r="F7" s="390"/>
      <c r="G7" s="390"/>
    </row>
    <row r="8" spans="1:7" ht="11.25">
      <c r="A8" s="387" t="str">
        <f t="shared" si="0"/>
        <v>E - Espagne</v>
      </c>
      <c r="B8" s="387" t="s">
        <v>1350</v>
      </c>
      <c r="C8" s="387" t="s">
        <v>546</v>
      </c>
      <c r="D8" s="397" t="s">
        <v>338</v>
      </c>
      <c r="F8" s="390"/>
      <c r="G8" s="390"/>
    </row>
    <row r="9" spans="1:7" ht="11.25">
      <c r="A9" s="387" t="str">
        <f t="shared" si="0"/>
        <v>EL - Grèce</v>
      </c>
      <c r="B9" s="387" t="s">
        <v>1351</v>
      </c>
      <c r="C9" s="387" t="s">
        <v>547</v>
      </c>
      <c r="D9" s="397" t="s">
        <v>339</v>
      </c>
      <c r="F9" s="390"/>
      <c r="G9" s="390"/>
    </row>
    <row r="10" spans="1:7" ht="11.25">
      <c r="A10" s="387" t="str">
        <f t="shared" si="0"/>
        <v>F - France</v>
      </c>
      <c r="B10" s="387" t="s">
        <v>1352</v>
      </c>
      <c r="C10" s="387" t="s">
        <v>340</v>
      </c>
      <c r="D10" s="397" t="s">
        <v>340</v>
      </c>
      <c r="F10" s="390"/>
      <c r="G10" s="390"/>
    </row>
    <row r="11" spans="1:7" ht="11.25">
      <c r="A11" s="387" t="str">
        <f t="shared" si="0"/>
        <v>FIN - Finlande</v>
      </c>
      <c r="B11" s="387" t="s">
        <v>1353</v>
      </c>
      <c r="C11" s="387" t="s">
        <v>548</v>
      </c>
      <c r="D11" s="397" t="s">
        <v>341</v>
      </c>
      <c r="F11" s="390"/>
      <c r="G11" s="390"/>
    </row>
    <row r="12" spans="1:7" ht="11.25">
      <c r="A12" s="387" t="str">
        <f t="shared" si="0"/>
        <v>I - Italie</v>
      </c>
      <c r="B12" s="387" t="s">
        <v>1354</v>
      </c>
      <c r="C12" s="387" t="s">
        <v>549</v>
      </c>
      <c r="D12" s="397" t="s">
        <v>342</v>
      </c>
      <c r="F12" s="390"/>
      <c r="G12" s="390"/>
    </row>
    <row r="13" spans="1:7" ht="11.25">
      <c r="A13" s="387" t="str">
        <f t="shared" si="0"/>
        <v>IRL - Irlande</v>
      </c>
      <c r="B13" s="387" t="s">
        <v>1355</v>
      </c>
      <c r="C13" s="387" t="s">
        <v>550</v>
      </c>
      <c r="D13" s="397" t="s">
        <v>343</v>
      </c>
      <c r="F13" s="390"/>
      <c r="G13" s="390"/>
    </row>
    <row r="14" spans="1:7" ht="11.25">
      <c r="A14" s="387" t="str">
        <f t="shared" si="0"/>
        <v>L - Grand Duché de Luxembourg</v>
      </c>
      <c r="B14" s="387" t="s">
        <v>1356</v>
      </c>
      <c r="C14" s="387" t="s">
        <v>551</v>
      </c>
      <c r="D14" s="397" t="s">
        <v>344</v>
      </c>
      <c r="F14" s="390"/>
      <c r="G14" s="390"/>
    </row>
    <row r="15" spans="1:7" ht="11.25">
      <c r="A15" s="387" t="str">
        <f t="shared" si="0"/>
        <v>NL - Pays-Bas</v>
      </c>
      <c r="B15" s="387" t="s">
        <v>1357</v>
      </c>
      <c r="C15" s="387" t="s">
        <v>552</v>
      </c>
      <c r="D15" s="397" t="s">
        <v>345</v>
      </c>
      <c r="F15" s="390"/>
      <c r="G15" s="390"/>
    </row>
    <row r="16" spans="1:7" ht="11.25">
      <c r="A16" s="387" t="str">
        <f t="shared" si="0"/>
        <v>P - Portugal</v>
      </c>
      <c r="B16" s="387" t="s">
        <v>346</v>
      </c>
      <c r="C16" s="387" t="s">
        <v>346</v>
      </c>
      <c r="D16" s="397" t="s">
        <v>346</v>
      </c>
      <c r="F16" s="390"/>
      <c r="G16" s="390"/>
    </row>
    <row r="17" spans="1:7" ht="11.25">
      <c r="A17" s="387" t="str">
        <f t="shared" si="0"/>
        <v>S - Suède</v>
      </c>
      <c r="B17" s="387" t="s">
        <v>1358</v>
      </c>
      <c r="C17" s="387" t="s">
        <v>553</v>
      </c>
      <c r="D17" s="397" t="s">
        <v>347</v>
      </c>
      <c r="F17" s="390"/>
      <c r="G17" s="390"/>
    </row>
    <row r="18" spans="1:7" ht="11.25">
      <c r="A18" s="387" t="str">
        <f t="shared" si="0"/>
        <v>UK - Royaume-Uni</v>
      </c>
      <c r="B18" s="387" t="s">
        <v>1359</v>
      </c>
      <c r="C18" s="387" t="s">
        <v>554</v>
      </c>
      <c r="D18" s="397" t="s">
        <v>348</v>
      </c>
      <c r="F18" s="390"/>
      <c r="G18" s="390"/>
    </row>
    <row r="19" spans="1:7" ht="11.25">
      <c r="A19" s="387" t="str">
        <f t="shared" si="0"/>
        <v>Autres</v>
      </c>
      <c r="B19" s="387" t="s">
        <v>1467</v>
      </c>
      <c r="C19" s="387" t="s">
        <v>1345</v>
      </c>
      <c r="D19" s="397" t="s">
        <v>541</v>
      </c>
      <c r="F19" s="390"/>
      <c r="G19" s="390"/>
    </row>
    <row r="20" spans="1:7" ht="11.25">
      <c r="A20" s="387" t="str">
        <f t="shared" si="0"/>
        <v>FORMULAIRE DE DEMANDE 2002</v>
      </c>
      <c r="B20" s="387" t="s">
        <v>1883</v>
      </c>
      <c r="C20" s="387" t="s">
        <v>1884</v>
      </c>
      <c r="D20" s="397" t="s">
        <v>1885</v>
      </c>
      <c r="F20" s="390"/>
      <c r="G20" s="390"/>
    </row>
    <row r="21" spans="1:7" ht="21" customHeight="1">
      <c r="A21" s="387" t="str">
        <f t="shared" si="0"/>
        <v>Soutien aux principaux réseaux européens qui participent à la lutte contre la pauvreté et l'exclusion sociale</v>
      </c>
      <c r="B21" s="398" t="s">
        <v>1556</v>
      </c>
      <c r="C21" s="398" t="s">
        <v>205</v>
      </c>
      <c r="D21" s="399" t="s">
        <v>1807</v>
      </c>
      <c r="F21" s="390"/>
      <c r="G21" s="390"/>
    </row>
    <row r="22" spans="1:7" ht="11.25">
      <c r="A22" s="387" t="str">
        <f t="shared" si="0"/>
        <v>LIGNE BUDGETAIRE</v>
      </c>
      <c r="B22" s="387" t="s">
        <v>2015</v>
      </c>
      <c r="C22" s="387" t="s">
        <v>865</v>
      </c>
      <c r="D22" s="397" t="s">
        <v>2016</v>
      </c>
      <c r="F22" s="390"/>
      <c r="G22" s="390"/>
    </row>
    <row r="23" spans="1:7" ht="11.25">
      <c r="A23" s="387" t="str">
        <f t="shared" si="0"/>
        <v>Informations générales</v>
      </c>
      <c r="B23" s="387" t="s">
        <v>921</v>
      </c>
      <c r="C23" s="387" t="s">
        <v>922</v>
      </c>
      <c r="D23" s="397" t="s">
        <v>232</v>
      </c>
      <c r="F23" s="390"/>
      <c r="G23" s="390"/>
    </row>
    <row r="24" spans="1:7" ht="11.25">
      <c r="A24" s="387" t="str">
        <f t="shared" si="0"/>
        <v>Organisme demandeur</v>
      </c>
      <c r="B24" s="387" t="s">
        <v>939</v>
      </c>
      <c r="C24" s="387" t="s">
        <v>1334</v>
      </c>
      <c r="D24" s="397" t="s">
        <v>243</v>
      </c>
      <c r="F24" s="390"/>
      <c r="G24" s="390"/>
    </row>
    <row r="25" spans="1:7" ht="11.25">
      <c r="A25" s="387" t="str">
        <f t="shared" si="0"/>
        <v>Abréviation</v>
      </c>
      <c r="B25" s="387" t="s">
        <v>836</v>
      </c>
      <c r="C25" s="387" t="s">
        <v>596</v>
      </c>
      <c r="D25" s="397" t="s">
        <v>810</v>
      </c>
      <c r="F25" s="390"/>
      <c r="G25" s="390"/>
    </row>
    <row r="26" spans="1:7" ht="11.25">
      <c r="A26" s="387" t="str">
        <f t="shared" si="0"/>
        <v>Nom ou raison sociale</v>
      </c>
      <c r="B26" s="387" t="s">
        <v>941</v>
      </c>
      <c r="C26" s="387" t="s">
        <v>597</v>
      </c>
      <c r="D26" s="397" t="s">
        <v>233</v>
      </c>
      <c r="F26" s="390"/>
      <c r="G26" s="390"/>
    </row>
    <row r="27" spans="1:7" ht="11.25">
      <c r="A27" s="387" t="str">
        <f t="shared" si="0"/>
        <v>Statut légal</v>
      </c>
      <c r="B27" s="387" t="s">
        <v>940</v>
      </c>
      <c r="C27" s="387" t="s">
        <v>923</v>
      </c>
      <c r="D27" s="397" t="s">
        <v>234</v>
      </c>
      <c r="F27" s="390"/>
      <c r="G27" s="390"/>
    </row>
    <row r="28" spans="1:7" ht="11.25">
      <c r="A28" s="387" t="str">
        <f t="shared" si="0"/>
        <v>Adresse</v>
      </c>
      <c r="B28" s="387" t="s">
        <v>942</v>
      </c>
      <c r="C28" s="387" t="s">
        <v>924</v>
      </c>
      <c r="D28" s="397" t="s">
        <v>235</v>
      </c>
      <c r="F28" s="390"/>
      <c r="G28" s="390"/>
    </row>
    <row r="29" spans="1:7" ht="11.25">
      <c r="A29" s="387" t="str">
        <f t="shared" si="0"/>
        <v>Code postal</v>
      </c>
      <c r="B29" s="387" t="s">
        <v>1685</v>
      </c>
      <c r="C29" s="387" t="s">
        <v>1336</v>
      </c>
      <c r="D29" s="397" t="s">
        <v>1684</v>
      </c>
      <c r="F29" s="390"/>
      <c r="G29" s="390"/>
    </row>
    <row r="30" spans="1:7" ht="11.25">
      <c r="A30" s="387" t="str">
        <f t="shared" si="0"/>
        <v>Ville</v>
      </c>
      <c r="B30" s="387" t="s">
        <v>1501</v>
      </c>
      <c r="C30" s="387" t="s">
        <v>22</v>
      </c>
      <c r="D30" s="397" t="s">
        <v>673</v>
      </c>
      <c r="F30" s="390"/>
      <c r="G30" s="390"/>
    </row>
    <row r="31" spans="1:7" ht="11.25">
      <c r="A31" s="387" t="str">
        <f t="shared" si="0"/>
        <v>Pays</v>
      </c>
      <c r="B31" s="387" t="s">
        <v>943</v>
      </c>
      <c r="C31" s="387" t="s">
        <v>925</v>
      </c>
      <c r="D31" s="397" t="s">
        <v>236</v>
      </c>
      <c r="F31" s="390"/>
      <c r="G31" s="390"/>
    </row>
    <row r="32" spans="1:7" ht="11.25">
      <c r="A32" s="387" t="str">
        <f t="shared" si="0"/>
        <v>Téléphone</v>
      </c>
      <c r="B32" s="387" t="s">
        <v>944</v>
      </c>
      <c r="C32" s="387" t="s">
        <v>1337</v>
      </c>
      <c r="D32" s="397" t="s">
        <v>237</v>
      </c>
      <c r="F32" s="390"/>
      <c r="G32" s="390"/>
    </row>
    <row r="33" spans="1:7" ht="11.25">
      <c r="A33" s="387" t="str">
        <f t="shared" si="0"/>
        <v>Télécopieur</v>
      </c>
      <c r="B33" s="387" t="s">
        <v>945</v>
      </c>
      <c r="C33" s="387" t="s">
        <v>926</v>
      </c>
      <c r="D33" s="397" t="s">
        <v>238</v>
      </c>
      <c r="F33" s="390"/>
      <c r="G33" s="390"/>
    </row>
    <row r="34" spans="1:7" ht="11.25">
      <c r="A34" s="387" t="str">
        <f t="shared" si="0"/>
        <v>E-mail</v>
      </c>
      <c r="B34" s="387" t="s">
        <v>239</v>
      </c>
      <c r="C34" s="387" t="s">
        <v>927</v>
      </c>
      <c r="D34" s="397" t="s">
        <v>239</v>
      </c>
      <c r="F34" s="390"/>
      <c r="G34" s="390"/>
    </row>
    <row r="35" spans="1:7" ht="11.25">
      <c r="A35" s="387" t="str">
        <f t="shared" si="0"/>
        <v>N. d'enregistrement légal</v>
      </c>
      <c r="B35" s="387" t="s">
        <v>946</v>
      </c>
      <c r="C35" s="387" t="s">
        <v>1338</v>
      </c>
      <c r="D35" s="397" t="s">
        <v>240</v>
      </c>
      <c r="F35" s="390"/>
      <c r="G35" s="390"/>
    </row>
    <row r="36" spans="1:7" ht="11.25">
      <c r="A36" s="387" t="str">
        <f t="shared" si="0"/>
        <v>N. TVA</v>
      </c>
      <c r="B36" s="387" t="s">
        <v>947</v>
      </c>
      <c r="C36" s="387" t="s">
        <v>1339</v>
      </c>
      <c r="D36" s="397" t="s">
        <v>241</v>
      </c>
      <c r="F36" s="390"/>
      <c r="G36" s="390"/>
    </row>
    <row r="37" spans="1:7" ht="11.25">
      <c r="A37" s="387" t="str">
        <f t="shared" si="0"/>
        <v>Représentant légal</v>
      </c>
      <c r="B37" s="387" t="s">
        <v>948</v>
      </c>
      <c r="C37" s="387" t="s">
        <v>1340</v>
      </c>
      <c r="D37" s="397" t="s">
        <v>928</v>
      </c>
      <c r="F37" s="390"/>
      <c r="G37" s="390"/>
    </row>
    <row r="38" spans="1:7" ht="11.25">
      <c r="A38" s="387" t="str">
        <f t="shared" si="0"/>
        <v>Titre, Nom, Prénom</v>
      </c>
      <c r="B38" s="387" t="s">
        <v>1917</v>
      </c>
      <c r="C38" s="387" t="s">
        <v>1861</v>
      </c>
      <c r="D38" s="397" t="s">
        <v>1862</v>
      </c>
      <c r="F38" s="390"/>
      <c r="G38" s="390"/>
    </row>
    <row r="39" spans="1:7" ht="11.25">
      <c r="A39" s="387" t="str">
        <f t="shared" si="0"/>
        <v>Prénom</v>
      </c>
      <c r="B39" s="387" t="s">
        <v>949</v>
      </c>
      <c r="C39" s="387" t="s">
        <v>1341</v>
      </c>
      <c r="D39" s="397" t="s">
        <v>929</v>
      </c>
      <c r="F39" s="390"/>
      <c r="G39" s="390"/>
    </row>
    <row r="40" spans="1:7" ht="11.25">
      <c r="A40" s="387" t="str">
        <f t="shared" si="0"/>
        <v>Fonction</v>
      </c>
      <c r="B40" s="387" t="s">
        <v>950</v>
      </c>
      <c r="C40" s="387" t="s">
        <v>561</v>
      </c>
      <c r="D40" s="397" t="s">
        <v>930</v>
      </c>
      <c r="F40" s="390"/>
      <c r="G40" s="390"/>
    </row>
    <row r="41" spans="1:7" ht="11.25">
      <c r="A41" s="387" t="str">
        <f t="shared" si="0"/>
        <v>Responsable du projet</v>
      </c>
      <c r="B41" s="387" t="s">
        <v>951</v>
      </c>
      <c r="C41" s="387" t="s">
        <v>2082</v>
      </c>
      <c r="D41" s="397" t="s">
        <v>931</v>
      </c>
      <c r="F41" s="390"/>
      <c r="G41" s="390"/>
    </row>
    <row r="42" spans="1:7" ht="11.25">
      <c r="A42" s="387" t="str">
        <f t="shared" si="0"/>
        <v>Sous-traitance prévue</v>
      </c>
      <c r="B42" s="387" t="s">
        <v>952</v>
      </c>
      <c r="C42" s="387" t="s">
        <v>562</v>
      </c>
      <c r="D42" s="397" t="s">
        <v>932</v>
      </c>
      <c r="F42" s="390"/>
      <c r="G42" s="390"/>
    </row>
    <row r="43" spans="1:7" ht="11.25">
      <c r="A43" s="387" t="str">
        <f t="shared" si="0"/>
        <v>Données bancaires</v>
      </c>
      <c r="B43" s="387" t="s">
        <v>953</v>
      </c>
      <c r="C43" s="387" t="s">
        <v>563</v>
      </c>
      <c r="D43" s="397" t="s">
        <v>933</v>
      </c>
      <c r="F43" s="390"/>
      <c r="G43" s="390"/>
    </row>
    <row r="44" spans="1:7" ht="22.5">
      <c r="A44" s="387" t="str">
        <f t="shared" si="0"/>
        <v>Voir le 'signalétique financier' (relevé bancaire) à la fin de la Partie I</v>
      </c>
      <c r="B44" s="387" t="s">
        <v>866</v>
      </c>
      <c r="C44" s="387" t="s">
        <v>1904</v>
      </c>
      <c r="D44" s="397" t="s">
        <v>1903</v>
      </c>
      <c r="F44" s="390"/>
      <c r="G44" s="390"/>
    </row>
    <row r="45" spans="1:7" ht="11.25">
      <c r="A45" s="387" t="str">
        <f t="shared" si="0"/>
        <v>Langue de correspondance</v>
      </c>
      <c r="B45" s="387" t="s">
        <v>954</v>
      </c>
      <c r="C45" s="387" t="s">
        <v>147</v>
      </c>
      <c r="D45" s="397" t="s">
        <v>934</v>
      </c>
      <c r="F45" s="390"/>
      <c r="G45" s="390"/>
    </row>
    <row r="46" spans="1:7" ht="11.25">
      <c r="A46" s="387" t="str">
        <f t="shared" si="0"/>
        <v>Allemand</v>
      </c>
      <c r="B46" s="387" t="s">
        <v>1468</v>
      </c>
      <c r="C46" s="387" t="s">
        <v>564</v>
      </c>
      <c r="D46" s="397" t="s">
        <v>824</v>
      </c>
      <c r="F46" s="390"/>
      <c r="G46" s="390"/>
    </row>
    <row r="47" spans="1:7" ht="11.25">
      <c r="A47" s="387" t="str">
        <f t="shared" si="0"/>
        <v>Anglais</v>
      </c>
      <c r="B47" s="387" t="s">
        <v>1045</v>
      </c>
      <c r="C47" s="387" t="s">
        <v>1469</v>
      </c>
      <c r="D47" s="397" t="s">
        <v>825</v>
      </c>
      <c r="F47" s="390"/>
      <c r="G47" s="390"/>
    </row>
    <row r="48" spans="1:7" ht="11.25" customHeight="1">
      <c r="A48" s="387" t="str">
        <f t="shared" si="0"/>
        <v>Français</v>
      </c>
      <c r="B48" s="387" t="s">
        <v>1525</v>
      </c>
      <c r="C48" s="387" t="s">
        <v>565</v>
      </c>
      <c r="D48" s="397" t="s">
        <v>1470</v>
      </c>
      <c r="F48" s="390"/>
      <c r="G48" s="390"/>
    </row>
    <row r="49" spans="1:7" ht="11.25" hidden="1">
      <c r="A49" s="387" t="str">
        <f t="shared" si="0"/>
        <v>Caractéristiques de l'activité proposée</v>
      </c>
      <c r="B49" s="400" t="s">
        <v>572</v>
      </c>
      <c r="C49" s="400" t="s">
        <v>1976</v>
      </c>
      <c r="D49" s="401" t="s">
        <v>573</v>
      </c>
      <c r="F49" s="390"/>
      <c r="G49" s="390"/>
    </row>
    <row r="50" spans="1:7" ht="11.25" hidden="1">
      <c r="A50" s="387" t="str">
        <f t="shared" si="0"/>
        <v>Partenaires impliqués dans les activités</v>
      </c>
      <c r="B50" s="387" t="s">
        <v>13</v>
      </c>
      <c r="C50" s="387" t="s">
        <v>12</v>
      </c>
      <c r="D50" s="397" t="s">
        <v>11</v>
      </c>
      <c r="F50" s="390"/>
      <c r="G50" s="390"/>
    </row>
    <row r="51" spans="1:7" ht="21" customHeight="1">
      <c r="A51" s="387" t="str">
        <f t="shared" si="0"/>
        <v>Une lettre d'engagement de la part des partenaires est à joindre IMPERATIVEMENT</v>
      </c>
      <c r="B51" s="387" t="s">
        <v>867</v>
      </c>
      <c r="C51" s="387" t="s">
        <v>566</v>
      </c>
      <c r="D51" s="397" t="s">
        <v>826</v>
      </c>
      <c r="F51" s="390"/>
      <c r="G51" s="390"/>
    </row>
    <row r="52" spans="1:7" ht="11.25" hidden="1">
      <c r="A52" s="387" t="str">
        <f t="shared" si="0"/>
        <v>Nom Organisme</v>
      </c>
      <c r="B52" s="387" t="s">
        <v>574</v>
      </c>
      <c r="C52" s="387" t="s">
        <v>567</v>
      </c>
      <c r="D52" s="397" t="s">
        <v>827</v>
      </c>
      <c r="F52" s="390"/>
      <c r="G52" s="390"/>
    </row>
    <row r="53" spans="1:7" ht="11.25" hidden="1">
      <c r="A53" s="387" t="str">
        <f t="shared" si="0"/>
        <v>Responsable</v>
      </c>
      <c r="B53" s="387" t="s">
        <v>575</v>
      </c>
      <c r="C53" s="387" t="s">
        <v>568</v>
      </c>
      <c r="D53" s="397" t="s">
        <v>828</v>
      </c>
      <c r="F53" s="390"/>
      <c r="G53" s="390"/>
    </row>
    <row r="54" spans="1:7" ht="11.25" hidden="1">
      <c r="A54" s="387" t="str">
        <f aca="true" t="shared" si="1" ref="A54:A78">IF($A$1=$B$1,B54,IF($A$1=$C$1,C54,IF($A$1=$D$1,D54,"N/A")))</f>
        <v>Lieu (Pays)</v>
      </c>
      <c r="B54" s="387" t="s">
        <v>576</v>
      </c>
      <c r="C54" s="387" t="s">
        <v>569</v>
      </c>
      <c r="D54" s="397" t="s">
        <v>829</v>
      </c>
      <c r="F54" s="390"/>
      <c r="G54" s="390"/>
    </row>
    <row r="55" spans="1:7" ht="11.25" hidden="1">
      <c r="A55" s="387" t="str">
        <f t="shared" si="1"/>
        <v>Titre du projet</v>
      </c>
      <c r="B55" s="387" t="s">
        <v>577</v>
      </c>
      <c r="C55" s="387" t="s">
        <v>570</v>
      </c>
      <c r="D55" s="397" t="s">
        <v>830</v>
      </c>
      <c r="F55" s="390"/>
      <c r="G55" s="390"/>
    </row>
    <row r="56" spans="1:7" ht="22.5">
      <c r="A56" s="387" t="str">
        <f t="shared" si="1"/>
        <v>Une description détaillée doit nécessairement être annexée: voir notice explicative</v>
      </c>
      <c r="B56" s="387" t="s">
        <v>868</v>
      </c>
      <c r="C56" s="387" t="s">
        <v>1714</v>
      </c>
      <c r="D56" s="397" t="s">
        <v>831</v>
      </c>
      <c r="F56" s="390"/>
      <c r="G56" s="390"/>
    </row>
    <row r="57" spans="1:7" ht="11.25">
      <c r="A57" s="387" t="str">
        <f t="shared" si="1"/>
        <v>Type d'activités</v>
      </c>
      <c r="B57" s="387" t="s">
        <v>14</v>
      </c>
      <c r="D57" s="397" t="s">
        <v>15</v>
      </c>
      <c r="F57" s="390"/>
      <c r="G57" s="390"/>
    </row>
    <row r="58" spans="1:7" ht="11.25">
      <c r="A58" s="387" t="str">
        <f t="shared" si="1"/>
        <v>Date(s), lieu(x) et forme(s) des évènements</v>
      </c>
      <c r="B58" s="387" t="s">
        <v>1500</v>
      </c>
      <c r="C58" s="387" t="s">
        <v>1715</v>
      </c>
      <c r="D58" s="397" t="s">
        <v>832</v>
      </c>
      <c r="F58" s="390"/>
      <c r="G58" s="390"/>
    </row>
    <row r="59" spans="1:7" ht="11.25">
      <c r="A59" s="387" t="str">
        <f t="shared" si="1"/>
        <v>Durée des activités</v>
      </c>
      <c r="B59" s="387" t="s">
        <v>18</v>
      </c>
      <c r="C59" s="387" t="s">
        <v>17</v>
      </c>
      <c r="D59" s="397" t="s">
        <v>16</v>
      </c>
      <c r="F59" s="390"/>
      <c r="G59" s="390"/>
    </row>
    <row r="60" spans="1:7" ht="11.25">
      <c r="A60" s="387" t="str">
        <f t="shared" si="1"/>
        <v>du</v>
      </c>
      <c r="B60" s="387" t="s">
        <v>1499</v>
      </c>
      <c r="C60" s="387" t="s">
        <v>1716</v>
      </c>
      <c r="D60" s="397" t="s">
        <v>833</v>
      </c>
      <c r="F60" s="390"/>
      <c r="G60" s="390"/>
    </row>
    <row r="61" spans="1:7" ht="11.25">
      <c r="A61" s="387" t="str">
        <f t="shared" si="1"/>
        <v>au</v>
      </c>
      <c r="B61" s="387" t="s">
        <v>869</v>
      </c>
      <c r="C61" s="387" t="s">
        <v>1717</v>
      </c>
      <c r="D61" s="397" t="s">
        <v>834</v>
      </c>
      <c r="F61" s="390"/>
      <c r="G61" s="390"/>
    </row>
    <row r="62" spans="1:7" ht="11.25">
      <c r="A62" s="387" t="str">
        <f t="shared" si="1"/>
        <v>Signalétique financier</v>
      </c>
      <c r="B62" s="387" t="s">
        <v>1680</v>
      </c>
      <c r="C62" s="387" t="s">
        <v>1541</v>
      </c>
      <c r="D62" s="397" t="s">
        <v>1403</v>
      </c>
      <c r="F62" s="390"/>
      <c r="G62" s="390"/>
    </row>
    <row r="63" spans="1:7" ht="11.25">
      <c r="A63" s="387" t="str">
        <f t="shared" si="1"/>
        <v>Titulaire du compte bancaire</v>
      </c>
      <c r="B63" s="387" t="s">
        <v>1681</v>
      </c>
      <c r="C63" s="387" t="s">
        <v>1542</v>
      </c>
      <c r="D63" s="397" t="s">
        <v>1404</v>
      </c>
      <c r="F63" s="390"/>
      <c r="G63" s="390"/>
    </row>
    <row r="64" spans="1:7" ht="22.5">
      <c r="A64" s="387" t="str">
        <f t="shared" si="1"/>
        <v>BENEFICIAIRE
(uniquement si différent du titulaire du compte)</v>
      </c>
      <c r="B64" s="387" t="s">
        <v>1003</v>
      </c>
      <c r="C64" s="387" t="s">
        <v>19</v>
      </c>
      <c r="D64" s="397" t="s">
        <v>1040</v>
      </c>
      <c r="F64" s="390"/>
      <c r="G64" s="390"/>
    </row>
    <row r="65" spans="1:7" ht="11.25">
      <c r="A65" s="387" t="str">
        <f t="shared" si="1"/>
        <v>Commune/Ville</v>
      </c>
      <c r="B65" s="387" t="s">
        <v>1501</v>
      </c>
      <c r="C65" s="387" t="s">
        <v>1543</v>
      </c>
      <c r="D65" s="397" t="s">
        <v>1405</v>
      </c>
      <c r="F65" s="390"/>
      <c r="G65" s="390"/>
    </row>
    <row r="66" spans="1:7" ht="11.25">
      <c r="A66" s="387" t="str">
        <f t="shared" si="1"/>
        <v>Contact (Titre, Nom, Prénom)</v>
      </c>
      <c r="B66" s="387" t="s">
        <v>1925</v>
      </c>
      <c r="C66" s="387" t="s">
        <v>371</v>
      </c>
      <c r="D66" s="397" t="s">
        <v>370</v>
      </c>
      <c r="F66" s="390"/>
      <c r="G66" s="390"/>
    </row>
    <row r="67" spans="1:7" ht="11.25">
      <c r="A67" s="387" t="str">
        <f t="shared" si="1"/>
        <v>Genre</v>
      </c>
      <c r="B67" s="387" t="s">
        <v>1041</v>
      </c>
      <c r="C67" s="387" t="s">
        <v>595</v>
      </c>
      <c r="D67" s="397" t="s">
        <v>1930</v>
      </c>
      <c r="F67" s="390"/>
      <c r="G67" s="390"/>
    </row>
    <row r="68" spans="1:7" ht="11.25">
      <c r="A68" s="387" t="str">
        <f t="shared" si="1"/>
        <v>Langue</v>
      </c>
      <c r="B68" s="387" t="s">
        <v>1044</v>
      </c>
      <c r="C68" s="387" t="s">
        <v>1042</v>
      </c>
      <c r="D68" s="397" t="s">
        <v>1043</v>
      </c>
      <c r="F68" s="390"/>
      <c r="G68" s="390"/>
    </row>
    <row r="69" spans="1:7" ht="11.25">
      <c r="A69" s="387" t="str">
        <f t="shared" si="1"/>
        <v>Banque</v>
      </c>
      <c r="B69" s="387" t="s">
        <v>953</v>
      </c>
      <c r="C69" s="387" t="s">
        <v>1544</v>
      </c>
      <c r="D69" s="397" t="s">
        <v>1406</v>
      </c>
      <c r="F69" s="390"/>
      <c r="G69" s="390"/>
    </row>
    <row r="70" spans="1:7" ht="11.25">
      <c r="A70" s="387" t="str">
        <f t="shared" si="1"/>
        <v>Compte bancaire</v>
      </c>
      <c r="B70" s="387" t="s">
        <v>1682</v>
      </c>
      <c r="C70" s="387" t="s">
        <v>1545</v>
      </c>
      <c r="D70" s="397" t="s">
        <v>1407</v>
      </c>
      <c r="F70" s="390"/>
      <c r="G70" s="390"/>
    </row>
    <row r="71" spans="1:7" ht="11.25">
      <c r="A71" s="387" t="str">
        <f t="shared" si="1"/>
        <v>Devise du compte</v>
      </c>
      <c r="B71" s="387" t="s">
        <v>1683</v>
      </c>
      <c r="C71" s="387" t="s">
        <v>1546</v>
      </c>
      <c r="D71" s="397" t="s">
        <v>1679</v>
      </c>
      <c r="F71" s="390"/>
      <c r="G71" s="390"/>
    </row>
    <row r="72" spans="1:7" ht="11.25">
      <c r="A72" s="387" t="str">
        <f t="shared" si="1"/>
        <v>Code postal</v>
      </c>
      <c r="B72" s="387" t="s">
        <v>1685</v>
      </c>
      <c r="C72" s="387" t="s">
        <v>1336</v>
      </c>
      <c r="D72" s="397" t="s">
        <v>1684</v>
      </c>
      <c r="F72" s="390"/>
      <c r="G72" s="390"/>
    </row>
    <row r="73" spans="1:7" ht="11.25">
      <c r="A73" s="387" t="str">
        <f t="shared" si="1"/>
        <v>Nom</v>
      </c>
      <c r="B73" s="387" t="s">
        <v>1335</v>
      </c>
      <c r="C73" s="387" t="s">
        <v>1335</v>
      </c>
      <c r="D73" s="397" t="s">
        <v>1686</v>
      </c>
      <c r="F73" s="390"/>
      <c r="G73" s="390"/>
    </row>
    <row r="74" spans="1:7" ht="11.25">
      <c r="A74" s="387" t="str">
        <f t="shared" si="1"/>
        <v>Données nationales servant à identifier la banque</v>
      </c>
      <c r="B74" s="387" t="s">
        <v>1687</v>
      </c>
      <c r="C74" s="387" t="s">
        <v>1688</v>
      </c>
      <c r="D74" s="397" t="s">
        <v>1689</v>
      </c>
      <c r="F74" s="390"/>
      <c r="G74" s="390"/>
    </row>
    <row r="75" spans="1:7" ht="79.5" customHeight="1">
      <c r="A75" s="387"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7" t="s">
        <v>1926</v>
      </c>
      <c r="C75" s="387" t="s">
        <v>1616</v>
      </c>
      <c r="D75" s="397" t="s">
        <v>1979</v>
      </c>
      <c r="F75" s="390"/>
      <c r="G75" s="390"/>
    </row>
    <row r="76" spans="1:7" ht="11.25">
      <c r="A76" s="387" t="str">
        <f t="shared" si="1"/>
        <v>Pas d'identifiant spécifique</v>
      </c>
      <c r="B76" s="387" t="s">
        <v>1690</v>
      </c>
      <c r="C76" s="387" t="s">
        <v>1691</v>
      </c>
      <c r="D76" s="397" t="s">
        <v>1692</v>
      </c>
      <c r="F76" s="390"/>
      <c r="G76" s="390"/>
    </row>
    <row r="77" spans="1:7" ht="11.25">
      <c r="A77" s="387" t="str">
        <f t="shared" si="1"/>
        <v>Remarques</v>
      </c>
      <c r="B77" s="387" t="s">
        <v>1693</v>
      </c>
      <c r="C77" s="387" t="s">
        <v>1697</v>
      </c>
      <c r="D77" s="397" t="s">
        <v>1696</v>
      </c>
      <c r="F77" s="390"/>
      <c r="G77" s="390"/>
    </row>
    <row r="78" spans="1:7" ht="11.25">
      <c r="A78" s="387" t="str">
        <f t="shared" si="1"/>
        <v>Signature du bénéficiaire (Sur version papier)</v>
      </c>
      <c r="B78" s="387" t="s">
        <v>678</v>
      </c>
      <c r="C78" s="387" t="s">
        <v>676</v>
      </c>
      <c r="D78" s="397" t="s">
        <v>677</v>
      </c>
      <c r="F78" s="390"/>
      <c r="G78" s="390"/>
    </row>
    <row r="79" spans="1:7" ht="11.25">
      <c r="A79" s="387" t="str">
        <f>IF($A$1=$B$1,B79,IF($A$1=$C$1,C79,IF($A$1=$D$1,D79,"N/A")))</f>
        <v>Date</v>
      </c>
      <c r="B79" s="387" t="s">
        <v>1694</v>
      </c>
      <c r="C79" s="387" t="s">
        <v>1695</v>
      </c>
      <c r="D79" s="397" t="s">
        <v>1695</v>
      </c>
      <c r="F79" s="390"/>
      <c r="G79" s="390"/>
    </row>
    <row r="80" spans="1:7" ht="11.25">
      <c r="A80" s="387" t="str">
        <f>IF($A$1=$B$1,B80,IF($A$1=$C$1,C80,IF($A$1=$D$1,D80,"N/A")))</f>
        <v>  Pays de l'UE</v>
      </c>
      <c r="B80" s="387" t="s">
        <v>474</v>
      </c>
      <c r="C80" s="387" t="s">
        <v>1472</v>
      </c>
      <c r="D80" s="397" t="s">
        <v>1039</v>
      </c>
      <c r="F80" s="390"/>
      <c r="G80" s="390"/>
    </row>
    <row r="81" spans="1:4" ht="12.75">
      <c r="A81" s="387" t="str">
        <f aca="true" t="shared" si="2" ref="A81:A91">IF($A$1=$B$1,B81,IF($A$1=$C$1,C81,IF($A$1=$D$1,D81,"N/A")))</f>
        <v>INSTRUCTIONS POUR LA PARTIE I :</v>
      </c>
      <c r="B81" s="402" t="s">
        <v>471</v>
      </c>
      <c r="C81" s="403" t="s">
        <v>470</v>
      </c>
      <c r="D81" s="404" t="s">
        <v>469</v>
      </c>
    </row>
    <row r="82" spans="1:4" ht="68.25">
      <c r="A82" s="387"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7" t="s">
        <v>1559</v>
      </c>
      <c r="C82" s="387" t="s">
        <v>139</v>
      </c>
      <c r="D82" s="397" t="s">
        <v>23</v>
      </c>
    </row>
    <row r="83" spans="1:4" ht="57">
      <c r="A83" s="387"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7" t="s">
        <v>1558</v>
      </c>
      <c r="C83" s="387" t="s">
        <v>655</v>
      </c>
      <c r="D83" s="397" t="s">
        <v>1557</v>
      </c>
    </row>
    <row r="84" spans="1:4" ht="33.75">
      <c r="A84" s="387" t="str">
        <f t="shared" si="2"/>
        <v>Après avoir rempli le formulaire "Part I" (qui contient aussi le formulaire bancaire), vous devez passer au tableau BUDGET ESTIMATION</v>
      </c>
      <c r="B84" s="387" t="s">
        <v>2084</v>
      </c>
      <c r="C84" s="387" t="s">
        <v>1301</v>
      </c>
      <c r="D84" s="397" t="s">
        <v>656</v>
      </c>
    </row>
    <row r="85" spans="1:4" ht="11.25">
      <c r="A85" s="387" t="str">
        <f t="shared" si="2"/>
        <v>Type d'organisation</v>
      </c>
      <c r="B85" s="387" t="s">
        <v>1265</v>
      </c>
      <c r="C85" s="387" t="s">
        <v>1266</v>
      </c>
      <c r="D85" s="397" t="s">
        <v>1267</v>
      </c>
    </row>
    <row r="86" spans="1:4" ht="11.25">
      <c r="A86" s="387" t="str">
        <f t="shared" si="2"/>
        <v>oui</v>
      </c>
      <c r="B86" s="387" t="s">
        <v>1268</v>
      </c>
      <c r="C86" s="387" t="s">
        <v>1269</v>
      </c>
      <c r="D86" s="397" t="s">
        <v>1270</v>
      </c>
    </row>
    <row r="87" spans="1:4" ht="11.25">
      <c r="A87" s="387" t="str">
        <f t="shared" si="2"/>
        <v>non</v>
      </c>
      <c r="B87" s="387" t="s">
        <v>1271</v>
      </c>
      <c r="C87" s="387" t="s">
        <v>1272</v>
      </c>
      <c r="D87" s="397" t="s">
        <v>1273</v>
      </c>
    </row>
    <row r="88" spans="1:4" ht="22.5">
      <c r="A88" s="387" t="str">
        <f t="shared" si="2"/>
        <v>Si oui: montant estimé de la sous-traitance dépassant 25.000 €?</v>
      </c>
      <c r="B88" s="387" t="s">
        <v>1275</v>
      </c>
      <c r="C88" s="387" t="s">
        <v>1274</v>
      </c>
      <c r="D88" s="397" t="s">
        <v>1276</v>
      </c>
    </row>
    <row r="89" spans="1:4" ht="12.75">
      <c r="A89" s="387" t="str">
        <f t="shared" si="2"/>
        <v>N° du contrat</v>
      </c>
      <c r="B89" s="405" t="s">
        <v>144</v>
      </c>
      <c r="C89" s="406" t="s">
        <v>145</v>
      </c>
      <c r="D89" s="405" t="s">
        <v>146</v>
      </c>
    </row>
    <row r="90" spans="1:4" ht="11.25">
      <c r="A90" s="387" t="str">
        <f t="shared" si="2"/>
        <v>Année</v>
      </c>
      <c r="B90" s="387" t="s">
        <v>1277</v>
      </c>
      <c r="C90" s="387" t="s">
        <v>1278</v>
      </c>
      <c r="D90" s="397" t="s">
        <v>1279</v>
      </c>
    </row>
    <row r="91" spans="1:4" ht="11.25">
      <c r="A91" s="387" t="str">
        <f t="shared" si="2"/>
        <v>Titre</v>
      </c>
      <c r="B91" s="387" t="s">
        <v>1280</v>
      </c>
      <c r="C91" s="387" t="s">
        <v>1281</v>
      </c>
      <c r="D91" s="397" t="s">
        <v>1282</v>
      </c>
    </row>
    <row r="92" spans="1:4" ht="45" customHeight="1">
      <c r="A92" s="387" t="str">
        <f aca="true" t="shared" si="3" ref="A92:A108">IF($A$1=$B$1,B92,IF($A$1=$C$1,C92,IF($A$1=$D$1,D92,"N/A")))</f>
        <v>Brève description de la problématique abordée, des objectifs et des résultats concrets de votre proposition (max. 10 lignes)</v>
      </c>
      <c r="B92" s="387" t="s">
        <v>1015</v>
      </c>
      <c r="C92" s="387" t="s">
        <v>878</v>
      </c>
      <c r="D92" s="397" t="s">
        <v>1900</v>
      </c>
    </row>
    <row r="93" spans="1:4" ht="11.25">
      <c r="A93" s="387" t="str">
        <f t="shared" si="3"/>
        <v>Compte bancaire no.</v>
      </c>
      <c r="B93" s="387" t="s">
        <v>848</v>
      </c>
      <c r="C93" s="387" t="s">
        <v>849</v>
      </c>
      <c r="D93" s="397" t="s">
        <v>850</v>
      </c>
    </row>
    <row r="94" spans="1:4" ht="11.25">
      <c r="A94" s="387" t="str">
        <f t="shared" si="3"/>
        <v>Devise du compte</v>
      </c>
      <c r="B94" s="387" t="s">
        <v>1683</v>
      </c>
      <c r="C94" s="387" t="s">
        <v>1546</v>
      </c>
      <c r="D94" s="397" t="s">
        <v>1679</v>
      </c>
    </row>
    <row r="95" spans="1:4" ht="11.25">
      <c r="A95" s="387" t="str">
        <f t="shared" si="3"/>
        <v>TITRE DU PROJET:</v>
      </c>
      <c r="B95" s="387" t="s">
        <v>853</v>
      </c>
      <c r="C95" s="387" t="s">
        <v>854</v>
      </c>
      <c r="D95" s="397" t="s">
        <v>855</v>
      </c>
    </row>
    <row r="96" spans="1:4" ht="11.25">
      <c r="A96" s="387" t="str">
        <f t="shared" si="3"/>
        <v>No:</v>
      </c>
      <c r="B96" s="387" t="s">
        <v>851</v>
      </c>
      <c r="C96" s="387" t="s">
        <v>862</v>
      </c>
      <c r="D96" s="397" t="s">
        <v>852</v>
      </c>
    </row>
    <row r="97" spans="1:4" ht="11.25">
      <c r="A97" s="387" t="str">
        <f t="shared" si="3"/>
        <v>Pourcentage de la subvention </v>
      </c>
      <c r="B97" s="387" t="s">
        <v>857</v>
      </c>
      <c r="C97" s="387" t="s">
        <v>858</v>
      </c>
      <c r="D97" s="397" t="s">
        <v>1016</v>
      </c>
    </row>
    <row r="98" spans="1:4" ht="11.25">
      <c r="A98" s="387" t="str">
        <f t="shared" si="3"/>
        <v>Site internet</v>
      </c>
      <c r="B98" s="387" t="s">
        <v>1051</v>
      </c>
      <c r="C98" s="387" t="s">
        <v>1052</v>
      </c>
      <c r="D98" s="397" t="s">
        <v>1053</v>
      </c>
    </row>
    <row r="99" spans="1:4" ht="60" customHeight="1">
      <c r="A99" s="387" t="str">
        <f t="shared" si="3"/>
        <v>Soutiens financiers antérieurs obtenus directement ou indirectement au cours des trois années précédentes auprès d'une institution européenne ou organisme communautaire (s’il y a lieu)</v>
      </c>
      <c r="B99" s="387" t="s">
        <v>1919</v>
      </c>
      <c r="C99" s="387" t="s">
        <v>1901</v>
      </c>
      <c r="D99" s="397" t="s">
        <v>835</v>
      </c>
    </row>
    <row r="100" spans="1:4" ht="72.75" customHeight="1">
      <c r="A100" s="387"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7" t="s">
        <v>1921</v>
      </c>
      <c r="C100" s="387" t="s">
        <v>1978</v>
      </c>
      <c r="D100" s="397" t="s">
        <v>1977</v>
      </c>
    </row>
    <row r="101" spans="1:4" ht="171">
      <c r="A101" s="387"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7" t="s">
        <v>1924</v>
      </c>
      <c r="C101" s="387" t="s">
        <v>1001</v>
      </c>
      <c r="D101" s="397" t="s">
        <v>1000</v>
      </c>
    </row>
    <row r="102" spans="1:4" ht="11.25">
      <c r="A102" s="387" t="str">
        <f t="shared" si="3"/>
        <v>Date et lieu</v>
      </c>
      <c r="B102" s="387" t="s">
        <v>472</v>
      </c>
      <c r="C102" s="387" t="s">
        <v>672</v>
      </c>
      <c r="D102" s="397" t="s">
        <v>312</v>
      </c>
    </row>
    <row r="103" spans="1:4" ht="11.25">
      <c r="A103" s="387" t="str">
        <f t="shared" si="3"/>
        <v>Subvention demandée</v>
      </c>
      <c r="B103" s="387" t="s">
        <v>665</v>
      </c>
      <c r="C103" s="387" t="s">
        <v>664</v>
      </c>
      <c r="D103" s="397" t="s">
        <v>663</v>
      </c>
    </row>
    <row r="104" spans="1:4" ht="11.25">
      <c r="A104" s="387" t="str">
        <f t="shared" si="3"/>
        <v>Apport propre</v>
      </c>
      <c r="B104" s="387" t="s">
        <v>914</v>
      </c>
      <c r="C104" s="387" t="s">
        <v>666</v>
      </c>
      <c r="D104" s="397" t="s">
        <v>309</v>
      </c>
    </row>
    <row r="105" spans="1:4" ht="11.25">
      <c r="A105" s="387" t="str">
        <f t="shared" si="3"/>
        <v>Ressources externes</v>
      </c>
      <c r="B105" s="387" t="s">
        <v>667</v>
      </c>
      <c r="C105" s="387" t="s">
        <v>1965</v>
      </c>
      <c r="D105" s="397" t="s">
        <v>310</v>
      </c>
    </row>
    <row r="106" spans="1:4" ht="11.25">
      <c r="A106" s="387" t="str">
        <f t="shared" si="3"/>
        <v>Ressources générées par le projet</v>
      </c>
      <c r="B106" s="387" t="s">
        <v>669</v>
      </c>
      <c r="C106" s="387" t="s">
        <v>668</v>
      </c>
      <c r="D106" s="397" t="s">
        <v>670</v>
      </c>
    </row>
    <row r="107" spans="1:4" ht="11.25">
      <c r="A107" s="387" t="str">
        <f t="shared" si="3"/>
        <v>Budget prévisionnel (EURO)</v>
      </c>
      <c r="B107" s="387" t="s">
        <v>1415</v>
      </c>
      <c r="C107" s="387" t="s">
        <v>660</v>
      </c>
      <c r="D107" s="397" t="s">
        <v>1414</v>
      </c>
    </row>
    <row r="108" spans="1:4" ht="11.25">
      <c r="A108" s="387" t="str">
        <f t="shared" si="3"/>
        <v>Déclaration de l'organisation candidate</v>
      </c>
      <c r="B108" s="387" t="s">
        <v>957</v>
      </c>
      <c r="C108" s="387" t="s">
        <v>671</v>
      </c>
      <c r="D108" s="397" t="s">
        <v>311</v>
      </c>
    </row>
    <row r="109" spans="1:4" ht="11.25">
      <c r="A109" s="387" t="str">
        <f aca="true" t="shared" si="4" ref="A109:A121">IF($A$1=$B$1,B109,IF($A$1=$C$1,C109,IF($A$1=$D$1,D109,"N/A")))</f>
        <v>Structure, activités et ressources de l'organisation</v>
      </c>
      <c r="B109" s="387" t="s">
        <v>460</v>
      </c>
      <c r="C109" s="387" t="s">
        <v>461</v>
      </c>
      <c r="D109" s="397" t="s">
        <v>308</v>
      </c>
    </row>
    <row r="110" spans="1:4" ht="11.25">
      <c r="A110" s="387" t="str">
        <f t="shared" si="4"/>
        <v>Direction générale responsable de la ligne budgétaire</v>
      </c>
      <c r="B110" s="387" t="s">
        <v>1920</v>
      </c>
      <c r="C110" s="387" t="s">
        <v>10</v>
      </c>
      <c r="D110" s="397" t="s">
        <v>9</v>
      </c>
    </row>
    <row r="111" spans="1:4" ht="11.25">
      <c r="A111" s="387" t="str">
        <f t="shared" si="4"/>
        <v>Titre et numéro de référence du projet</v>
      </c>
      <c r="B111" s="387" t="s">
        <v>860</v>
      </c>
      <c r="C111" s="387" t="s">
        <v>859</v>
      </c>
      <c r="D111" s="397" t="s">
        <v>861</v>
      </c>
    </row>
    <row r="112" spans="1:4" ht="22.5">
      <c r="A112" s="387" t="str">
        <f t="shared" si="4"/>
        <v>Obtenue ?</v>
      </c>
      <c r="B112" s="387" t="s">
        <v>1554</v>
      </c>
      <c r="C112" s="387" t="s">
        <v>772</v>
      </c>
      <c r="D112" s="397" t="s">
        <v>771</v>
      </c>
    </row>
    <row r="113" spans="1:4" ht="64.5" customHeight="1">
      <c r="A113" s="387" t="str">
        <f t="shared" si="4"/>
        <v>Vous pouvez vous déplacer d'une case à l'autre en utilisant la touche "tab".  Lorsque sur une cellule, vous voyez un petit bouton juxtaposé avec une flèche, vous devez utiliser une valeur de la liste déroulante, en cliquant sur ce bouton.</v>
      </c>
      <c r="B113" s="387" t="s">
        <v>1911</v>
      </c>
      <c r="C113" s="387" t="s">
        <v>140</v>
      </c>
      <c r="D113" s="397" t="s">
        <v>1982</v>
      </c>
    </row>
    <row r="114" spans="1:4" ht="11.25">
      <c r="A114" s="387" t="str">
        <f t="shared" si="4"/>
        <v>Montant (€)</v>
      </c>
      <c r="B114" s="387" t="s">
        <v>1018</v>
      </c>
      <c r="C114" s="387" t="s">
        <v>1019</v>
      </c>
      <c r="D114" s="397" t="s">
        <v>1020</v>
      </c>
    </row>
    <row r="115" spans="1:4" ht="11.25">
      <c r="A115" s="387" t="str">
        <f t="shared" si="4"/>
        <v>Retour formulaire principal 'FORM'</v>
      </c>
      <c r="B115" s="387" t="s">
        <v>1617</v>
      </c>
      <c r="C115" s="387" t="s">
        <v>1618</v>
      </c>
      <c r="D115" s="397" t="s">
        <v>1303</v>
      </c>
    </row>
    <row r="116" spans="1:4" ht="11.25">
      <c r="A116" s="387" t="str">
        <f t="shared" si="4"/>
        <v>Cout total du projet</v>
      </c>
      <c r="B116" s="387" t="s">
        <v>662</v>
      </c>
      <c r="C116" s="387" t="s">
        <v>661</v>
      </c>
      <c r="D116" s="397" t="s">
        <v>1413</v>
      </c>
    </row>
    <row r="117" spans="1:4" ht="11.25">
      <c r="A117" s="387" t="str">
        <f t="shared" si="4"/>
        <v>Fonction (Si elle diffère de celle ci-dessus)</v>
      </c>
      <c r="B117" s="387" t="s">
        <v>1918</v>
      </c>
      <c r="C117" s="387" t="s">
        <v>959</v>
      </c>
      <c r="D117" s="397" t="s">
        <v>958</v>
      </c>
    </row>
    <row r="118" spans="1:4" ht="11.25">
      <c r="A118" s="387" t="str">
        <f t="shared" si="4"/>
        <v>Fin du document</v>
      </c>
      <c r="B118" s="387" t="s">
        <v>1619</v>
      </c>
      <c r="C118" s="387" t="s">
        <v>1620</v>
      </c>
      <c r="D118" s="397" t="s">
        <v>1621</v>
      </c>
    </row>
    <row r="119" spans="1:4" ht="22.5">
      <c r="A119" s="387" t="str">
        <f t="shared" si="4"/>
        <v>Accéder directement à la fiche signalétique bancaire à imprimer</v>
      </c>
      <c r="B119" s="387" t="s">
        <v>459</v>
      </c>
      <c r="C119" s="387" t="s">
        <v>1980</v>
      </c>
      <c r="D119" s="397" t="s">
        <v>1981</v>
      </c>
    </row>
    <row r="120" spans="1:4" ht="11.25">
      <c r="A120" s="387" t="str">
        <f t="shared" si="4"/>
        <v>Signature (sur version papier)</v>
      </c>
      <c r="B120" s="387" t="s">
        <v>1002</v>
      </c>
      <c r="C120" s="387" t="s">
        <v>675</v>
      </c>
      <c r="D120" s="397" t="s">
        <v>674</v>
      </c>
    </row>
    <row r="121" spans="1:4" ht="11.25">
      <c r="A121" s="387" t="str">
        <f t="shared" si="4"/>
        <v>Titre (Mr, Mme,…)</v>
      </c>
      <c r="B121" s="387" t="s">
        <v>960</v>
      </c>
      <c r="C121" s="387" t="s">
        <v>961</v>
      </c>
      <c r="D121" s="397" t="s">
        <v>213</v>
      </c>
    </row>
    <row r="122" spans="1:4" ht="11.25">
      <c r="A122" s="387" t="str">
        <f aca="true" t="shared" si="5" ref="A122:A130">IF($A$1=$B$1,B122,IF($A$1=$C$1,C122,IF($A$1=$D$1,D122,"N/A")))</f>
        <v>Volet d'action</v>
      </c>
      <c r="B122" s="387" t="s">
        <v>1790</v>
      </c>
      <c r="C122" s="387" t="s">
        <v>1791</v>
      </c>
      <c r="D122" s="397" t="s">
        <v>1789</v>
      </c>
    </row>
    <row r="123" spans="1:4" ht="11.25">
      <c r="A123" s="387" t="str">
        <f t="shared" si="5"/>
        <v>IBAN (Optionnel)</v>
      </c>
      <c r="B123" s="387" t="s">
        <v>913</v>
      </c>
      <c r="C123" s="387" t="s">
        <v>894</v>
      </c>
      <c r="D123" s="397" t="s">
        <v>881</v>
      </c>
    </row>
    <row r="124" spans="1:4" ht="11.25">
      <c r="A124" s="387" t="str">
        <f t="shared" si="5"/>
        <v>JJ/MM/AAAA</v>
      </c>
      <c r="B124" s="387" t="s">
        <v>1409</v>
      </c>
      <c r="C124" s="387" t="s">
        <v>1410</v>
      </c>
      <c r="D124" s="397" t="s">
        <v>1411</v>
      </c>
    </row>
    <row r="125" spans="1:4" ht="11.25">
      <c r="A125" s="387" t="str">
        <f t="shared" si="5"/>
        <v>BANQUE</v>
      </c>
      <c r="B125" s="387" t="s">
        <v>893</v>
      </c>
      <c r="C125" s="387" t="s">
        <v>893</v>
      </c>
      <c r="D125" s="397" t="s">
        <v>880</v>
      </c>
    </row>
    <row r="126" spans="1:4" ht="33.75">
      <c r="A126" s="387" t="str">
        <f t="shared" si="5"/>
        <v>http://europa.eu.int/euro/html/rubrique-cadre6.html?pag=rubrique-defaut6.html&amp;lang=6&amp;rubrique=196&amp;chap=13</v>
      </c>
      <c r="B126" s="387" t="s">
        <v>1361</v>
      </c>
      <c r="C126" s="387" t="s">
        <v>1362</v>
      </c>
      <c r="D126" s="397" t="s">
        <v>1360</v>
      </c>
    </row>
    <row r="127" spans="1:4" ht="22.5">
      <c r="A127" s="387" t="str">
        <f t="shared" si="5"/>
        <v>COMMENT REMPLIR LE FORMULAIRE :</v>
      </c>
      <c r="B127" s="387" t="s">
        <v>466</v>
      </c>
      <c r="C127" s="387" t="s">
        <v>467</v>
      </c>
      <c r="D127" s="397" t="s">
        <v>468</v>
      </c>
    </row>
    <row r="128" spans="1:4" ht="26.25">
      <c r="A128" s="387" t="str">
        <f t="shared" si="5"/>
        <v>Partie I. Présentation de l'organisation chef de file</v>
      </c>
      <c r="B128" s="402" t="s">
        <v>141</v>
      </c>
      <c r="C128" s="407" t="s">
        <v>142</v>
      </c>
      <c r="D128" s="404" t="s">
        <v>143</v>
      </c>
    </row>
    <row r="129" spans="1:4" ht="12.75">
      <c r="A129" s="387" t="str">
        <f t="shared" si="5"/>
        <v>Choisissez votre langue</v>
      </c>
      <c r="B129" s="402" t="s">
        <v>138</v>
      </c>
      <c r="C129" s="403" t="s">
        <v>586</v>
      </c>
      <c r="D129" s="404" t="s">
        <v>137</v>
      </c>
    </row>
    <row r="130" spans="1:4" ht="78" customHeight="1">
      <c r="A130" s="387"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7" t="s">
        <v>1912</v>
      </c>
      <c r="C130" s="387" t="s">
        <v>2090</v>
      </c>
      <c r="D130" s="397" t="s">
        <v>2089</v>
      </c>
    </row>
    <row r="131" spans="1:4" ht="22.5">
      <c r="A131" s="387" t="str">
        <f>IF($A$1=$B$1,B131,IF($A$1=$C$1,C131,IF($A$1=$D$1,D131,"N/A")))</f>
        <v>Archives (J-37 0/26) - Appel à propositions VP/2002/008</v>
      </c>
      <c r="B131" s="387" t="s">
        <v>1815</v>
      </c>
      <c r="C131" s="387" t="s">
        <v>2076</v>
      </c>
      <c r="D131" s="397" t="s">
        <v>1816</v>
      </c>
    </row>
    <row r="132" spans="1:4" ht="11.25">
      <c r="A132" s="387" t="str">
        <f aca="true" t="shared" si="6" ref="A132:A170">IF($A$1=$B$1,B132,IF($A$1=$C$1,C132,IF($A$1=$D$1,D132,"N/A")))</f>
        <v>Commission européenne</v>
      </c>
      <c r="B132" s="387" t="s">
        <v>209</v>
      </c>
      <c r="C132" s="387" t="s">
        <v>1373</v>
      </c>
      <c r="D132" s="397" t="s">
        <v>104</v>
      </c>
    </row>
    <row r="133" spans="1:4" ht="11.25">
      <c r="A133" s="387" t="str">
        <f t="shared" si="6"/>
        <v>DG Emploi et affaires sociales</v>
      </c>
      <c r="B133" s="387" t="s">
        <v>210</v>
      </c>
      <c r="C133" s="387" t="s">
        <v>1374</v>
      </c>
      <c r="D133" s="397" t="s">
        <v>105</v>
      </c>
    </row>
    <row r="134" spans="1:4" ht="11.25" hidden="1">
      <c r="A134" s="387" t="str">
        <f t="shared" si="6"/>
        <v>Rue de la Loi 200/Wetstraat 200</v>
      </c>
      <c r="B134" s="387" t="s">
        <v>1370</v>
      </c>
      <c r="C134" s="387" t="s">
        <v>2080</v>
      </c>
      <c r="D134" s="397" t="s">
        <v>1370</v>
      </c>
    </row>
    <row r="135" spans="1:4" ht="11.25">
      <c r="A135" s="387" t="str">
        <f t="shared" si="6"/>
        <v>B-1049 Bruxelles</v>
      </c>
      <c r="B135" s="387" t="s">
        <v>211</v>
      </c>
      <c r="C135" s="387" t="s">
        <v>206</v>
      </c>
      <c r="D135" s="397" t="s">
        <v>1371</v>
      </c>
    </row>
    <row r="136" spans="1:4" ht="11.25">
      <c r="A136" s="387" t="str">
        <f t="shared" si="6"/>
        <v>Belgique</v>
      </c>
      <c r="B136" s="387" t="s">
        <v>2000</v>
      </c>
      <c r="C136" s="387" t="s">
        <v>1778</v>
      </c>
      <c r="D136" s="397" t="s">
        <v>1021</v>
      </c>
    </row>
    <row r="137" spans="1:4" ht="57">
      <c r="A137" s="387"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8" t="s">
        <v>1905</v>
      </c>
      <c r="C137" s="408" t="s">
        <v>2074</v>
      </c>
      <c r="D137" s="408" t="s">
        <v>1808</v>
      </c>
    </row>
    <row r="138" spans="1:4" ht="45">
      <c r="A138" s="387" t="str">
        <f t="shared" si="7"/>
        <v>2. Ce formulaire se compose de trois parties : - la partie I ci-après concerne votre organisation ; - la partie II concerne votre proposition ; - la partie III concerne le budget.</v>
      </c>
      <c r="B138" s="409" t="s">
        <v>1906</v>
      </c>
      <c r="C138" s="410" t="s">
        <v>870</v>
      </c>
      <c r="D138" s="409" t="s">
        <v>1809</v>
      </c>
    </row>
    <row r="139" spans="1:4" ht="57">
      <c r="A139" s="387" t="str">
        <f t="shared" si="7"/>
        <v>3. Le réseau européen, en consultation avec ses membres, doit remplir la partie I "Présentation générale du réseau européen",  y compris signer et dater, la partie II (Proposition) et la partie III (Budget). </v>
      </c>
      <c r="B139" s="408" t="s">
        <v>438</v>
      </c>
      <c r="C139" s="408" t="s">
        <v>871</v>
      </c>
      <c r="D139" s="408" t="s">
        <v>1810</v>
      </c>
    </row>
    <row r="140" spans="1:4" ht="33.75" hidden="1">
      <c r="A140" s="387" t="str">
        <f t="shared" si="7"/>
        <v>4. Chaque organisation partenaire devra remplir, signer et dater la partie II "Informations concernant les organisations co-candidates/partenaires".</v>
      </c>
      <c r="B140" s="408" t="s">
        <v>189</v>
      </c>
      <c r="C140" s="408" t="s">
        <v>654</v>
      </c>
      <c r="D140" s="408" t="s">
        <v>1576</v>
      </c>
    </row>
    <row r="141" spans="1:4" ht="45">
      <c r="A141" s="387" t="str">
        <f t="shared" si="7"/>
        <v>5. La principale organisation candidate, en consultation avec les organisations partenaires, devra remplir la partie III "Description et justification de la proposition" et la partie IV "Budget de la proposition". </v>
      </c>
      <c r="B141" s="408" t="s">
        <v>1907</v>
      </c>
      <c r="C141" s="408" t="s">
        <v>2075</v>
      </c>
      <c r="D141" s="408" t="s">
        <v>188</v>
      </c>
    </row>
    <row r="142" spans="1:4" ht="57">
      <c r="A142" s="387"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8" t="s">
        <v>439</v>
      </c>
      <c r="C142" s="408" t="s">
        <v>876</v>
      </c>
      <c r="D142" s="408" t="s">
        <v>1814</v>
      </c>
    </row>
    <row r="143" spans="1:4" ht="22.5" hidden="1">
      <c r="A143" s="387" t="str">
        <f t="shared" si="7"/>
        <v>. une lettre d'accompagnement présentant votre demande de financement,</v>
      </c>
      <c r="B143" s="408" t="s">
        <v>1017</v>
      </c>
      <c r="C143" s="408" t="s">
        <v>207</v>
      </c>
      <c r="D143" s="408" t="s">
        <v>1300</v>
      </c>
    </row>
    <row r="144" spans="1:4" ht="33.75" hidden="1">
      <c r="A144" s="387" t="str">
        <f t="shared" si="7"/>
        <v>. l'original et une copie de votre formulaire de demande (parties I, II, III et IV), y compris de tout feuillet supplémentaire,</v>
      </c>
      <c r="B144" s="408" t="s">
        <v>585</v>
      </c>
      <c r="C144" s="408" t="s">
        <v>584</v>
      </c>
      <c r="D144" s="408" t="s">
        <v>583</v>
      </c>
    </row>
    <row r="145" spans="1:4" ht="90.75" hidden="1">
      <c r="A145" s="387"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8" t="s">
        <v>387</v>
      </c>
      <c r="C145" s="408" t="s">
        <v>1408</v>
      </c>
      <c r="D145" s="408" t="s">
        <v>24</v>
      </c>
    </row>
    <row r="146" spans="1:4" ht="22.5" hidden="1">
      <c r="A146" s="387" t="str">
        <f t="shared" si="7"/>
        <v>. le curriculum vitae détaillé/la description des tâches du responsable de projet,</v>
      </c>
      <c r="B146" s="408" t="s">
        <v>1014</v>
      </c>
      <c r="C146" s="408" t="s">
        <v>578</v>
      </c>
      <c r="D146" s="408" t="s">
        <v>579</v>
      </c>
    </row>
    <row r="147" spans="1:4" ht="22.5" hidden="1">
      <c r="A147" s="387" t="str">
        <f t="shared" si="7"/>
        <v>. deux exemplaires de votre rapport d'activité ou de votre rapport annuel le plus récent,</v>
      </c>
      <c r="B147" s="408" t="s">
        <v>1299</v>
      </c>
      <c r="C147" s="408" t="s">
        <v>1298</v>
      </c>
      <c r="D147" s="408" t="s">
        <v>25</v>
      </c>
    </row>
    <row r="148" spans="1:4" ht="33.75" hidden="1">
      <c r="A148" s="387" t="str">
        <f t="shared" si="7"/>
        <v>. deux exemplaires de vos comptes de 2001 ou d'informations financières équivalentes, de préférence accompagnés d'un certificat d'audit,</v>
      </c>
      <c r="B148" s="408" t="s">
        <v>1983</v>
      </c>
      <c r="C148" s="408" t="s">
        <v>580</v>
      </c>
      <c r="D148" s="408" t="s">
        <v>581</v>
      </c>
    </row>
    <row r="149" spans="1:4" ht="33.75" hidden="1">
      <c r="A149" s="387" t="str">
        <f t="shared" si="7"/>
        <v>. deux exemplaires des statuts ou d'un document équivalent de la principale organisation candidate, </v>
      </c>
      <c r="B149" s="408" t="s">
        <v>1012</v>
      </c>
      <c r="C149" s="408" t="s">
        <v>582</v>
      </c>
      <c r="D149" s="408" t="s">
        <v>1297</v>
      </c>
    </row>
    <row r="150" spans="1:4" ht="33.75" hidden="1">
      <c r="A150" s="387" t="str">
        <f t="shared" si="7"/>
        <v>. et le relevé bancaire (signalétique financier annexé à la partie I ) signé concernant le compte sur lequel les versements pour la proposition devront être effectués.</v>
      </c>
      <c r="B150" s="408" t="s">
        <v>1013</v>
      </c>
      <c r="C150" s="408" t="s">
        <v>1984</v>
      </c>
      <c r="D150" s="408" t="s">
        <v>1902</v>
      </c>
    </row>
    <row r="151" spans="1:4" ht="57" hidden="1">
      <c r="A151" s="387"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8" t="s">
        <v>208</v>
      </c>
      <c r="C151" s="408" t="s">
        <v>1372</v>
      </c>
      <c r="D151" s="408" t="s">
        <v>103</v>
      </c>
    </row>
    <row r="152" spans="1:4" ht="68.25" customHeight="1">
      <c r="A152" s="387"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8" t="s">
        <v>1908</v>
      </c>
      <c r="C152" s="408" t="s">
        <v>872</v>
      </c>
      <c r="D152" s="408" t="s">
        <v>1811</v>
      </c>
    </row>
    <row r="153" spans="1:4" ht="45">
      <c r="A153" s="387" t="str">
        <f t="shared" si="7"/>
        <v>6. Envoyez les trois parties remplies de ce formulaire par courrier électronique au plus tard le 17/07/2002 à l'adresse suivante: empl-e2@cec.eu.int  avec la mention "VP/2002/008 - candidature"</v>
      </c>
      <c r="B153" s="408" t="s">
        <v>1909</v>
      </c>
      <c r="C153" s="408" t="s">
        <v>873</v>
      </c>
      <c r="D153" s="408" t="s">
        <v>1812</v>
      </c>
    </row>
    <row r="154" spans="1:4" ht="33.75">
      <c r="A154" s="387" t="str">
        <f t="shared" si="7"/>
        <v>7. Pour toute question concernant votre demande, contactez nous en citant la référence "VP/2002/008 - info" auprès des points de contact mentionnés dans les lignes directrices.  </v>
      </c>
      <c r="B154" s="408" t="s">
        <v>440</v>
      </c>
      <c r="C154" s="408" t="s">
        <v>874</v>
      </c>
      <c r="D154" s="408" t="s">
        <v>1813</v>
      </c>
    </row>
    <row r="155" spans="1:4" ht="22.5">
      <c r="A155" s="387" t="str">
        <f t="shared" si="6"/>
        <v>Programme d'action communautaire de lutte contre l'exclusion sociale 2002-2006</v>
      </c>
      <c r="B155" s="387" t="s">
        <v>1882</v>
      </c>
      <c r="C155" s="387" t="s">
        <v>2083</v>
      </c>
      <c r="D155" s="397" t="s">
        <v>1881</v>
      </c>
    </row>
    <row r="156" spans="1:4" ht="95.25" customHeight="1">
      <c r="A156" s="387"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7" t="s">
        <v>441</v>
      </c>
      <c r="C156" s="387" t="s">
        <v>2079</v>
      </c>
      <c r="D156" s="397" t="s">
        <v>2085</v>
      </c>
    </row>
    <row r="157" spans="1:4" ht="73.5" customHeight="1">
      <c r="A157" s="387"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7" t="s">
        <v>1913</v>
      </c>
      <c r="C157" s="387" t="s">
        <v>2091</v>
      </c>
      <c r="D157" s="397" t="s">
        <v>2086</v>
      </c>
    </row>
    <row r="158" spans="1:4" ht="136.5" customHeight="1">
      <c r="A158" s="387"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7" t="s">
        <v>1914</v>
      </c>
      <c r="C158" s="387" t="s">
        <v>2092</v>
      </c>
      <c r="D158" s="397" t="s">
        <v>2088</v>
      </c>
    </row>
    <row r="159" spans="1:4" ht="34.5" customHeight="1">
      <c r="A159" s="387" t="str">
        <f t="shared" si="6"/>
        <v>Veuillez éviter les mentions 'Néant' et laisser vierges les cellules où vous n'avez pas d'informations à y insérer</v>
      </c>
      <c r="B159" s="387" t="s">
        <v>1915</v>
      </c>
      <c r="C159" s="387" t="s">
        <v>1916</v>
      </c>
      <c r="D159" s="397" t="s">
        <v>2087</v>
      </c>
    </row>
    <row r="160" spans="1:3" ht="48.75" customHeight="1">
      <c r="A160" s="387">
        <f t="shared" si="6"/>
        <v>0</v>
      </c>
      <c r="B160" s="387" t="s">
        <v>1910</v>
      </c>
      <c r="C160" s="387" t="s">
        <v>875</v>
      </c>
    </row>
    <row r="161" ht="11.25">
      <c r="A161" s="387">
        <f t="shared" si="6"/>
        <v>0</v>
      </c>
    </row>
    <row r="162" ht="11.25">
      <c r="A162" s="387">
        <f t="shared" si="6"/>
        <v>0</v>
      </c>
    </row>
    <row r="163" ht="11.25">
      <c r="A163" s="387">
        <f t="shared" si="6"/>
        <v>0</v>
      </c>
    </row>
    <row r="164" ht="11.25">
      <c r="A164" s="387">
        <f t="shared" si="6"/>
        <v>0</v>
      </c>
    </row>
    <row r="165" ht="11.25">
      <c r="A165" s="387">
        <f t="shared" si="6"/>
        <v>0</v>
      </c>
    </row>
    <row r="166" ht="11.25">
      <c r="A166" s="387">
        <f t="shared" si="6"/>
        <v>0</v>
      </c>
    </row>
    <row r="167" ht="11.25">
      <c r="A167" s="387">
        <f t="shared" si="6"/>
        <v>0</v>
      </c>
    </row>
    <row r="168" ht="11.25">
      <c r="A168" s="387">
        <f t="shared" si="6"/>
        <v>0</v>
      </c>
    </row>
    <row r="169" ht="11.25">
      <c r="A169" s="387">
        <f t="shared" si="6"/>
        <v>0</v>
      </c>
    </row>
    <row r="170" ht="11.25">
      <c r="A170" s="387">
        <f t="shared" si="6"/>
        <v>0</v>
      </c>
    </row>
    <row r="171" ht="11.25">
      <c r="A171" s="387">
        <f aca="true" t="shared" si="8" ref="A171:A234">IF($A$1=$B$1,B171,IF($A$1=$C$1,C171,IF($A$1=$D$1,D171,"N/A")))</f>
        <v>0</v>
      </c>
    </row>
    <row r="172" ht="11.25">
      <c r="A172" s="387">
        <f t="shared" si="8"/>
        <v>0</v>
      </c>
    </row>
    <row r="173" ht="11.25">
      <c r="A173" s="387">
        <f t="shared" si="8"/>
        <v>0</v>
      </c>
    </row>
    <row r="174" ht="11.25">
      <c r="A174" s="387">
        <f t="shared" si="8"/>
        <v>0</v>
      </c>
    </row>
    <row r="175" ht="11.25">
      <c r="A175" s="387">
        <f t="shared" si="8"/>
        <v>0</v>
      </c>
    </row>
    <row r="176" ht="11.25">
      <c r="A176" s="387">
        <f t="shared" si="8"/>
        <v>0</v>
      </c>
    </row>
    <row r="177" ht="11.25">
      <c r="A177" s="387">
        <f t="shared" si="8"/>
        <v>0</v>
      </c>
    </row>
    <row r="178" ht="11.25">
      <c r="A178" s="387">
        <f t="shared" si="8"/>
        <v>0</v>
      </c>
    </row>
    <row r="179" ht="11.25">
      <c r="A179" s="387">
        <f t="shared" si="8"/>
        <v>0</v>
      </c>
    </row>
    <row r="180" ht="11.25">
      <c r="A180" s="387">
        <f t="shared" si="8"/>
        <v>0</v>
      </c>
    </row>
    <row r="181" ht="11.25">
      <c r="A181" s="387">
        <f t="shared" si="8"/>
        <v>0</v>
      </c>
    </row>
    <row r="182" ht="11.25">
      <c r="A182" s="387">
        <f t="shared" si="8"/>
        <v>0</v>
      </c>
    </row>
    <row r="183" ht="11.25">
      <c r="A183" s="387">
        <f t="shared" si="8"/>
        <v>0</v>
      </c>
    </row>
    <row r="184" ht="11.25">
      <c r="A184" s="387">
        <f t="shared" si="8"/>
        <v>0</v>
      </c>
    </row>
    <row r="185" ht="11.25">
      <c r="A185" s="387">
        <f t="shared" si="8"/>
        <v>0</v>
      </c>
    </row>
    <row r="186" ht="11.25">
      <c r="A186" s="387">
        <f t="shared" si="8"/>
        <v>0</v>
      </c>
    </row>
    <row r="187" ht="11.25">
      <c r="A187" s="387">
        <f t="shared" si="8"/>
        <v>0</v>
      </c>
    </row>
    <row r="188" ht="11.25">
      <c r="A188" s="387">
        <f t="shared" si="8"/>
        <v>0</v>
      </c>
    </row>
    <row r="189" ht="11.25">
      <c r="A189" s="387">
        <f t="shared" si="8"/>
        <v>0</v>
      </c>
    </row>
    <row r="190" ht="11.25">
      <c r="A190" s="387">
        <f t="shared" si="8"/>
        <v>0</v>
      </c>
    </row>
    <row r="191" ht="11.25">
      <c r="A191" s="387">
        <f t="shared" si="8"/>
        <v>0</v>
      </c>
    </row>
    <row r="192" ht="11.25">
      <c r="A192" s="387">
        <f t="shared" si="8"/>
        <v>0</v>
      </c>
    </row>
    <row r="193" ht="11.25">
      <c r="A193" s="387">
        <f t="shared" si="8"/>
        <v>0</v>
      </c>
    </row>
    <row r="194" ht="11.25">
      <c r="A194" s="387">
        <f t="shared" si="8"/>
        <v>0</v>
      </c>
    </row>
    <row r="195" ht="11.25">
      <c r="A195" s="387">
        <f t="shared" si="8"/>
        <v>0</v>
      </c>
    </row>
    <row r="196" ht="11.25">
      <c r="A196" s="387">
        <f t="shared" si="8"/>
        <v>0</v>
      </c>
    </row>
    <row r="197" ht="11.25">
      <c r="A197" s="387">
        <f t="shared" si="8"/>
        <v>0</v>
      </c>
    </row>
    <row r="198" ht="11.25">
      <c r="A198" s="387">
        <f t="shared" si="8"/>
        <v>0</v>
      </c>
    </row>
    <row r="199" ht="11.25">
      <c r="A199" s="387">
        <f t="shared" si="8"/>
        <v>0</v>
      </c>
    </row>
    <row r="200" ht="11.25">
      <c r="A200" s="387">
        <f t="shared" si="8"/>
        <v>0</v>
      </c>
    </row>
    <row r="201" ht="11.25">
      <c r="A201" s="387">
        <f t="shared" si="8"/>
        <v>0</v>
      </c>
    </row>
    <row r="202" ht="11.25">
      <c r="A202" s="387">
        <f t="shared" si="8"/>
        <v>0</v>
      </c>
    </row>
    <row r="203" ht="11.25">
      <c r="A203" s="387">
        <f t="shared" si="8"/>
        <v>0</v>
      </c>
    </row>
    <row r="204" ht="11.25">
      <c r="A204" s="387">
        <f t="shared" si="8"/>
        <v>0</v>
      </c>
    </row>
    <row r="205" ht="11.25">
      <c r="A205" s="387">
        <f t="shared" si="8"/>
        <v>0</v>
      </c>
    </row>
    <row r="206" ht="11.25">
      <c r="A206" s="387">
        <f t="shared" si="8"/>
        <v>0</v>
      </c>
    </row>
    <row r="207" ht="11.25">
      <c r="A207" s="387">
        <f t="shared" si="8"/>
        <v>0</v>
      </c>
    </row>
    <row r="208" ht="11.25">
      <c r="A208" s="387">
        <f t="shared" si="8"/>
        <v>0</v>
      </c>
    </row>
    <row r="209" ht="11.25">
      <c r="A209" s="387">
        <f t="shared" si="8"/>
        <v>0</v>
      </c>
    </row>
    <row r="210" ht="11.25">
      <c r="A210" s="387">
        <f t="shared" si="8"/>
        <v>0</v>
      </c>
    </row>
    <row r="211" ht="11.25">
      <c r="A211" s="387">
        <f t="shared" si="8"/>
        <v>0</v>
      </c>
    </row>
    <row r="212" ht="11.25">
      <c r="A212" s="387">
        <f t="shared" si="8"/>
        <v>0</v>
      </c>
    </row>
    <row r="213" ht="11.25">
      <c r="A213" s="387">
        <f t="shared" si="8"/>
        <v>0</v>
      </c>
    </row>
    <row r="214" ht="11.25">
      <c r="A214" s="387">
        <f t="shared" si="8"/>
        <v>0</v>
      </c>
    </row>
    <row r="215" ht="11.25">
      <c r="A215" s="387">
        <f t="shared" si="8"/>
        <v>0</v>
      </c>
    </row>
    <row r="216" ht="11.25">
      <c r="A216" s="387">
        <f t="shared" si="8"/>
        <v>0</v>
      </c>
    </row>
    <row r="217" ht="11.25">
      <c r="A217" s="387">
        <f t="shared" si="8"/>
        <v>0</v>
      </c>
    </row>
    <row r="218" ht="11.25">
      <c r="A218" s="387">
        <f t="shared" si="8"/>
        <v>0</v>
      </c>
    </row>
    <row r="219" ht="11.25">
      <c r="A219" s="387">
        <f t="shared" si="8"/>
        <v>0</v>
      </c>
    </row>
    <row r="220" ht="11.25">
      <c r="A220" s="387">
        <f t="shared" si="8"/>
        <v>0</v>
      </c>
    </row>
    <row r="221" ht="11.25">
      <c r="A221" s="387">
        <f t="shared" si="8"/>
        <v>0</v>
      </c>
    </row>
    <row r="222" ht="11.25">
      <c r="A222" s="387">
        <f t="shared" si="8"/>
        <v>0</v>
      </c>
    </row>
    <row r="223" ht="11.25">
      <c r="A223" s="387">
        <f t="shared" si="8"/>
        <v>0</v>
      </c>
    </row>
    <row r="224" ht="11.25">
      <c r="A224" s="387">
        <f t="shared" si="8"/>
        <v>0</v>
      </c>
    </row>
    <row r="225" ht="11.25">
      <c r="A225" s="387">
        <f t="shared" si="8"/>
        <v>0</v>
      </c>
    </row>
    <row r="226" ht="11.25">
      <c r="A226" s="387">
        <f t="shared" si="8"/>
        <v>0</v>
      </c>
    </row>
    <row r="227" ht="11.25">
      <c r="A227" s="387">
        <f t="shared" si="8"/>
        <v>0</v>
      </c>
    </row>
    <row r="228" ht="11.25">
      <c r="A228" s="387">
        <f t="shared" si="8"/>
        <v>0</v>
      </c>
    </row>
    <row r="229" ht="11.25">
      <c r="A229" s="387">
        <f t="shared" si="8"/>
        <v>0</v>
      </c>
    </row>
    <row r="230" ht="11.25">
      <c r="A230" s="387">
        <f t="shared" si="8"/>
        <v>0</v>
      </c>
    </row>
    <row r="231" ht="11.25">
      <c r="A231" s="387">
        <f t="shared" si="8"/>
        <v>0</v>
      </c>
    </row>
    <row r="232" ht="11.25">
      <c r="A232" s="387">
        <f t="shared" si="8"/>
        <v>0</v>
      </c>
    </row>
    <row r="233" ht="11.25">
      <c r="A233" s="387">
        <f t="shared" si="8"/>
        <v>0</v>
      </c>
    </row>
    <row r="234" ht="11.25">
      <c r="A234" s="387">
        <f t="shared" si="8"/>
        <v>0</v>
      </c>
    </row>
    <row r="235" ht="11.25">
      <c r="A235" s="387">
        <f aca="true" t="shared" si="9" ref="A235:A298">IF($A$1=$B$1,B235,IF($A$1=$C$1,C235,IF($A$1=$D$1,D235,"N/A")))</f>
        <v>0</v>
      </c>
    </row>
    <row r="236" ht="11.25">
      <c r="A236" s="387">
        <f t="shared" si="9"/>
        <v>0</v>
      </c>
    </row>
    <row r="237" ht="11.25">
      <c r="A237" s="387">
        <f t="shared" si="9"/>
        <v>0</v>
      </c>
    </row>
    <row r="238" ht="11.25">
      <c r="A238" s="387">
        <f t="shared" si="9"/>
        <v>0</v>
      </c>
    </row>
    <row r="239" ht="11.25">
      <c r="A239" s="387">
        <f t="shared" si="9"/>
        <v>0</v>
      </c>
    </row>
    <row r="240" ht="11.25">
      <c r="A240" s="387">
        <f t="shared" si="9"/>
        <v>0</v>
      </c>
    </row>
    <row r="241" ht="11.25">
      <c r="A241" s="387">
        <f t="shared" si="9"/>
        <v>0</v>
      </c>
    </row>
    <row r="242" ht="11.25">
      <c r="A242" s="387">
        <f t="shared" si="9"/>
        <v>0</v>
      </c>
    </row>
    <row r="243" ht="11.25">
      <c r="A243" s="387">
        <f t="shared" si="9"/>
        <v>0</v>
      </c>
    </row>
    <row r="244" ht="11.25">
      <c r="A244" s="387">
        <f t="shared" si="9"/>
        <v>0</v>
      </c>
    </row>
    <row r="245" ht="11.25">
      <c r="A245" s="387">
        <f t="shared" si="9"/>
        <v>0</v>
      </c>
    </row>
    <row r="246" ht="11.25">
      <c r="A246" s="387">
        <f t="shared" si="9"/>
        <v>0</v>
      </c>
    </row>
    <row r="247" ht="11.25">
      <c r="A247" s="387">
        <f t="shared" si="9"/>
        <v>0</v>
      </c>
    </row>
    <row r="248" ht="11.25">
      <c r="A248" s="387">
        <f t="shared" si="9"/>
        <v>0</v>
      </c>
    </row>
    <row r="249" ht="11.25">
      <c r="A249" s="387">
        <f t="shared" si="9"/>
        <v>0</v>
      </c>
    </row>
    <row r="250" ht="11.25">
      <c r="A250" s="387">
        <f t="shared" si="9"/>
        <v>0</v>
      </c>
    </row>
    <row r="251" ht="11.25">
      <c r="A251" s="387">
        <f t="shared" si="9"/>
        <v>0</v>
      </c>
    </row>
    <row r="252" ht="11.25">
      <c r="A252" s="387">
        <f t="shared" si="9"/>
        <v>0</v>
      </c>
    </row>
    <row r="253" ht="11.25">
      <c r="A253" s="387">
        <f t="shared" si="9"/>
        <v>0</v>
      </c>
    </row>
    <row r="254" ht="11.25">
      <c r="A254" s="387">
        <f t="shared" si="9"/>
        <v>0</v>
      </c>
    </row>
    <row r="255" ht="11.25">
      <c r="A255" s="387">
        <f t="shared" si="9"/>
        <v>0</v>
      </c>
    </row>
    <row r="256" ht="11.25">
      <c r="A256" s="387">
        <f t="shared" si="9"/>
        <v>0</v>
      </c>
    </row>
    <row r="257" ht="11.25">
      <c r="A257" s="387">
        <f t="shared" si="9"/>
        <v>0</v>
      </c>
    </row>
    <row r="258" ht="11.25">
      <c r="A258" s="387">
        <f t="shared" si="9"/>
        <v>0</v>
      </c>
    </row>
    <row r="259" ht="11.25">
      <c r="A259" s="387">
        <f t="shared" si="9"/>
        <v>0</v>
      </c>
    </row>
    <row r="260" ht="11.25">
      <c r="A260" s="387">
        <f t="shared" si="9"/>
        <v>0</v>
      </c>
    </row>
    <row r="261" ht="11.25">
      <c r="A261" s="387">
        <f t="shared" si="9"/>
        <v>0</v>
      </c>
    </row>
    <row r="262" ht="11.25">
      <c r="A262" s="387">
        <f t="shared" si="9"/>
        <v>0</v>
      </c>
    </row>
    <row r="263" ht="11.25">
      <c r="A263" s="387">
        <f t="shared" si="9"/>
        <v>0</v>
      </c>
    </row>
    <row r="264" ht="11.25">
      <c r="A264" s="387">
        <f t="shared" si="9"/>
        <v>0</v>
      </c>
    </row>
    <row r="265" ht="11.25">
      <c r="A265" s="387">
        <f t="shared" si="9"/>
        <v>0</v>
      </c>
    </row>
    <row r="266" ht="11.25">
      <c r="A266" s="387">
        <f t="shared" si="9"/>
        <v>0</v>
      </c>
    </row>
    <row r="267" ht="11.25">
      <c r="A267" s="387">
        <f t="shared" si="9"/>
        <v>0</v>
      </c>
    </row>
    <row r="268" ht="11.25">
      <c r="A268" s="387">
        <f t="shared" si="9"/>
        <v>0</v>
      </c>
    </row>
    <row r="269" ht="11.25">
      <c r="A269" s="387">
        <f t="shared" si="9"/>
        <v>0</v>
      </c>
    </row>
    <row r="270" ht="11.25">
      <c r="A270" s="387">
        <f t="shared" si="9"/>
        <v>0</v>
      </c>
    </row>
    <row r="271" ht="11.25">
      <c r="A271" s="387">
        <f t="shared" si="9"/>
        <v>0</v>
      </c>
    </row>
    <row r="272" ht="11.25">
      <c r="A272" s="387">
        <f t="shared" si="9"/>
        <v>0</v>
      </c>
    </row>
    <row r="273" ht="11.25">
      <c r="A273" s="387">
        <f t="shared" si="9"/>
        <v>0</v>
      </c>
    </row>
    <row r="274" ht="11.25">
      <c r="A274" s="387">
        <f t="shared" si="9"/>
        <v>0</v>
      </c>
    </row>
    <row r="275" ht="11.25">
      <c r="A275" s="387">
        <f t="shared" si="9"/>
        <v>0</v>
      </c>
    </row>
    <row r="276" ht="11.25">
      <c r="A276" s="387">
        <f t="shared" si="9"/>
        <v>0</v>
      </c>
    </row>
    <row r="277" ht="11.25">
      <c r="A277" s="387">
        <f t="shared" si="9"/>
        <v>0</v>
      </c>
    </row>
    <row r="278" ht="11.25">
      <c r="A278" s="387">
        <f t="shared" si="9"/>
        <v>0</v>
      </c>
    </row>
    <row r="279" ht="11.25">
      <c r="A279" s="387">
        <f t="shared" si="9"/>
        <v>0</v>
      </c>
    </row>
    <row r="280" ht="11.25">
      <c r="A280" s="387">
        <f t="shared" si="9"/>
        <v>0</v>
      </c>
    </row>
    <row r="281" ht="11.25">
      <c r="A281" s="387">
        <f t="shared" si="9"/>
        <v>0</v>
      </c>
    </row>
    <row r="282" ht="11.25">
      <c r="A282" s="387">
        <f t="shared" si="9"/>
        <v>0</v>
      </c>
    </row>
    <row r="283" ht="11.25">
      <c r="A283" s="387">
        <f t="shared" si="9"/>
        <v>0</v>
      </c>
    </row>
    <row r="284" ht="11.25">
      <c r="A284" s="387">
        <f t="shared" si="9"/>
        <v>0</v>
      </c>
    </row>
    <row r="285" ht="11.25">
      <c r="A285" s="387">
        <f t="shared" si="9"/>
        <v>0</v>
      </c>
    </row>
    <row r="286" ht="11.25">
      <c r="A286" s="387">
        <f t="shared" si="9"/>
        <v>0</v>
      </c>
    </row>
    <row r="287" ht="11.25">
      <c r="A287" s="387">
        <f t="shared" si="9"/>
        <v>0</v>
      </c>
    </row>
    <row r="288" ht="11.25">
      <c r="A288" s="387">
        <f t="shared" si="9"/>
        <v>0</v>
      </c>
    </row>
    <row r="289" ht="11.25">
      <c r="A289" s="387">
        <f t="shared" si="9"/>
        <v>0</v>
      </c>
    </row>
    <row r="290" ht="11.25">
      <c r="A290" s="387">
        <f t="shared" si="9"/>
        <v>0</v>
      </c>
    </row>
    <row r="291" ht="11.25">
      <c r="A291" s="387">
        <f t="shared" si="9"/>
        <v>0</v>
      </c>
    </row>
    <row r="292" ht="11.25">
      <c r="A292" s="387">
        <f t="shared" si="9"/>
        <v>0</v>
      </c>
    </row>
    <row r="293" ht="11.25">
      <c r="A293" s="387">
        <f t="shared" si="9"/>
        <v>0</v>
      </c>
    </row>
    <row r="294" ht="11.25">
      <c r="A294" s="387">
        <f t="shared" si="9"/>
        <v>0</v>
      </c>
    </row>
    <row r="295" ht="11.25">
      <c r="A295" s="387">
        <f t="shared" si="9"/>
        <v>0</v>
      </c>
    </row>
    <row r="296" ht="11.25">
      <c r="A296" s="387">
        <f t="shared" si="9"/>
        <v>0</v>
      </c>
    </row>
    <row r="297" ht="11.25">
      <c r="A297" s="387">
        <f t="shared" si="9"/>
        <v>0</v>
      </c>
    </row>
    <row r="298" ht="11.25">
      <c r="A298" s="387">
        <f t="shared" si="9"/>
        <v>0</v>
      </c>
    </row>
    <row r="299" ht="11.25">
      <c r="A299" s="387">
        <f aca="true" t="shared" si="10" ref="A299:A362">IF($A$1=$B$1,B299,IF($A$1=$C$1,C299,IF($A$1=$D$1,D299,"N/A")))</f>
        <v>0</v>
      </c>
    </row>
    <row r="300" ht="11.25">
      <c r="A300" s="387">
        <f t="shared" si="10"/>
        <v>0</v>
      </c>
    </row>
    <row r="301" ht="11.25">
      <c r="A301" s="387">
        <f t="shared" si="10"/>
        <v>0</v>
      </c>
    </row>
    <row r="302" ht="11.25">
      <c r="A302" s="387">
        <f t="shared" si="10"/>
        <v>0</v>
      </c>
    </row>
    <row r="303" ht="11.25">
      <c r="A303" s="387">
        <f t="shared" si="10"/>
        <v>0</v>
      </c>
    </row>
    <row r="304" ht="11.25">
      <c r="A304" s="387">
        <f t="shared" si="10"/>
        <v>0</v>
      </c>
    </row>
    <row r="305" ht="11.25">
      <c r="A305" s="387">
        <f t="shared" si="10"/>
        <v>0</v>
      </c>
    </row>
    <row r="306" ht="11.25">
      <c r="A306" s="387">
        <f t="shared" si="10"/>
        <v>0</v>
      </c>
    </row>
    <row r="307" ht="11.25">
      <c r="A307" s="387">
        <f t="shared" si="10"/>
        <v>0</v>
      </c>
    </row>
    <row r="308" ht="11.25">
      <c r="A308" s="387">
        <f t="shared" si="10"/>
        <v>0</v>
      </c>
    </row>
    <row r="309" ht="11.25">
      <c r="A309" s="387">
        <f t="shared" si="10"/>
        <v>0</v>
      </c>
    </row>
    <row r="310" ht="11.25">
      <c r="A310" s="387">
        <f t="shared" si="10"/>
        <v>0</v>
      </c>
    </row>
    <row r="311" ht="11.25">
      <c r="A311" s="387">
        <f t="shared" si="10"/>
        <v>0</v>
      </c>
    </row>
    <row r="312" ht="11.25">
      <c r="A312" s="387">
        <f t="shared" si="10"/>
        <v>0</v>
      </c>
    </row>
    <row r="313" ht="11.25">
      <c r="A313" s="387">
        <f t="shared" si="10"/>
        <v>0</v>
      </c>
    </row>
    <row r="314" ht="11.25">
      <c r="A314" s="387">
        <f t="shared" si="10"/>
        <v>0</v>
      </c>
    </row>
    <row r="315" ht="11.25">
      <c r="A315" s="387">
        <f t="shared" si="10"/>
        <v>0</v>
      </c>
    </row>
    <row r="316" ht="11.25">
      <c r="A316" s="387">
        <f t="shared" si="10"/>
        <v>0</v>
      </c>
    </row>
    <row r="317" ht="11.25">
      <c r="A317" s="387">
        <f t="shared" si="10"/>
        <v>0</v>
      </c>
    </row>
    <row r="318" ht="11.25">
      <c r="A318" s="387">
        <f t="shared" si="10"/>
        <v>0</v>
      </c>
    </row>
    <row r="319" ht="11.25">
      <c r="A319" s="387">
        <f t="shared" si="10"/>
        <v>0</v>
      </c>
    </row>
    <row r="320" ht="11.25">
      <c r="A320" s="387">
        <f t="shared" si="10"/>
        <v>0</v>
      </c>
    </row>
    <row r="321" ht="11.25">
      <c r="A321" s="387">
        <f t="shared" si="10"/>
        <v>0</v>
      </c>
    </row>
    <row r="322" ht="11.25">
      <c r="A322" s="387">
        <f t="shared" si="10"/>
        <v>0</v>
      </c>
    </row>
    <row r="323" ht="11.25">
      <c r="A323" s="387">
        <f t="shared" si="10"/>
        <v>0</v>
      </c>
    </row>
    <row r="324" ht="11.25">
      <c r="A324" s="387">
        <f t="shared" si="10"/>
        <v>0</v>
      </c>
    </row>
    <row r="325" ht="11.25">
      <c r="A325" s="387">
        <f t="shared" si="10"/>
        <v>0</v>
      </c>
    </row>
    <row r="326" ht="11.25">
      <c r="A326" s="387">
        <f t="shared" si="10"/>
        <v>0</v>
      </c>
    </row>
    <row r="327" ht="11.25">
      <c r="A327" s="387">
        <f t="shared" si="10"/>
        <v>0</v>
      </c>
    </row>
    <row r="328" ht="11.25">
      <c r="A328" s="387">
        <f t="shared" si="10"/>
        <v>0</v>
      </c>
    </row>
    <row r="329" ht="11.25">
      <c r="A329" s="387">
        <f t="shared" si="10"/>
        <v>0</v>
      </c>
    </row>
    <row r="330" ht="11.25">
      <c r="A330" s="387">
        <f t="shared" si="10"/>
        <v>0</v>
      </c>
    </row>
    <row r="331" ht="11.25">
      <c r="A331" s="387">
        <f t="shared" si="10"/>
        <v>0</v>
      </c>
    </row>
    <row r="332" ht="11.25">
      <c r="A332" s="387">
        <f t="shared" si="10"/>
        <v>0</v>
      </c>
    </row>
    <row r="333" ht="11.25">
      <c r="A333" s="387">
        <f t="shared" si="10"/>
        <v>0</v>
      </c>
    </row>
    <row r="334" ht="11.25">
      <c r="A334" s="387">
        <f t="shared" si="10"/>
        <v>0</v>
      </c>
    </row>
    <row r="335" ht="11.25">
      <c r="A335" s="387">
        <f t="shared" si="10"/>
        <v>0</v>
      </c>
    </row>
    <row r="336" ht="11.25">
      <c r="A336" s="387">
        <f t="shared" si="10"/>
        <v>0</v>
      </c>
    </row>
    <row r="337" ht="11.25">
      <c r="A337" s="387">
        <f t="shared" si="10"/>
        <v>0</v>
      </c>
    </row>
    <row r="338" ht="11.25">
      <c r="A338" s="387">
        <f t="shared" si="10"/>
        <v>0</v>
      </c>
    </row>
    <row r="339" ht="11.25">
      <c r="A339" s="387">
        <f t="shared" si="10"/>
        <v>0</v>
      </c>
    </row>
    <row r="340" ht="11.25">
      <c r="A340" s="387">
        <f t="shared" si="10"/>
        <v>0</v>
      </c>
    </row>
    <row r="341" ht="11.25">
      <c r="A341" s="387">
        <f t="shared" si="10"/>
        <v>0</v>
      </c>
    </row>
    <row r="342" ht="11.25">
      <c r="A342" s="387">
        <f t="shared" si="10"/>
        <v>0</v>
      </c>
    </row>
    <row r="343" ht="11.25">
      <c r="A343" s="387">
        <f t="shared" si="10"/>
        <v>0</v>
      </c>
    </row>
    <row r="344" ht="11.25">
      <c r="A344" s="387">
        <f t="shared" si="10"/>
        <v>0</v>
      </c>
    </row>
    <row r="345" ht="11.25">
      <c r="A345" s="387">
        <f t="shared" si="10"/>
        <v>0</v>
      </c>
    </row>
    <row r="346" ht="11.25">
      <c r="A346" s="387">
        <f t="shared" si="10"/>
        <v>0</v>
      </c>
    </row>
    <row r="347" ht="11.25">
      <c r="A347" s="387">
        <f t="shared" si="10"/>
        <v>0</v>
      </c>
    </row>
    <row r="348" ht="11.25">
      <c r="A348" s="387">
        <f t="shared" si="10"/>
        <v>0</v>
      </c>
    </row>
    <row r="349" ht="11.25">
      <c r="A349" s="387">
        <f t="shared" si="10"/>
        <v>0</v>
      </c>
    </row>
    <row r="350" ht="11.25">
      <c r="A350" s="387">
        <f t="shared" si="10"/>
        <v>0</v>
      </c>
    </row>
    <row r="351" ht="11.25">
      <c r="A351" s="387">
        <f t="shared" si="10"/>
        <v>0</v>
      </c>
    </row>
    <row r="352" ht="11.25">
      <c r="A352" s="387">
        <f t="shared" si="10"/>
        <v>0</v>
      </c>
    </row>
    <row r="353" ht="11.25">
      <c r="A353" s="387">
        <f t="shared" si="10"/>
        <v>0</v>
      </c>
    </row>
    <row r="354" ht="11.25">
      <c r="A354" s="387">
        <f t="shared" si="10"/>
        <v>0</v>
      </c>
    </row>
    <row r="355" ht="11.25">
      <c r="A355" s="387">
        <f t="shared" si="10"/>
        <v>0</v>
      </c>
    </row>
    <row r="356" ht="11.25">
      <c r="A356" s="387">
        <f t="shared" si="10"/>
        <v>0</v>
      </c>
    </row>
    <row r="357" ht="11.25">
      <c r="A357" s="387">
        <f t="shared" si="10"/>
        <v>0</v>
      </c>
    </row>
    <row r="358" ht="11.25">
      <c r="A358" s="387">
        <f t="shared" si="10"/>
        <v>0</v>
      </c>
    </row>
    <row r="359" ht="11.25">
      <c r="A359" s="387">
        <f t="shared" si="10"/>
        <v>0</v>
      </c>
    </row>
    <row r="360" ht="11.25">
      <c r="A360" s="387">
        <f t="shared" si="10"/>
        <v>0</v>
      </c>
    </row>
    <row r="361" ht="11.25">
      <c r="A361" s="387">
        <f t="shared" si="10"/>
        <v>0</v>
      </c>
    </row>
    <row r="362" ht="11.25">
      <c r="A362" s="387">
        <f t="shared" si="10"/>
        <v>0</v>
      </c>
    </row>
    <row r="363" ht="11.25">
      <c r="A363" s="387">
        <f aca="true" t="shared" si="11" ref="A363:A426">IF($A$1=$B$1,B363,IF($A$1=$C$1,C363,IF($A$1=$D$1,D363,"N/A")))</f>
        <v>0</v>
      </c>
    </row>
    <row r="364" ht="11.25">
      <c r="A364" s="387">
        <f t="shared" si="11"/>
        <v>0</v>
      </c>
    </row>
    <row r="365" ht="11.25">
      <c r="A365" s="387">
        <f t="shared" si="11"/>
        <v>0</v>
      </c>
    </row>
    <row r="366" ht="11.25">
      <c r="A366" s="387">
        <f t="shared" si="11"/>
        <v>0</v>
      </c>
    </row>
    <row r="367" ht="11.25">
      <c r="A367" s="387">
        <f t="shared" si="11"/>
        <v>0</v>
      </c>
    </row>
    <row r="368" ht="11.25">
      <c r="A368" s="387">
        <f t="shared" si="11"/>
        <v>0</v>
      </c>
    </row>
    <row r="369" ht="11.25">
      <c r="A369" s="387">
        <f t="shared" si="11"/>
        <v>0</v>
      </c>
    </row>
    <row r="370" ht="11.25">
      <c r="A370" s="387">
        <f t="shared" si="11"/>
        <v>0</v>
      </c>
    </row>
    <row r="371" ht="11.25">
      <c r="A371" s="387">
        <f t="shared" si="11"/>
        <v>0</v>
      </c>
    </row>
    <row r="372" ht="11.25">
      <c r="A372" s="387">
        <f t="shared" si="11"/>
        <v>0</v>
      </c>
    </row>
    <row r="373" ht="11.25">
      <c r="A373" s="387">
        <f t="shared" si="11"/>
        <v>0</v>
      </c>
    </row>
    <row r="374" ht="11.25">
      <c r="A374" s="387">
        <f t="shared" si="11"/>
        <v>0</v>
      </c>
    </row>
    <row r="375" ht="11.25">
      <c r="A375" s="387">
        <f t="shared" si="11"/>
        <v>0</v>
      </c>
    </row>
    <row r="376" ht="11.25">
      <c r="A376" s="387">
        <f t="shared" si="11"/>
        <v>0</v>
      </c>
    </row>
    <row r="377" ht="11.25">
      <c r="A377" s="387">
        <f t="shared" si="11"/>
        <v>0</v>
      </c>
    </row>
    <row r="378" ht="11.25">
      <c r="A378" s="387">
        <f t="shared" si="11"/>
        <v>0</v>
      </c>
    </row>
    <row r="379" ht="11.25">
      <c r="A379" s="387">
        <f t="shared" si="11"/>
        <v>0</v>
      </c>
    </row>
    <row r="380" ht="11.25">
      <c r="A380" s="387">
        <f t="shared" si="11"/>
        <v>0</v>
      </c>
    </row>
    <row r="381" ht="11.25">
      <c r="A381" s="387">
        <f t="shared" si="11"/>
        <v>0</v>
      </c>
    </row>
    <row r="382" ht="11.25">
      <c r="A382" s="387">
        <f t="shared" si="11"/>
        <v>0</v>
      </c>
    </row>
    <row r="383" ht="11.25">
      <c r="A383" s="387">
        <f t="shared" si="11"/>
        <v>0</v>
      </c>
    </row>
    <row r="384" ht="11.25">
      <c r="A384" s="387">
        <f t="shared" si="11"/>
        <v>0</v>
      </c>
    </row>
    <row r="385" ht="11.25">
      <c r="A385" s="387">
        <f t="shared" si="11"/>
        <v>0</v>
      </c>
    </row>
    <row r="386" ht="11.25">
      <c r="A386" s="387">
        <f t="shared" si="11"/>
        <v>0</v>
      </c>
    </row>
    <row r="387" ht="11.25">
      <c r="A387" s="387">
        <f t="shared" si="11"/>
        <v>0</v>
      </c>
    </row>
    <row r="388" ht="11.25">
      <c r="A388" s="387">
        <f t="shared" si="11"/>
        <v>0</v>
      </c>
    </row>
    <row r="389" ht="11.25">
      <c r="A389" s="387">
        <f t="shared" si="11"/>
        <v>0</v>
      </c>
    </row>
    <row r="390" ht="11.25">
      <c r="A390" s="387">
        <f t="shared" si="11"/>
        <v>0</v>
      </c>
    </row>
    <row r="391" ht="11.25">
      <c r="A391" s="387">
        <f t="shared" si="11"/>
        <v>0</v>
      </c>
    </row>
    <row r="392" ht="11.25">
      <c r="A392" s="387">
        <f t="shared" si="11"/>
        <v>0</v>
      </c>
    </row>
    <row r="393" ht="11.25">
      <c r="A393" s="387">
        <f t="shared" si="11"/>
        <v>0</v>
      </c>
    </row>
    <row r="394" ht="11.25">
      <c r="A394" s="387">
        <f t="shared" si="11"/>
        <v>0</v>
      </c>
    </row>
    <row r="395" ht="11.25">
      <c r="A395" s="387">
        <f t="shared" si="11"/>
        <v>0</v>
      </c>
    </row>
    <row r="396" ht="11.25">
      <c r="A396" s="387">
        <f t="shared" si="11"/>
        <v>0</v>
      </c>
    </row>
    <row r="397" ht="11.25">
      <c r="A397" s="387">
        <f t="shared" si="11"/>
        <v>0</v>
      </c>
    </row>
    <row r="398" ht="11.25">
      <c r="A398" s="387">
        <f t="shared" si="11"/>
        <v>0</v>
      </c>
    </row>
    <row r="399" ht="11.25">
      <c r="A399" s="387">
        <f t="shared" si="11"/>
        <v>0</v>
      </c>
    </row>
    <row r="400" ht="11.25">
      <c r="A400" s="387">
        <f t="shared" si="11"/>
        <v>0</v>
      </c>
    </row>
    <row r="401" ht="11.25">
      <c r="A401" s="387">
        <f t="shared" si="11"/>
        <v>0</v>
      </c>
    </row>
    <row r="402" ht="11.25">
      <c r="A402" s="387">
        <f t="shared" si="11"/>
        <v>0</v>
      </c>
    </row>
    <row r="403" ht="11.25">
      <c r="A403" s="387">
        <f t="shared" si="11"/>
        <v>0</v>
      </c>
    </row>
    <row r="404" ht="11.25">
      <c r="A404" s="387">
        <f t="shared" si="11"/>
        <v>0</v>
      </c>
    </row>
    <row r="405" ht="11.25">
      <c r="A405" s="387">
        <f t="shared" si="11"/>
        <v>0</v>
      </c>
    </row>
    <row r="406" ht="11.25">
      <c r="A406" s="387">
        <f t="shared" si="11"/>
        <v>0</v>
      </c>
    </row>
    <row r="407" ht="11.25">
      <c r="A407" s="387">
        <f t="shared" si="11"/>
        <v>0</v>
      </c>
    </row>
    <row r="408" ht="11.25">
      <c r="A408" s="387">
        <f t="shared" si="11"/>
        <v>0</v>
      </c>
    </row>
    <row r="409" ht="11.25">
      <c r="A409" s="387">
        <f t="shared" si="11"/>
        <v>0</v>
      </c>
    </row>
    <row r="410" ht="11.25">
      <c r="A410" s="387">
        <f t="shared" si="11"/>
        <v>0</v>
      </c>
    </row>
    <row r="411" ht="11.25">
      <c r="A411" s="387">
        <f t="shared" si="11"/>
        <v>0</v>
      </c>
    </row>
    <row r="412" ht="11.25">
      <c r="A412" s="387">
        <f t="shared" si="11"/>
        <v>0</v>
      </c>
    </row>
    <row r="413" ht="11.25">
      <c r="A413" s="387">
        <f t="shared" si="11"/>
        <v>0</v>
      </c>
    </row>
    <row r="414" ht="11.25">
      <c r="A414" s="387">
        <f t="shared" si="11"/>
        <v>0</v>
      </c>
    </row>
    <row r="415" ht="11.25">
      <c r="A415" s="387">
        <f t="shared" si="11"/>
        <v>0</v>
      </c>
    </row>
    <row r="416" ht="11.25">
      <c r="A416" s="387">
        <f t="shared" si="11"/>
        <v>0</v>
      </c>
    </row>
    <row r="417" ht="11.25">
      <c r="A417" s="387">
        <f t="shared" si="11"/>
        <v>0</v>
      </c>
    </row>
    <row r="418" ht="11.25">
      <c r="A418" s="387">
        <f t="shared" si="11"/>
        <v>0</v>
      </c>
    </row>
    <row r="419" ht="11.25">
      <c r="A419" s="387">
        <f t="shared" si="11"/>
        <v>0</v>
      </c>
    </row>
    <row r="420" ht="11.25">
      <c r="A420" s="387">
        <f t="shared" si="11"/>
        <v>0</v>
      </c>
    </row>
    <row r="421" ht="11.25">
      <c r="A421" s="387">
        <f t="shared" si="11"/>
        <v>0</v>
      </c>
    </row>
    <row r="422" ht="11.25">
      <c r="A422" s="387">
        <f t="shared" si="11"/>
        <v>0</v>
      </c>
    </row>
    <row r="423" ht="11.25">
      <c r="A423" s="387">
        <f t="shared" si="11"/>
        <v>0</v>
      </c>
    </row>
    <row r="424" ht="11.25">
      <c r="A424" s="387">
        <f t="shared" si="11"/>
        <v>0</v>
      </c>
    </row>
    <row r="425" ht="11.25">
      <c r="A425" s="387">
        <f t="shared" si="11"/>
        <v>0</v>
      </c>
    </row>
    <row r="426" ht="11.25">
      <c r="A426" s="387">
        <f t="shared" si="11"/>
        <v>0</v>
      </c>
    </row>
    <row r="427" ht="11.25">
      <c r="A427" s="387">
        <f aca="true" t="shared" si="12" ref="A427:A490">IF($A$1=$B$1,B427,IF($A$1=$C$1,C427,IF($A$1=$D$1,D427,"N/A")))</f>
        <v>0</v>
      </c>
    </row>
    <row r="428" ht="11.25">
      <c r="A428" s="387">
        <f t="shared" si="12"/>
        <v>0</v>
      </c>
    </row>
    <row r="429" ht="11.25">
      <c r="A429" s="387">
        <f t="shared" si="12"/>
        <v>0</v>
      </c>
    </row>
    <row r="430" ht="11.25">
      <c r="A430" s="387">
        <f t="shared" si="12"/>
        <v>0</v>
      </c>
    </row>
    <row r="431" ht="11.25">
      <c r="A431" s="387">
        <f t="shared" si="12"/>
        <v>0</v>
      </c>
    </row>
    <row r="432" ht="11.25">
      <c r="A432" s="387">
        <f t="shared" si="12"/>
        <v>0</v>
      </c>
    </row>
    <row r="433" ht="11.25">
      <c r="A433" s="387">
        <f t="shared" si="12"/>
        <v>0</v>
      </c>
    </row>
    <row r="434" ht="11.25">
      <c r="A434" s="387">
        <f t="shared" si="12"/>
        <v>0</v>
      </c>
    </row>
    <row r="435" ht="11.25">
      <c r="A435" s="387">
        <f t="shared" si="12"/>
        <v>0</v>
      </c>
    </row>
    <row r="436" ht="11.25">
      <c r="A436" s="387">
        <f t="shared" si="12"/>
        <v>0</v>
      </c>
    </row>
    <row r="437" ht="11.25">
      <c r="A437" s="387">
        <f t="shared" si="12"/>
        <v>0</v>
      </c>
    </row>
    <row r="438" ht="11.25">
      <c r="A438" s="387">
        <f t="shared" si="12"/>
        <v>0</v>
      </c>
    </row>
    <row r="439" ht="11.25">
      <c r="A439" s="387">
        <f t="shared" si="12"/>
        <v>0</v>
      </c>
    </row>
    <row r="440" ht="11.25">
      <c r="A440" s="387">
        <f t="shared" si="12"/>
        <v>0</v>
      </c>
    </row>
    <row r="441" ht="11.25">
      <c r="A441" s="387">
        <f t="shared" si="12"/>
        <v>0</v>
      </c>
    </row>
    <row r="442" ht="11.25">
      <c r="A442" s="387">
        <f t="shared" si="12"/>
        <v>0</v>
      </c>
    </row>
    <row r="443" ht="11.25">
      <c r="A443" s="387">
        <f t="shared" si="12"/>
        <v>0</v>
      </c>
    </row>
    <row r="444" ht="11.25">
      <c r="A444" s="387">
        <f t="shared" si="12"/>
        <v>0</v>
      </c>
    </row>
    <row r="445" ht="11.25">
      <c r="A445" s="387">
        <f t="shared" si="12"/>
        <v>0</v>
      </c>
    </row>
    <row r="446" ht="11.25">
      <c r="A446" s="387">
        <f t="shared" si="12"/>
        <v>0</v>
      </c>
    </row>
    <row r="447" ht="11.25">
      <c r="A447" s="387">
        <f t="shared" si="12"/>
        <v>0</v>
      </c>
    </row>
    <row r="448" ht="11.25">
      <c r="A448" s="387">
        <f t="shared" si="12"/>
        <v>0</v>
      </c>
    </row>
    <row r="449" ht="11.25">
      <c r="A449" s="387">
        <f t="shared" si="12"/>
        <v>0</v>
      </c>
    </row>
    <row r="450" ht="11.25">
      <c r="A450" s="387">
        <f t="shared" si="12"/>
        <v>0</v>
      </c>
    </row>
    <row r="451" ht="11.25">
      <c r="A451" s="387">
        <f t="shared" si="12"/>
        <v>0</v>
      </c>
    </row>
    <row r="452" ht="11.25">
      <c r="A452" s="387">
        <f t="shared" si="12"/>
        <v>0</v>
      </c>
    </row>
    <row r="453" ht="11.25">
      <c r="A453" s="387">
        <f t="shared" si="12"/>
        <v>0</v>
      </c>
    </row>
    <row r="454" ht="11.25">
      <c r="A454" s="387">
        <f t="shared" si="12"/>
        <v>0</v>
      </c>
    </row>
    <row r="455" ht="11.25">
      <c r="A455" s="387">
        <f t="shared" si="12"/>
        <v>0</v>
      </c>
    </row>
    <row r="456" ht="11.25">
      <c r="A456" s="387">
        <f t="shared" si="12"/>
        <v>0</v>
      </c>
    </row>
    <row r="457" ht="11.25">
      <c r="A457" s="387">
        <f t="shared" si="12"/>
        <v>0</v>
      </c>
    </row>
    <row r="458" ht="11.25">
      <c r="A458" s="387">
        <f t="shared" si="12"/>
        <v>0</v>
      </c>
    </row>
    <row r="459" ht="11.25">
      <c r="A459" s="387">
        <f t="shared" si="12"/>
        <v>0</v>
      </c>
    </row>
    <row r="460" ht="11.25">
      <c r="A460" s="387">
        <f t="shared" si="12"/>
        <v>0</v>
      </c>
    </row>
    <row r="461" ht="11.25">
      <c r="A461" s="387">
        <f t="shared" si="12"/>
        <v>0</v>
      </c>
    </row>
    <row r="462" ht="11.25">
      <c r="A462" s="387">
        <f t="shared" si="12"/>
        <v>0</v>
      </c>
    </row>
    <row r="463" ht="11.25">
      <c r="A463" s="387">
        <f t="shared" si="12"/>
        <v>0</v>
      </c>
    </row>
    <row r="464" ht="11.25">
      <c r="A464" s="387">
        <f t="shared" si="12"/>
        <v>0</v>
      </c>
    </row>
    <row r="465" ht="11.25">
      <c r="A465" s="387">
        <f t="shared" si="12"/>
        <v>0</v>
      </c>
    </row>
    <row r="466" ht="11.25">
      <c r="A466" s="387">
        <f t="shared" si="12"/>
        <v>0</v>
      </c>
    </row>
    <row r="467" ht="11.25">
      <c r="A467" s="387">
        <f t="shared" si="12"/>
        <v>0</v>
      </c>
    </row>
    <row r="468" ht="11.25">
      <c r="A468" s="387">
        <f t="shared" si="12"/>
        <v>0</v>
      </c>
    </row>
    <row r="469" ht="11.25">
      <c r="A469" s="387">
        <f t="shared" si="12"/>
        <v>0</v>
      </c>
    </row>
    <row r="470" ht="11.25">
      <c r="A470" s="387">
        <f t="shared" si="12"/>
        <v>0</v>
      </c>
    </row>
    <row r="471" ht="11.25">
      <c r="A471" s="387">
        <f t="shared" si="12"/>
        <v>0</v>
      </c>
    </row>
    <row r="472" ht="11.25">
      <c r="A472" s="387">
        <f t="shared" si="12"/>
        <v>0</v>
      </c>
    </row>
    <row r="473" ht="11.25">
      <c r="A473" s="387">
        <f t="shared" si="12"/>
        <v>0</v>
      </c>
    </row>
    <row r="474" ht="11.25">
      <c r="A474" s="387">
        <f t="shared" si="12"/>
        <v>0</v>
      </c>
    </row>
    <row r="475" ht="11.25">
      <c r="A475" s="387">
        <f t="shared" si="12"/>
        <v>0</v>
      </c>
    </row>
    <row r="476" ht="11.25">
      <c r="A476" s="387">
        <f t="shared" si="12"/>
        <v>0</v>
      </c>
    </row>
    <row r="477" ht="11.25">
      <c r="A477" s="387">
        <f t="shared" si="12"/>
        <v>0</v>
      </c>
    </row>
    <row r="478" ht="11.25">
      <c r="A478" s="387">
        <f t="shared" si="12"/>
        <v>0</v>
      </c>
    </row>
    <row r="479" ht="11.25">
      <c r="A479" s="387">
        <f t="shared" si="12"/>
        <v>0</v>
      </c>
    </row>
    <row r="480" ht="11.25">
      <c r="A480" s="387">
        <f t="shared" si="12"/>
        <v>0</v>
      </c>
    </row>
    <row r="481" ht="11.25">
      <c r="A481" s="387">
        <f t="shared" si="12"/>
        <v>0</v>
      </c>
    </row>
    <row r="482" ht="11.25">
      <c r="A482" s="387">
        <f t="shared" si="12"/>
        <v>0</v>
      </c>
    </row>
    <row r="483" ht="11.25">
      <c r="A483" s="387">
        <f t="shared" si="12"/>
        <v>0</v>
      </c>
    </row>
    <row r="484" ht="11.25">
      <c r="A484" s="387">
        <f t="shared" si="12"/>
        <v>0</v>
      </c>
    </row>
    <row r="485" ht="11.25">
      <c r="A485" s="387">
        <f t="shared" si="12"/>
        <v>0</v>
      </c>
    </row>
    <row r="486" ht="11.25">
      <c r="A486" s="387">
        <f t="shared" si="12"/>
        <v>0</v>
      </c>
    </row>
    <row r="487" ht="11.25">
      <c r="A487" s="387">
        <f t="shared" si="12"/>
        <v>0</v>
      </c>
    </row>
    <row r="488" ht="11.25">
      <c r="A488" s="387">
        <f t="shared" si="12"/>
        <v>0</v>
      </c>
    </row>
    <row r="489" ht="11.25">
      <c r="A489" s="387">
        <f t="shared" si="12"/>
        <v>0</v>
      </c>
    </row>
    <row r="490" ht="11.25">
      <c r="A490" s="387">
        <f t="shared" si="12"/>
        <v>0</v>
      </c>
    </row>
    <row r="491" ht="11.25">
      <c r="A491" s="387">
        <f aca="true" t="shared" si="13" ref="A491:A554">IF($A$1=$B$1,B491,IF($A$1=$C$1,C491,IF($A$1=$D$1,D491,"N/A")))</f>
        <v>0</v>
      </c>
    </row>
    <row r="492" ht="11.25">
      <c r="A492" s="387">
        <f t="shared" si="13"/>
        <v>0</v>
      </c>
    </row>
    <row r="493" ht="11.25">
      <c r="A493" s="387">
        <f t="shared" si="13"/>
        <v>0</v>
      </c>
    </row>
    <row r="494" ht="11.25">
      <c r="A494" s="387">
        <f t="shared" si="13"/>
        <v>0</v>
      </c>
    </row>
    <row r="495" ht="11.25">
      <c r="A495" s="387">
        <f t="shared" si="13"/>
        <v>0</v>
      </c>
    </row>
    <row r="496" ht="11.25">
      <c r="A496" s="387">
        <f t="shared" si="13"/>
        <v>0</v>
      </c>
    </row>
    <row r="497" ht="11.25">
      <c r="A497" s="387">
        <f t="shared" si="13"/>
        <v>0</v>
      </c>
    </row>
    <row r="498" ht="11.25">
      <c r="A498" s="387">
        <f t="shared" si="13"/>
        <v>0</v>
      </c>
    </row>
    <row r="499" ht="11.25">
      <c r="A499" s="387">
        <f t="shared" si="13"/>
        <v>0</v>
      </c>
    </row>
    <row r="500" ht="11.25">
      <c r="A500" s="387">
        <f t="shared" si="13"/>
        <v>0</v>
      </c>
    </row>
    <row r="501" ht="11.25">
      <c r="A501" s="387">
        <f t="shared" si="13"/>
        <v>0</v>
      </c>
    </row>
    <row r="502" ht="11.25">
      <c r="A502" s="387">
        <f t="shared" si="13"/>
        <v>0</v>
      </c>
    </row>
    <row r="503" ht="11.25">
      <c r="A503" s="387">
        <f t="shared" si="13"/>
        <v>0</v>
      </c>
    </row>
    <row r="504" ht="11.25">
      <c r="A504" s="387">
        <f t="shared" si="13"/>
        <v>0</v>
      </c>
    </row>
    <row r="505" ht="11.25">
      <c r="A505" s="387">
        <f t="shared" si="13"/>
        <v>0</v>
      </c>
    </row>
    <row r="506" ht="11.25">
      <c r="A506" s="387">
        <f t="shared" si="13"/>
        <v>0</v>
      </c>
    </row>
    <row r="507" ht="11.25">
      <c r="A507" s="387">
        <f t="shared" si="13"/>
        <v>0</v>
      </c>
    </row>
    <row r="508" ht="11.25">
      <c r="A508" s="387">
        <f t="shared" si="13"/>
        <v>0</v>
      </c>
    </row>
    <row r="509" ht="11.25">
      <c r="A509" s="387">
        <f t="shared" si="13"/>
        <v>0</v>
      </c>
    </row>
    <row r="510" ht="11.25">
      <c r="A510" s="387">
        <f t="shared" si="13"/>
        <v>0</v>
      </c>
    </row>
    <row r="511" ht="11.25">
      <c r="A511" s="387">
        <f t="shared" si="13"/>
        <v>0</v>
      </c>
    </row>
    <row r="512" ht="11.25">
      <c r="A512" s="387">
        <f t="shared" si="13"/>
        <v>0</v>
      </c>
    </row>
    <row r="513" ht="11.25">
      <c r="A513" s="387">
        <f t="shared" si="13"/>
        <v>0</v>
      </c>
    </row>
    <row r="514" ht="11.25">
      <c r="A514" s="387">
        <f t="shared" si="13"/>
        <v>0</v>
      </c>
    </row>
    <row r="515" ht="11.25">
      <c r="A515" s="387">
        <f t="shared" si="13"/>
        <v>0</v>
      </c>
    </row>
    <row r="516" ht="11.25">
      <c r="A516" s="387">
        <f t="shared" si="13"/>
        <v>0</v>
      </c>
    </row>
    <row r="517" ht="11.25">
      <c r="A517" s="387">
        <f t="shared" si="13"/>
        <v>0</v>
      </c>
    </row>
    <row r="518" ht="11.25">
      <c r="A518" s="387">
        <f t="shared" si="13"/>
        <v>0</v>
      </c>
    </row>
    <row r="519" ht="11.25">
      <c r="A519" s="387">
        <f t="shared" si="13"/>
        <v>0</v>
      </c>
    </row>
    <row r="520" ht="11.25">
      <c r="A520" s="387">
        <f t="shared" si="13"/>
        <v>0</v>
      </c>
    </row>
    <row r="521" ht="11.25">
      <c r="A521" s="387">
        <f t="shared" si="13"/>
        <v>0</v>
      </c>
    </row>
    <row r="522" ht="11.25">
      <c r="A522" s="387">
        <f t="shared" si="13"/>
        <v>0</v>
      </c>
    </row>
    <row r="523" ht="11.25">
      <c r="A523" s="387">
        <f t="shared" si="13"/>
        <v>0</v>
      </c>
    </row>
    <row r="524" ht="11.25">
      <c r="A524" s="387">
        <f t="shared" si="13"/>
        <v>0</v>
      </c>
    </row>
    <row r="525" ht="11.25">
      <c r="A525" s="387">
        <f t="shared" si="13"/>
        <v>0</v>
      </c>
    </row>
    <row r="526" ht="11.25">
      <c r="A526" s="387">
        <f t="shared" si="13"/>
        <v>0</v>
      </c>
    </row>
    <row r="527" ht="11.25">
      <c r="A527" s="387">
        <f t="shared" si="13"/>
        <v>0</v>
      </c>
    </row>
    <row r="528" ht="11.25">
      <c r="A528" s="387">
        <f t="shared" si="13"/>
        <v>0</v>
      </c>
    </row>
    <row r="529" ht="11.25">
      <c r="A529" s="387">
        <f t="shared" si="13"/>
        <v>0</v>
      </c>
    </row>
    <row r="530" ht="11.25">
      <c r="A530" s="387">
        <f t="shared" si="13"/>
        <v>0</v>
      </c>
    </row>
    <row r="531" ht="11.25">
      <c r="A531" s="387">
        <f t="shared" si="13"/>
        <v>0</v>
      </c>
    </row>
    <row r="532" ht="11.25">
      <c r="A532" s="387">
        <f t="shared" si="13"/>
        <v>0</v>
      </c>
    </row>
    <row r="533" ht="11.25">
      <c r="A533" s="387">
        <f t="shared" si="13"/>
        <v>0</v>
      </c>
    </row>
    <row r="534" ht="11.25">
      <c r="A534" s="387">
        <f t="shared" si="13"/>
        <v>0</v>
      </c>
    </row>
    <row r="535" ht="11.25">
      <c r="A535" s="387">
        <f t="shared" si="13"/>
        <v>0</v>
      </c>
    </row>
    <row r="536" ht="11.25">
      <c r="A536" s="387">
        <f t="shared" si="13"/>
        <v>0</v>
      </c>
    </row>
    <row r="537" ht="11.25">
      <c r="A537" s="387">
        <f t="shared" si="13"/>
        <v>0</v>
      </c>
    </row>
    <row r="538" ht="11.25">
      <c r="A538" s="387">
        <f t="shared" si="13"/>
        <v>0</v>
      </c>
    </row>
    <row r="539" ht="11.25">
      <c r="A539" s="387">
        <f t="shared" si="13"/>
        <v>0</v>
      </c>
    </row>
    <row r="540" ht="11.25">
      <c r="A540" s="387">
        <f t="shared" si="13"/>
        <v>0</v>
      </c>
    </row>
    <row r="541" ht="11.25">
      <c r="A541" s="387">
        <f t="shared" si="13"/>
        <v>0</v>
      </c>
    </row>
    <row r="542" ht="11.25">
      <c r="A542" s="387">
        <f t="shared" si="13"/>
        <v>0</v>
      </c>
    </row>
    <row r="543" ht="11.25">
      <c r="A543" s="387">
        <f t="shared" si="13"/>
        <v>0</v>
      </c>
    </row>
    <row r="544" ht="11.25">
      <c r="A544" s="387">
        <f t="shared" si="13"/>
        <v>0</v>
      </c>
    </row>
    <row r="545" ht="11.25">
      <c r="A545" s="387">
        <f t="shared" si="13"/>
        <v>0</v>
      </c>
    </row>
    <row r="546" ht="11.25">
      <c r="A546" s="387">
        <f t="shared" si="13"/>
        <v>0</v>
      </c>
    </row>
    <row r="547" ht="11.25">
      <c r="A547" s="387">
        <f t="shared" si="13"/>
        <v>0</v>
      </c>
    </row>
    <row r="548" ht="11.25">
      <c r="A548" s="387">
        <f t="shared" si="13"/>
        <v>0</v>
      </c>
    </row>
    <row r="549" ht="11.25">
      <c r="A549" s="387">
        <f t="shared" si="13"/>
        <v>0</v>
      </c>
    </row>
    <row r="550" ht="11.25">
      <c r="A550" s="387">
        <f t="shared" si="13"/>
        <v>0</v>
      </c>
    </row>
    <row r="551" ht="11.25">
      <c r="A551" s="387">
        <f t="shared" si="13"/>
        <v>0</v>
      </c>
    </row>
    <row r="552" ht="11.25">
      <c r="A552" s="387">
        <f t="shared" si="13"/>
        <v>0</v>
      </c>
    </row>
    <row r="553" ht="11.25">
      <c r="A553" s="387">
        <f t="shared" si="13"/>
        <v>0</v>
      </c>
    </row>
    <row r="554" ht="11.25">
      <c r="A554" s="387">
        <f t="shared" si="13"/>
        <v>0</v>
      </c>
    </row>
    <row r="555" ht="11.25">
      <c r="A555" s="387">
        <f aca="true" t="shared" si="14" ref="A555:A618">IF($A$1=$B$1,B555,IF($A$1=$C$1,C555,IF($A$1=$D$1,D555,"N/A")))</f>
        <v>0</v>
      </c>
    </row>
    <row r="556" ht="11.25">
      <c r="A556" s="387">
        <f t="shared" si="14"/>
        <v>0</v>
      </c>
    </row>
    <row r="557" ht="11.25">
      <c r="A557" s="387">
        <f t="shared" si="14"/>
        <v>0</v>
      </c>
    </row>
    <row r="558" ht="11.25">
      <c r="A558" s="387">
        <f t="shared" si="14"/>
        <v>0</v>
      </c>
    </row>
    <row r="559" ht="11.25">
      <c r="A559" s="387">
        <f t="shared" si="14"/>
        <v>0</v>
      </c>
    </row>
    <row r="560" ht="11.25">
      <c r="A560" s="387">
        <f t="shared" si="14"/>
        <v>0</v>
      </c>
    </row>
    <row r="561" ht="11.25">
      <c r="A561" s="387">
        <f t="shared" si="14"/>
        <v>0</v>
      </c>
    </row>
    <row r="562" ht="11.25">
      <c r="A562" s="387">
        <f t="shared" si="14"/>
        <v>0</v>
      </c>
    </row>
    <row r="563" ht="11.25">
      <c r="A563" s="387">
        <f t="shared" si="14"/>
        <v>0</v>
      </c>
    </row>
    <row r="564" ht="11.25">
      <c r="A564" s="387">
        <f t="shared" si="14"/>
        <v>0</v>
      </c>
    </row>
    <row r="565" ht="11.25">
      <c r="A565" s="387">
        <f t="shared" si="14"/>
        <v>0</v>
      </c>
    </row>
    <row r="566" ht="11.25">
      <c r="A566" s="387">
        <f t="shared" si="14"/>
        <v>0</v>
      </c>
    </row>
    <row r="567" ht="11.25">
      <c r="A567" s="387">
        <f t="shared" si="14"/>
        <v>0</v>
      </c>
    </row>
    <row r="568" ht="11.25">
      <c r="A568" s="387">
        <f t="shared" si="14"/>
        <v>0</v>
      </c>
    </row>
    <row r="569" ht="11.25">
      <c r="A569" s="387">
        <f t="shared" si="14"/>
        <v>0</v>
      </c>
    </row>
    <row r="570" ht="11.25">
      <c r="A570" s="387">
        <f t="shared" si="14"/>
        <v>0</v>
      </c>
    </row>
    <row r="571" ht="11.25">
      <c r="A571" s="387">
        <f t="shared" si="14"/>
        <v>0</v>
      </c>
    </row>
    <row r="572" ht="11.25">
      <c r="A572" s="387">
        <f t="shared" si="14"/>
        <v>0</v>
      </c>
    </row>
    <row r="573" ht="11.25">
      <c r="A573" s="387">
        <f t="shared" si="14"/>
        <v>0</v>
      </c>
    </row>
    <row r="574" ht="11.25">
      <c r="A574" s="387">
        <f t="shared" si="14"/>
        <v>0</v>
      </c>
    </row>
    <row r="575" ht="11.25">
      <c r="A575" s="387">
        <f t="shared" si="14"/>
        <v>0</v>
      </c>
    </row>
    <row r="576" ht="11.25">
      <c r="A576" s="387">
        <f t="shared" si="14"/>
        <v>0</v>
      </c>
    </row>
    <row r="577" ht="11.25">
      <c r="A577" s="387">
        <f t="shared" si="14"/>
        <v>0</v>
      </c>
    </row>
    <row r="578" ht="11.25">
      <c r="A578" s="387">
        <f t="shared" si="14"/>
        <v>0</v>
      </c>
    </row>
    <row r="579" ht="11.25">
      <c r="A579" s="387">
        <f t="shared" si="14"/>
        <v>0</v>
      </c>
    </row>
    <row r="580" ht="11.25">
      <c r="A580" s="387">
        <f t="shared" si="14"/>
        <v>0</v>
      </c>
    </row>
    <row r="581" ht="11.25">
      <c r="A581" s="387">
        <f t="shared" si="14"/>
        <v>0</v>
      </c>
    </row>
    <row r="582" ht="11.25">
      <c r="A582" s="387">
        <f t="shared" si="14"/>
        <v>0</v>
      </c>
    </row>
    <row r="583" ht="11.25">
      <c r="A583" s="387">
        <f t="shared" si="14"/>
        <v>0</v>
      </c>
    </row>
    <row r="584" ht="11.25">
      <c r="A584" s="387">
        <f t="shared" si="14"/>
        <v>0</v>
      </c>
    </row>
    <row r="585" ht="11.25">
      <c r="A585" s="387">
        <f t="shared" si="14"/>
        <v>0</v>
      </c>
    </row>
    <row r="586" ht="11.25">
      <c r="A586" s="387">
        <f t="shared" si="14"/>
        <v>0</v>
      </c>
    </row>
    <row r="587" ht="11.25">
      <c r="A587" s="387">
        <f t="shared" si="14"/>
        <v>0</v>
      </c>
    </row>
    <row r="588" ht="11.25">
      <c r="A588" s="387">
        <f t="shared" si="14"/>
        <v>0</v>
      </c>
    </row>
    <row r="589" ht="11.25">
      <c r="A589" s="387">
        <f t="shared" si="14"/>
        <v>0</v>
      </c>
    </row>
    <row r="590" ht="11.25">
      <c r="A590" s="387">
        <f t="shared" si="14"/>
        <v>0</v>
      </c>
    </row>
    <row r="591" ht="11.25">
      <c r="A591" s="387">
        <f t="shared" si="14"/>
        <v>0</v>
      </c>
    </row>
    <row r="592" ht="11.25">
      <c r="A592" s="387">
        <f t="shared" si="14"/>
        <v>0</v>
      </c>
    </row>
    <row r="593" ht="11.25">
      <c r="A593" s="387">
        <f t="shared" si="14"/>
        <v>0</v>
      </c>
    </row>
    <row r="594" ht="11.25">
      <c r="A594" s="387">
        <f t="shared" si="14"/>
        <v>0</v>
      </c>
    </row>
    <row r="595" ht="11.25">
      <c r="A595" s="387">
        <f t="shared" si="14"/>
        <v>0</v>
      </c>
    </row>
    <row r="596" ht="11.25">
      <c r="A596" s="387">
        <f t="shared" si="14"/>
        <v>0</v>
      </c>
    </row>
    <row r="597" ht="11.25">
      <c r="A597" s="387">
        <f t="shared" si="14"/>
        <v>0</v>
      </c>
    </row>
    <row r="598" ht="11.25">
      <c r="A598" s="387">
        <f t="shared" si="14"/>
        <v>0</v>
      </c>
    </row>
    <row r="599" ht="11.25">
      <c r="A599" s="387">
        <f t="shared" si="14"/>
        <v>0</v>
      </c>
    </row>
    <row r="600" ht="11.25">
      <c r="A600" s="387">
        <f t="shared" si="14"/>
        <v>0</v>
      </c>
    </row>
    <row r="601" ht="11.25">
      <c r="A601" s="387">
        <f t="shared" si="14"/>
        <v>0</v>
      </c>
    </row>
    <row r="602" ht="11.25">
      <c r="A602" s="387">
        <f t="shared" si="14"/>
        <v>0</v>
      </c>
    </row>
    <row r="603" ht="11.25">
      <c r="A603" s="387">
        <f t="shared" si="14"/>
        <v>0</v>
      </c>
    </row>
    <row r="604" ht="11.25">
      <c r="A604" s="387">
        <f t="shared" si="14"/>
        <v>0</v>
      </c>
    </row>
    <row r="605" ht="11.25">
      <c r="A605" s="387">
        <f t="shared" si="14"/>
        <v>0</v>
      </c>
    </row>
    <row r="606" ht="11.25">
      <c r="A606" s="387">
        <f t="shared" si="14"/>
        <v>0</v>
      </c>
    </row>
    <row r="607" ht="11.25">
      <c r="A607" s="387">
        <f t="shared" si="14"/>
        <v>0</v>
      </c>
    </row>
    <row r="608" ht="11.25">
      <c r="A608" s="387">
        <f t="shared" si="14"/>
        <v>0</v>
      </c>
    </row>
    <row r="609" ht="11.25">
      <c r="A609" s="387">
        <f t="shared" si="14"/>
        <v>0</v>
      </c>
    </row>
    <row r="610" ht="11.25">
      <c r="A610" s="387">
        <f t="shared" si="14"/>
        <v>0</v>
      </c>
    </row>
    <row r="611" ht="11.25">
      <c r="A611" s="387">
        <f t="shared" si="14"/>
        <v>0</v>
      </c>
    </row>
    <row r="612" ht="11.25">
      <c r="A612" s="387">
        <f t="shared" si="14"/>
        <v>0</v>
      </c>
    </row>
    <row r="613" ht="11.25">
      <c r="A613" s="387">
        <f t="shared" si="14"/>
        <v>0</v>
      </c>
    </row>
    <row r="614" ht="11.25">
      <c r="A614" s="387">
        <f t="shared" si="14"/>
        <v>0</v>
      </c>
    </row>
    <row r="615" ht="11.25">
      <c r="A615" s="387">
        <f t="shared" si="14"/>
        <v>0</v>
      </c>
    </row>
    <row r="616" ht="11.25">
      <c r="A616" s="387">
        <f t="shared" si="14"/>
        <v>0</v>
      </c>
    </row>
    <row r="617" ht="11.25">
      <c r="A617" s="387">
        <f t="shared" si="14"/>
        <v>0</v>
      </c>
    </row>
    <row r="618" ht="11.25">
      <c r="A618" s="387">
        <f t="shared" si="14"/>
        <v>0</v>
      </c>
    </row>
    <row r="619" ht="11.25">
      <c r="A619" s="387">
        <f aca="true" t="shared" si="15" ref="A619:A682">IF($A$1=$B$1,B619,IF($A$1=$C$1,C619,IF($A$1=$D$1,D619,"N/A")))</f>
        <v>0</v>
      </c>
    </row>
    <row r="620" ht="11.25">
      <c r="A620" s="387">
        <f t="shared" si="15"/>
        <v>0</v>
      </c>
    </row>
    <row r="621" ht="11.25">
      <c r="A621" s="387">
        <f t="shared" si="15"/>
        <v>0</v>
      </c>
    </row>
    <row r="622" ht="11.25">
      <c r="A622" s="387">
        <f t="shared" si="15"/>
        <v>0</v>
      </c>
    </row>
    <row r="623" ht="11.25">
      <c r="A623" s="387">
        <f t="shared" si="15"/>
        <v>0</v>
      </c>
    </row>
    <row r="624" ht="11.25">
      <c r="A624" s="387">
        <f t="shared" si="15"/>
        <v>0</v>
      </c>
    </row>
    <row r="625" ht="11.25">
      <c r="A625" s="387">
        <f t="shared" si="15"/>
        <v>0</v>
      </c>
    </row>
    <row r="626" ht="11.25">
      <c r="A626" s="387">
        <f t="shared" si="15"/>
        <v>0</v>
      </c>
    </row>
    <row r="627" ht="11.25">
      <c r="A627" s="387">
        <f t="shared" si="15"/>
        <v>0</v>
      </c>
    </row>
    <row r="628" ht="11.25">
      <c r="A628" s="387">
        <f t="shared" si="15"/>
        <v>0</v>
      </c>
    </row>
    <row r="629" ht="11.25">
      <c r="A629" s="387">
        <f t="shared" si="15"/>
        <v>0</v>
      </c>
    </row>
    <row r="630" ht="11.25">
      <c r="A630" s="387">
        <f t="shared" si="15"/>
        <v>0</v>
      </c>
    </row>
    <row r="631" ht="11.25">
      <c r="A631" s="387">
        <f t="shared" si="15"/>
        <v>0</v>
      </c>
    </row>
    <row r="632" ht="11.25">
      <c r="A632" s="387">
        <f t="shared" si="15"/>
        <v>0</v>
      </c>
    </row>
    <row r="633" ht="11.25">
      <c r="A633" s="387">
        <f t="shared" si="15"/>
        <v>0</v>
      </c>
    </row>
    <row r="634" ht="11.25">
      <c r="A634" s="387">
        <f t="shared" si="15"/>
        <v>0</v>
      </c>
    </row>
    <row r="635" ht="11.25">
      <c r="A635" s="387">
        <f t="shared" si="15"/>
        <v>0</v>
      </c>
    </row>
    <row r="636" ht="11.25">
      <c r="A636" s="387">
        <f t="shared" si="15"/>
        <v>0</v>
      </c>
    </row>
    <row r="637" ht="11.25">
      <c r="A637" s="387">
        <f t="shared" si="15"/>
        <v>0</v>
      </c>
    </row>
    <row r="638" ht="11.25">
      <c r="A638" s="387">
        <f t="shared" si="15"/>
        <v>0</v>
      </c>
    </row>
    <row r="639" ht="11.25">
      <c r="A639" s="387">
        <f t="shared" si="15"/>
        <v>0</v>
      </c>
    </row>
    <row r="640" ht="11.25">
      <c r="A640" s="387">
        <f t="shared" si="15"/>
        <v>0</v>
      </c>
    </row>
    <row r="641" ht="11.25">
      <c r="A641" s="387">
        <f t="shared" si="15"/>
        <v>0</v>
      </c>
    </row>
    <row r="642" ht="11.25">
      <c r="A642" s="387">
        <f t="shared" si="15"/>
        <v>0</v>
      </c>
    </row>
    <row r="643" ht="11.25">
      <c r="A643" s="387">
        <f t="shared" si="15"/>
        <v>0</v>
      </c>
    </row>
    <row r="644" ht="11.25">
      <c r="A644" s="387">
        <f t="shared" si="15"/>
        <v>0</v>
      </c>
    </row>
    <row r="645" ht="11.25">
      <c r="A645" s="387">
        <f t="shared" si="15"/>
        <v>0</v>
      </c>
    </row>
    <row r="646" ht="11.25">
      <c r="A646" s="387">
        <f t="shared" si="15"/>
        <v>0</v>
      </c>
    </row>
    <row r="647" ht="11.25">
      <c r="A647" s="387">
        <f t="shared" si="15"/>
        <v>0</v>
      </c>
    </row>
    <row r="648" ht="11.25">
      <c r="A648" s="387">
        <f t="shared" si="15"/>
        <v>0</v>
      </c>
    </row>
    <row r="649" ht="11.25">
      <c r="A649" s="387">
        <f t="shared" si="15"/>
        <v>0</v>
      </c>
    </row>
    <row r="650" ht="11.25">
      <c r="A650" s="387">
        <f t="shared" si="15"/>
        <v>0</v>
      </c>
    </row>
    <row r="651" ht="11.25">
      <c r="A651" s="387">
        <f t="shared" si="15"/>
        <v>0</v>
      </c>
    </row>
    <row r="652" ht="11.25">
      <c r="A652" s="387">
        <f t="shared" si="15"/>
        <v>0</v>
      </c>
    </row>
    <row r="653" ht="11.25">
      <c r="A653" s="387">
        <f t="shared" si="15"/>
        <v>0</v>
      </c>
    </row>
    <row r="654" ht="11.25">
      <c r="A654" s="387">
        <f t="shared" si="15"/>
        <v>0</v>
      </c>
    </row>
    <row r="655" ht="11.25">
      <c r="A655" s="387">
        <f t="shared" si="15"/>
        <v>0</v>
      </c>
    </row>
    <row r="656" ht="11.25">
      <c r="A656" s="387">
        <f t="shared" si="15"/>
        <v>0</v>
      </c>
    </row>
    <row r="657" ht="11.25">
      <c r="A657" s="387">
        <f t="shared" si="15"/>
        <v>0</v>
      </c>
    </row>
    <row r="658" ht="11.25">
      <c r="A658" s="387">
        <f t="shared" si="15"/>
        <v>0</v>
      </c>
    </row>
    <row r="659" ht="11.25">
      <c r="A659" s="387">
        <f t="shared" si="15"/>
        <v>0</v>
      </c>
    </row>
    <row r="660" ht="11.25">
      <c r="A660" s="387">
        <f t="shared" si="15"/>
        <v>0</v>
      </c>
    </row>
    <row r="661" ht="11.25">
      <c r="A661" s="387">
        <f t="shared" si="15"/>
        <v>0</v>
      </c>
    </row>
    <row r="662" ht="11.25">
      <c r="A662" s="387">
        <f t="shared" si="15"/>
        <v>0</v>
      </c>
    </row>
    <row r="663" ht="11.25">
      <c r="A663" s="387">
        <f t="shared" si="15"/>
        <v>0</v>
      </c>
    </row>
    <row r="664" ht="11.25">
      <c r="A664" s="387">
        <f t="shared" si="15"/>
        <v>0</v>
      </c>
    </row>
    <row r="665" ht="11.25">
      <c r="A665" s="387">
        <f t="shared" si="15"/>
        <v>0</v>
      </c>
    </row>
    <row r="666" ht="11.25">
      <c r="A666" s="387">
        <f t="shared" si="15"/>
        <v>0</v>
      </c>
    </row>
    <row r="667" ht="11.25">
      <c r="A667" s="387">
        <f t="shared" si="15"/>
        <v>0</v>
      </c>
    </row>
    <row r="668" ht="11.25">
      <c r="A668" s="387">
        <f t="shared" si="15"/>
        <v>0</v>
      </c>
    </row>
    <row r="669" ht="11.25">
      <c r="A669" s="387">
        <f t="shared" si="15"/>
        <v>0</v>
      </c>
    </row>
    <row r="670" ht="11.25">
      <c r="A670" s="387">
        <f t="shared" si="15"/>
        <v>0</v>
      </c>
    </row>
    <row r="671" ht="11.25">
      <c r="A671" s="387">
        <f t="shared" si="15"/>
        <v>0</v>
      </c>
    </row>
    <row r="672" ht="11.25">
      <c r="A672" s="387">
        <f t="shared" si="15"/>
        <v>0</v>
      </c>
    </row>
    <row r="673" ht="11.25">
      <c r="A673" s="387">
        <f t="shared" si="15"/>
        <v>0</v>
      </c>
    </row>
    <row r="674" ht="11.25">
      <c r="A674" s="387">
        <f t="shared" si="15"/>
        <v>0</v>
      </c>
    </row>
    <row r="675" ht="11.25">
      <c r="A675" s="387">
        <f t="shared" si="15"/>
        <v>0</v>
      </c>
    </row>
    <row r="676" ht="11.25">
      <c r="A676" s="387">
        <f t="shared" si="15"/>
        <v>0</v>
      </c>
    </row>
    <row r="677" ht="11.25">
      <c r="A677" s="387">
        <f t="shared" si="15"/>
        <v>0</v>
      </c>
    </row>
    <row r="678" ht="11.25">
      <c r="A678" s="387">
        <f t="shared" si="15"/>
        <v>0</v>
      </c>
    </row>
    <row r="679" ht="11.25">
      <c r="A679" s="387">
        <f t="shared" si="15"/>
        <v>0</v>
      </c>
    </row>
    <row r="680" ht="11.25">
      <c r="A680" s="387">
        <f t="shared" si="15"/>
        <v>0</v>
      </c>
    </row>
    <row r="681" ht="11.25">
      <c r="A681" s="387">
        <f t="shared" si="15"/>
        <v>0</v>
      </c>
    </row>
    <row r="682" ht="11.25">
      <c r="A682" s="387">
        <f t="shared" si="15"/>
        <v>0</v>
      </c>
    </row>
    <row r="683" ht="11.25">
      <c r="A683" s="387">
        <f aca="true" t="shared" si="16" ref="A683:A746">IF($A$1=$B$1,B683,IF($A$1=$C$1,C683,IF($A$1=$D$1,D683,"N/A")))</f>
        <v>0</v>
      </c>
    </row>
    <row r="684" ht="11.25">
      <c r="A684" s="387">
        <f t="shared" si="16"/>
        <v>0</v>
      </c>
    </row>
    <row r="685" ht="11.25">
      <c r="A685" s="387">
        <f t="shared" si="16"/>
        <v>0</v>
      </c>
    </row>
    <row r="686" ht="11.25">
      <c r="A686" s="387">
        <f t="shared" si="16"/>
        <v>0</v>
      </c>
    </row>
    <row r="687" ht="11.25">
      <c r="A687" s="387">
        <f t="shared" si="16"/>
        <v>0</v>
      </c>
    </row>
    <row r="688" ht="11.25">
      <c r="A688" s="387">
        <f t="shared" si="16"/>
        <v>0</v>
      </c>
    </row>
    <row r="689" ht="11.25">
      <c r="A689" s="387">
        <f t="shared" si="16"/>
        <v>0</v>
      </c>
    </row>
    <row r="690" ht="11.25">
      <c r="A690" s="387">
        <f t="shared" si="16"/>
        <v>0</v>
      </c>
    </row>
    <row r="691" ht="11.25">
      <c r="A691" s="387">
        <f t="shared" si="16"/>
        <v>0</v>
      </c>
    </row>
    <row r="692" ht="11.25">
      <c r="A692" s="387">
        <f t="shared" si="16"/>
        <v>0</v>
      </c>
    </row>
    <row r="693" ht="11.25">
      <c r="A693" s="387">
        <f t="shared" si="16"/>
        <v>0</v>
      </c>
    </row>
    <row r="694" ht="11.25">
      <c r="A694" s="387">
        <f t="shared" si="16"/>
        <v>0</v>
      </c>
    </row>
    <row r="695" ht="11.25">
      <c r="A695" s="387">
        <f t="shared" si="16"/>
        <v>0</v>
      </c>
    </row>
    <row r="696" ht="11.25">
      <c r="A696" s="387">
        <f t="shared" si="16"/>
        <v>0</v>
      </c>
    </row>
    <row r="697" ht="11.25">
      <c r="A697" s="387">
        <f t="shared" si="16"/>
        <v>0</v>
      </c>
    </row>
    <row r="698" ht="11.25">
      <c r="A698" s="387">
        <f t="shared" si="16"/>
        <v>0</v>
      </c>
    </row>
    <row r="699" ht="11.25">
      <c r="A699" s="387">
        <f t="shared" si="16"/>
        <v>0</v>
      </c>
    </row>
    <row r="700" ht="11.25">
      <c r="A700" s="387">
        <f t="shared" si="16"/>
        <v>0</v>
      </c>
    </row>
    <row r="701" ht="11.25">
      <c r="A701" s="387">
        <f t="shared" si="16"/>
        <v>0</v>
      </c>
    </row>
    <row r="702" ht="11.25">
      <c r="A702" s="387">
        <f t="shared" si="16"/>
        <v>0</v>
      </c>
    </row>
    <row r="703" ht="11.25">
      <c r="A703" s="387">
        <f t="shared" si="16"/>
        <v>0</v>
      </c>
    </row>
    <row r="704" ht="11.25">
      <c r="A704" s="387">
        <f t="shared" si="16"/>
        <v>0</v>
      </c>
    </row>
    <row r="705" ht="11.25">
      <c r="A705" s="387">
        <f t="shared" si="16"/>
        <v>0</v>
      </c>
    </row>
    <row r="706" ht="11.25">
      <c r="A706" s="387">
        <f t="shared" si="16"/>
        <v>0</v>
      </c>
    </row>
    <row r="707" ht="11.25">
      <c r="A707" s="387">
        <f t="shared" si="16"/>
        <v>0</v>
      </c>
    </row>
    <row r="708" ht="11.25">
      <c r="A708" s="387">
        <f t="shared" si="16"/>
        <v>0</v>
      </c>
    </row>
    <row r="709" ht="11.25">
      <c r="A709" s="387">
        <f t="shared" si="16"/>
        <v>0</v>
      </c>
    </row>
    <row r="710" ht="11.25">
      <c r="A710" s="387">
        <f t="shared" si="16"/>
        <v>0</v>
      </c>
    </row>
    <row r="711" ht="11.25">
      <c r="A711" s="387">
        <f t="shared" si="16"/>
        <v>0</v>
      </c>
    </row>
    <row r="712" ht="11.25">
      <c r="A712" s="387">
        <f t="shared" si="16"/>
        <v>0</v>
      </c>
    </row>
    <row r="713" ht="11.25">
      <c r="A713" s="387">
        <f t="shared" si="16"/>
        <v>0</v>
      </c>
    </row>
    <row r="714" ht="11.25">
      <c r="A714" s="387">
        <f t="shared" si="16"/>
        <v>0</v>
      </c>
    </row>
    <row r="715" ht="11.25">
      <c r="A715" s="387">
        <f t="shared" si="16"/>
        <v>0</v>
      </c>
    </row>
    <row r="716" ht="11.25">
      <c r="A716" s="387">
        <f t="shared" si="16"/>
        <v>0</v>
      </c>
    </row>
    <row r="717" ht="11.25">
      <c r="A717" s="387">
        <f t="shared" si="16"/>
        <v>0</v>
      </c>
    </row>
    <row r="718" ht="11.25">
      <c r="A718" s="387">
        <f t="shared" si="16"/>
        <v>0</v>
      </c>
    </row>
    <row r="719" ht="11.25">
      <c r="A719" s="387">
        <f t="shared" si="16"/>
        <v>0</v>
      </c>
    </row>
    <row r="720" ht="11.25">
      <c r="A720" s="387">
        <f t="shared" si="16"/>
        <v>0</v>
      </c>
    </row>
    <row r="721" ht="11.25">
      <c r="A721" s="387">
        <f t="shared" si="16"/>
        <v>0</v>
      </c>
    </row>
    <row r="722" ht="11.25">
      <c r="A722" s="387">
        <f t="shared" si="16"/>
        <v>0</v>
      </c>
    </row>
    <row r="723" ht="11.25">
      <c r="A723" s="387">
        <f t="shared" si="16"/>
        <v>0</v>
      </c>
    </row>
    <row r="724" ht="11.25">
      <c r="A724" s="387">
        <f t="shared" si="16"/>
        <v>0</v>
      </c>
    </row>
    <row r="725" ht="11.25">
      <c r="A725" s="387">
        <f t="shared" si="16"/>
        <v>0</v>
      </c>
    </row>
    <row r="726" ht="11.25">
      <c r="A726" s="387">
        <f t="shared" si="16"/>
        <v>0</v>
      </c>
    </row>
    <row r="727" ht="11.25">
      <c r="A727" s="387">
        <f t="shared" si="16"/>
        <v>0</v>
      </c>
    </row>
    <row r="728" ht="11.25">
      <c r="A728" s="387">
        <f t="shared" si="16"/>
        <v>0</v>
      </c>
    </row>
    <row r="729" ht="11.25">
      <c r="A729" s="387">
        <f t="shared" si="16"/>
        <v>0</v>
      </c>
    </row>
    <row r="730" ht="11.25">
      <c r="A730" s="387">
        <f t="shared" si="16"/>
        <v>0</v>
      </c>
    </row>
    <row r="731" ht="11.25">
      <c r="A731" s="387">
        <f t="shared" si="16"/>
        <v>0</v>
      </c>
    </row>
    <row r="732" ht="11.25">
      <c r="A732" s="387">
        <f t="shared" si="16"/>
        <v>0</v>
      </c>
    </row>
    <row r="733" ht="11.25">
      <c r="A733" s="387">
        <f t="shared" si="16"/>
        <v>0</v>
      </c>
    </row>
    <row r="734" ht="11.25">
      <c r="A734" s="387">
        <f t="shared" si="16"/>
        <v>0</v>
      </c>
    </row>
    <row r="735" ht="11.25">
      <c r="A735" s="387">
        <f t="shared" si="16"/>
        <v>0</v>
      </c>
    </row>
    <row r="736" ht="11.25">
      <c r="A736" s="387">
        <f t="shared" si="16"/>
        <v>0</v>
      </c>
    </row>
    <row r="737" ht="11.25">
      <c r="A737" s="387">
        <f t="shared" si="16"/>
        <v>0</v>
      </c>
    </row>
    <row r="738" ht="11.25">
      <c r="A738" s="387">
        <f t="shared" si="16"/>
        <v>0</v>
      </c>
    </row>
    <row r="739" ht="11.25">
      <c r="A739" s="387">
        <f t="shared" si="16"/>
        <v>0</v>
      </c>
    </row>
    <row r="740" ht="11.25">
      <c r="A740" s="387">
        <f t="shared" si="16"/>
        <v>0</v>
      </c>
    </row>
    <row r="741" ht="11.25">
      <c r="A741" s="387">
        <f t="shared" si="16"/>
        <v>0</v>
      </c>
    </row>
    <row r="742" ht="11.25">
      <c r="A742" s="387">
        <f t="shared" si="16"/>
        <v>0</v>
      </c>
    </row>
    <row r="743" ht="11.25">
      <c r="A743" s="387">
        <f t="shared" si="16"/>
        <v>0</v>
      </c>
    </row>
    <row r="744" ht="11.25">
      <c r="A744" s="387">
        <f t="shared" si="16"/>
        <v>0</v>
      </c>
    </row>
    <row r="745" ht="11.25">
      <c r="A745" s="387">
        <f t="shared" si="16"/>
        <v>0</v>
      </c>
    </row>
    <row r="746" ht="11.25">
      <c r="A746" s="387">
        <f t="shared" si="16"/>
        <v>0</v>
      </c>
    </row>
    <row r="747" ht="11.25">
      <c r="A747" s="387">
        <f aca="true" t="shared" si="17" ref="A747:A810">IF($A$1=$B$1,B747,IF($A$1=$C$1,C747,IF($A$1=$D$1,D747,"N/A")))</f>
        <v>0</v>
      </c>
    </row>
    <row r="748" ht="11.25">
      <c r="A748" s="387">
        <f t="shared" si="17"/>
        <v>0</v>
      </c>
    </row>
    <row r="749" ht="11.25">
      <c r="A749" s="387">
        <f t="shared" si="17"/>
        <v>0</v>
      </c>
    </row>
    <row r="750" ht="11.25">
      <c r="A750" s="387">
        <f t="shared" si="17"/>
        <v>0</v>
      </c>
    </row>
    <row r="751" ht="11.25">
      <c r="A751" s="387">
        <f t="shared" si="17"/>
        <v>0</v>
      </c>
    </row>
    <row r="752" ht="11.25">
      <c r="A752" s="387">
        <f t="shared" si="17"/>
        <v>0</v>
      </c>
    </row>
    <row r="753" ht="11.25">
      <c r="A753" s="387">
        <f t="shared" si="17"/>
        <v>0</v>
      </c>
    </row>
    <row r="754" ht="11.25">
      <c r="A754" s="387">
        <f t="shared" si="17"/>
        <v>0</v>
      </c>
    </row>
    <row r="755" ht="11.25">
      <c r="A755" s="387">
        <f t="shared" si="17"/>
        <v>0</v>
      </c>
    </row>
    <row r="756" ht="11.25">
      <c r="A756" s="387">
        <f t="shared" si="17"/>
        <v>0</v>
      </c>
    </row>
    <row r="757" ht="11.25">
      <c r="A757" s="387">
        <f t="shared" si="17"/>
        <v>0</v>
      </c>
    </row>
    <row r="758" ht="11.25">
      <c r="A758" s="387">
        <f t="shared" si="17"/>
        <v>0</v>
      </c>
    </row>
    <row r="759" ht="11.25">
      <c r="A759" s="387">
        <f t="shared" si="17"/>
        <v>0</v>
      </c>
    </row>
    <row r="760" ht="11.25">
      <c r="A760" s="387">
        <f t="shared" si="17"/>
        <v>0</v>
      </c>
    </row>
    <row r="761" ht="11.25">
      <c r="A761" s="387">
        <f t="shared" si="17"/>
        <v>0</v>
      </c>
    </row>
    <row r="762" ht="11.25">
      <c r="A762" s="387">
        <f t="shared" si="17"/>
        <v>0</v>
      </c>
    </row>
    <row r="763" ht="11.25">
      <c r="A763" s="387">
        <f t="shared" si="17"/>
        <v>0</v>
      </c>
    </row>
    <row r="764" ht="11.25">
      <c r="A764" s="387">
        <f t="shared" si="17"/>
        <v>0</v>
      </c>
    </row>
    <row r="765" ht="11.25">
      <c r="A765" s="387">
        <f t="shared" si="17"/>
        <v>0</v>
      </c>
    </row>
    <row r="766" ht="11.25">
      <c r="A766" s="387">
        <f t="shared" si="17"/>
        <v>0</v>
      </c>
    </row>
    <row r="767" ht="11.25">
      <c r="A767" s="387">
        <f t="shared" si="17"/>
        <v>0</v>
      </c>
    </row>
    <row r="768" ht="11.25">
      <c r="A768" s="387">
        <f t="shared" si="17"/>
        <v>0</v>
      </c>
    </row>
    <row r="769" ht="11.25">
      <c r="A769" s="387">
        <f t="shared" si="17"/>
        <v>0</v>
      </c>
    </row>
    <row r="770" ht="11.25">
      <c r="A770" s="387">
        <f t="shared" si="17"/>
        <v>0</v>
      </c>
    </row>
    <row r="771" ht="11.25">
      <c r="A771" s="387">
        <f t="shared" si="17"/>
        <v>0</v>
      </c>
    </row>
    <row r="772" ht="11.25">
      <c r="A772" s="387">
        <f t="shared" si="17"/>
        <v>0</v>
      </c>
    </row>
    <row r="773" ht="11.25">
      <c r="A773" s="387">
        <f t="shared" si="17"/>
        <v>0</v>
      </c>
    </row>
    <row r="774" ht="11.25">
      <c r="A774" s="387">
        <f t="shared" si="17"/>
        <v>0</v>
      </c>
    </row>
    <row r="775" ht="11.25">
      <c r="A775" s="387">
        <f t="shared" si="17"/>
        <v>0</v>
      </c>
    </row>
    <row r="776" ht="11.25">
      <c r="A776" s="387">
        <f t="shared" si="17"/>
        <v>0</v>
      </c>
    </row>
    <row r="777" ht="11.25">
      <c r="A777" s="387">
        <f t="shared" si="17"/>
        <v>0</v>
      </c>
    </row>
    <row r="778" ht="11.25">
      <c r="A778" s="387">
        <f t="shared" si="17"/>
        <v>0</v>
      </c>
    </row>
    <row r="779" ht="11.25">
      <c r="A779" s="387">
        <f t="shared" si="17"/>
        <v>0</v>
      </c>
    </row>
    <row r="780" ht="11.25">
      <c r="A780" s="387">
        <f t="shared" si="17"/>
        <v>0</v>
      </c>
    </row>
    <row r="781" ht="11.25">
      <c r="A781" s="387">
        <f t="shared" si="17"/>
        <v>0</v>
      </c>
    </row>
    <row r="782" ht="11.25">
      <c r="A782" s="387">
        <f t="shared" si="17"/>
        <v>0</v>
      </c>
    </row>
    <row r="783" ht="11.25">
      <c r="A783" s="387">
        <f t="shared" si="17"/>
        <v>0</v>
      </c>
    </row>
    <row r="784" ht="11.25">
      <c r="A784" s="387">
        <f t="shared" si="17"/>
        <v>0</v>
      </c>
    </row>
    <row r="785" ht="11.25">
      <c r="A785" s="387">
        <f t="shared" si="17"/>
        <v>0</v>
      </c>
    </row>
    <row r="786" ht="11.25">
      <c r="A786" s="387">
        <f t="shared" si="17"/>
        <v>0</v>
      </c>
    </row>
    <row r="787" ht="11.25">
      <c r="A787" s="387">
        <f t="shared" si="17"/>
        <v>0</v>
      </c>
    </row>
    <row r="788" ht="11.25">
      <c r="A788" s="387">
        <f t="shared" si="17"/>
        <v>0</v>
      </c>
    </row>
    <row r="789" ht="11.25">
      <c r="A789" s="387">
        <f t="shared" si="17"/>
        <v>0</v>
      </c>
    </row>
    <row r="790" ht="11.25">
      <c r="A790" s="387">
        <f t="shared" si="17"/>
        <v>0</v>
      </c>
    </row>
    <row r="791" ht="11.25">
      <c r="A791" s="387">
        <f t="shared" si="17"/>
        <v>0</v>
      </c>
    </row>
    <row r="792" ht="11.25">
      <c r="A792" s="387">
        <f t="shared" si="17"/>
        <v>0</v>
      </c>
    </row>
    <row r="793" ht="11.25">
      <c r="A793" s="387">
        <f t="shared" si="17"/>
        <v>0</v>
      </c>
    </row>
    <row r="794" ht="11.25">
      <c r="A794" s="387">
        <f t="shared" si="17"/>
        <v>0</v>
      </c>
    </row>
    <row r="795" ht="11.25">
      <c r="A795" s="387">
        <f t="shared" si="17"/>
        <v>0</v>
      </c>
    </row>
    <row r="796" ht="11.25">
      <c r="A796" s="387">
        <f t="shared" si="17"/>
        <v>0</v>
      </c>
    </row>
    <row r="797" ht="11.25">
      <c r="A797" s="387">
        <f t="shared" si="17"/>
        <v>0</v>
      </c>
    </row>
    <row r="798" ht="11.25">
      <c r="A798" s="387">
        <f t="shared" si="17"/>
        <v>0</v>
      </c>
    </row>
    <row r="799" ht="11.25">
      <c r="A799" s="387">
        <f t="shared" si="17"/>
        <v>0</v>
      </c>
    </row>
    <row r="800" ht="11.25">
      <c r="A800" s="387">
        <f t="shared" si="17"/>
        <v>0</v>
      </c>
    </row>
    <row r="801" ht="11.25">
      <c r="A801" s="387">
        <f t="shared" si="17"/>
        <v>0</v>
      </c>
    </row>
    <row r="802" ht="11.25">
      <c r="A802" s="387">
        <f t="shared" si="17"/>
        <v>0</v>
      </c>
    </row>
    <row r="803" ht="11.25">
      <c r="A803" s="387">
        <f t="shared" si="17"/>
        <v>0</v>
      </c>
    </row>
    <row r="804" ht="11.25">
      <c r="A804" s="387">
        <f t="shared" si="17"/>
        <v>0</v>
      </c>
    </row>
    <row r="805" ht="11.25">
      <c r="A805" s="387">
        <f t="shared" si="17"/>
        <v>0</v>
      </c>
    </row>
    <row r="806" ht="11.25">
      <c r="A806" s="387">
        <f t="shared" si="17"/>
        <v>0</v>
      </c>
    </row>
    <row r="807" ht="11.25">
      <c r="A807" s="387">
        <f t="shared" si="17"/>
        <v>0</v>
      </c>
    </row>
    <row r="808" ht="11.25">
      <c r="A808" s="387">
        <f t="shared" si="17"/>
        <v>0</v>
      </c>
    </row>
    <row r="809" ht="11.25">
      <c r="A809" s="387">
        <f t="shared" si="17"/>
        <v>0</v>
      </c>
    </row>
    <row r="810" ht="11.25">
      <c r="A810" s="387">
        <f t="shared" si="17"/>
        <v>0</v>
      </c>
    </row>
    <row r="811" ht="11.25">
      <c r="A811" s="387">
        <f aca="true" t="shared" si="18" ref="A811:A874">IF($A$1=$B$1,B811,IF($A$1=$C$1,C811,IF($A$1=$D$1,D811,"N/A")))</f>
        <v>0</v>
      </c>
    </row>
    <row r="812" ht="11.25">
      <c r="A812" s="387">
        <f t="shared" si="18"/>
        <v>0</v>
      </c>
    </row>
    <row r="813" ht="11.25">
      <c r="A813" s="387">
        <f t="shared" si="18"/>
        <v>0</v>
      </c>
    </row>
    <row r="814" ht="11.25">
      <c r="A814" s="387">
        <f t="shared" si="18"/>
        <v>0</v>
      </c>
    </row>
    <row r="815" ht="11.25">
      <c r="A815" s="387">
        <f t="shared" si="18"/>
        <v>0</v>
      </c>
    </row>
    <row r="816" ht="11.25">
      <c r="A816" s="387">
        <f t="shared" si="18"/>
        <v>0</v>
      </c>
    </row>
    <row r="817" ht="11.25">
      <c r="A817" s="387">
        <f t="shared" si="18"/>
        <v>0</v>
      </c>
    </row>
    <row r="818" ht="11.25">
      <c r="A818" s="387">
        <f t="shared" si="18"/>
        <v>0</v>
      </c>
    </row>
    <row r="819" ht="11.25">
      <c r="A819" s="387">
        <f t="shared" si="18"/>
        <v>0</v>
      </c>
    </row>
    <row r="820" ht="11.25">
      <c r="A820" s="387">
        <f t="shared" si="18"/>
        <v>0</v>
      </c>
    </row>
    <row r="821" ht="11.25">
      <c r="A821" s="387">
        <f t="shared" si="18"/>
        <v>0</v>
      </c>
    </row>
    <row r="822" ht="11.25">
      <c r="A822" s="387">
        <f t="shared" si="18"/>
        <v>0</v>
      </c>
    </row>
    <row r="823" ht="11.25">
      <c r="A823" s="387">
        <f t="shared" si="18"/>
        <v>0</v>
      </c>
    </row>
    <row r="824" ht="11.25">
      <c r="A824" s="387">
        <f t="shared" si="18"/>
        <v>0</v>
      </c>
    </row>
    <row r="825" ht="11.25">
      <c r="A825" s="387">
        <f t="shared" si="18"/>
        <v>0</v>
      </c>
    </row>
    <row r="826" ht="11.25">
      <c r="A826" s="387">
        <f t="shared" si="18"/>
        <v>0</v>
      </c>
    </row>
    <row r="827" ht="11.25">
      <c r="A827" s="387">
        <f t="shared" si="18"/>
        <v>0</v>
      </c>
    </row>
    <row r="828" ht="11.25">
      <c r="A828" s="387">
        <f t="shared" si="18"/>
        <v>0</v>
      </c>
    </row>
    <row r="829" ht="11.25">
      <c r="A829" s="387">
        <f t="shared" si="18"/>
        <v>0</v>
      </c>
    </row>
    <row r="830" ht="11.25">
      <c r="A830" s="387">
        <f t="shared" si="18"/>
        <v>0</v>
      </c>
    </row>
    <row r="831" ht="11.25">
      <c r="A831" s="387">
        <f t="shared" si="18"/>
        <v>0</v>
      </c>
    </row>
    <row r="832" ht="11.25">
      <c r="A832" s="387">
        <f t="shared" si="18"/>
        <v>0</v>
      </c>
    </row>
    <row r="833" ht="11.25">
      <c r="A833" s="387">
        <f t="shared" si="18"/>
        <v>0</v>
      </c>
    </row>
    <row r="834" ht="11.25">
      <c r="A834" s="387">
        <f t="shared" si="18"/>
        <v>0</v>
      </c>
    </row>
    <row r="835" ht="11.25">
      <c r="A835" s="387">
        <f t="shared" si="18"/>
        <v>0</v>
      </c>
    </row>
    <row r="836" ht="11.25">
      <c r="A836" s="387">
        <f t="shared" si="18"/>
        <v>0</v>
      </c>
    </row>
    <row r="837" ht="11.25">
      <c r="A837" s="387">
        <f t="shared" si="18"/>
        <v>0</v>
      </c>
    </row>
    <row r="838" ht="11.25">
      <c r="A838" s="387">
        <f t="shared" si="18"/>
        <v>0</v>
      </c>
    </row>
    <row r="839" ht="11.25">
      <c r="A839" s="387">
        <f t="shared" si="18"/>
        <v>0</v>
      </c>
    </row>
    <row r="840" ht="11.25">
      <c r="A840" s="387">
        <f t="shared" si="18"/>
        <v>0</v>
      </c>
    </row>
    <row r="841" ht="11.25">
      <c r="A841" s="387">
        <f t="shared" si="18"/>
        <v>0</v>
      </c>
    </row>
    <row r="842" ht="11.25">
      <c r="A842" s="387">
        <f t="shared" si="18"/>
        <v>0</v>
      </c>
    </row>
    <row r="843" ht="11.25">
      <c r="A843" s="387">
        <f t="shared" si="18"/>
        <v>0</v>
      </c>
    </row>
    <row r="844" ht="11.25">
      <c r="A844" s="387">
        <f t="shared" si="18"/>
        <v>0</v>
      </c>
    </row>
    <row r="845" ht="11.25">
      <c r="A845" s="387">
        <f t="shared" si="18"/>
        <v>0</v>
      </c>
    </row>
    <row r="846" ht="11.25">
      <c r="A846" s="387">
        <f t="shared" si="18"/>
        <v>0</v>
      </c>
    </row>
    <row r="847" ht="11.25">
      <c r="A847" s="387">
        <f t="shared" si="18"/>
        <v>0</v>
      </c>
    </row>
    <row r="848" ht="11.25">
      <c r="A848" s="387">
        <f t="shared" si="18"/>
        <v>0</v>
      </c>
    </row>
    <row r="849" ht="11.25">
      <c r="A849" s="387">
        <f t="shared" si="18"/>
        <v>0</v>
      </c>
    </row>
    <row r="850" ht="11.25">
      <c r="A850" s="387">
        <f t="shared" si="18"/>
        <v>0</v>
      </c>
    </row>
    <row r="851" ht="11.25">
      <c r="A851" s="387">
        <f t="shared" si="18"/>
        <v>0</v>
      </c>
    </row>
    <row r="852" ht="11.25">
      <c r="A852" s="387">
        <f t="shared" si="18"/>
        <v>0</v>
      </c>
    </row>
    <row r="853" ht="11.25">
      <c r="A853" s="387">
        <f t="shared" si="18"/>
        <v>0</v>
      </c>
    </row>
    <row r="854" ht="11.25">
      <c r="A854" s="387">
        <f t="shared" si="18"/>
        <v>0</v>
      </c>
    </row>
    <row r="855" ht="11.25">
      <c r="A855" s="387">
        <f t="shared" si="18"/>
        <v>0</v>
      </c>
    </row>
    <row r="856" ht="11.25">
      <c r="A856" s="387">
        <f t="shared" si="18"/>
        <v>0</v>
      </c>
    </row>
    <row r="857" ht="11.25">
      <c r="A857" s="387">
        <f t="shared" si="18"/>
        <v>0</v>
      </c>
    </row>
    <row r="858" ht="11.25">
      <c r="A858" s="387">
        <f t="shared" si="18"/>
        <v>0</v>
      </c>
    </row>
    <row r="859" ht="11.25">
      <c r="A859" s="387">
        <f t="shared" si="18"/>
        <v>0</v>
      </c>
    </row>
    <row r="860" ht="11.25">
      <c r="A860" s="387">
        <f t="shared" si="18"/>
        <v>0</v>
      </c>
    </row>
    <row r="861" ht="11.25">
      <c r="A861" s="387">
        <f t="shared" si="18"/>
        <v>0</v>
      </c>
    </row>
    <row r="862" ht="11.25">
      <c r="A862" s="387">
        <f t="shared" si="18"/>
        <v>0</v>
      </c>
    </row>
    <row r="863" ht="11.25">
      <c r="A863" s="387">
        <f t="shared" si="18"/>
        <v>0</v>
      </c>
    </row>
    <row r="864" ht="11.25">
      <c r="A864" s="387">
        <f t="shared" si="18"/>
        <v>0</v>
      </c>
    </row>
    <row r="865" ht="11.25">
      <c r="A865" s="387">
        <f t="shared" si="18"/>
        <v>0</v>
      </c>
    </row>
    <row r="866" ht="11.25">
      <c r="A866" s="387">
        <f t="shared" si="18"/>
        <v>0</v>
      </c>
    </row>
    <row r="867" ht="11.25">
      <c r="A867" s="387">
        <f t="shared" si="18"/>
        <v>0</v>
      </c>
    </row>
    <row r="868" ht="11.25">
      <c r="A868" s="387">
        <f t="shared" si="18"/>
        <v>0</v>
      </c>
    </row>
    <row r="869" ht="11.25">
      <c r="A869" s="387">
        <f t="shared" si="18"/>
        <v>0</v>
      </c>
    </row>
    <row r="870" ht="11.25">
      <c r="A870" s="387">
        <f t="shared" si="18"/>
        <v>0</v>
      </c>
    </row>
    <row r="871" ht="11.25">
      <c r="A871" s="387">
        <f t="shared" si="18"/>
        <v>0</v>
      </c>
    </row>
    <row r="872" ht="11.25">
      <c r="A872" s="387">
        <f t="shared" si="18"/>
        <v>0</v>
      </c>
    </row>
    <row r="873" ht="11.25">
      <c r="A873" s="387">
        <f t="shared" si="18"/>
        <v>0</v>
      </c>
    </row>
    <row r="874" ht="11.25">
      <c r="A874" s="387">
        <f t="shared" si="18"/>
        <v>0</v>
      </c>
    </row>
    <row r="875" ht="11.25">
      <c r="A875" s="387">
        <f aca="true" t="shared" si="19" ref="A875:A938">IF($A$1=$B$1,B875,IF($A$1=$C$1,C875,IF($A$1=$D$1,D875,"N/A")))</f>
        <v>0</v>
      </c>
    </row>
    <row r="876" ht="11.25">
      <c r="A876" s="387">
        <f t="shared" si="19"/>
        <v>0</v>
      </c>
    </row>
    <row r="877" ht="11.25">
      <c r="A877" s="387">
        <f t="shared" si="19"/>
        <v>0</v>
      </c>
    </row>
    <row r="878" ht="11.25">
      <c r="A878" s="387">
        <f t="shared" si="19"/>
        <v>0</v>
      </c>
    </row>
    <row r="879" ht="11.25">
      <c r="A879" s="387">
        <f t="shared" si="19"/>
        <v>0</v>
      </c>
    </row>
    <row r="880" ht="11.25">
      <c r="A880" s="387">
        <f t="shared" si="19"/>
        <v>0</v>
      </c>
    </row>
    <row r="881" ht="11.25">
      <c r="A881" s="387">
        <f t="shared" si="19"/>
        <v>0</v>
      </c>
    </row>
    <row r="882" ht="11.25">
      <c r="A882" s="387">
        <f t="shared" si="19"/>
        <v>0</v>
      </c>
    </row>
    <row r="883" ht="11.25">
      <c r="A883" s="387">
        <f t="shared" si="19"/>
        <v>0</v>
      </c>
    </row>
    <row r="884" ht="11.25">
      <c r="A884" s="387">
        <f t="shared" si="19"/>
        <v>0</v>
      </c>
    </row>
    <row r="885" ht="11.25">
      <c r="A885" s="387">
        <f t="shared" si="19"/>
        <v>0</v>
      </c>
    </row>
    <row r="886" ht="11.25">
      <c r="A886" s="387">
        <f t="shared" si="19"/>
        <v>0</v>
      </c>
    </row>
    <row r="887" ht="11.25">
      <c r="A887" s="387">
        <f t="shared" si="19"/>
        <v>0</v>
      </c>
    </row>
    <row r="888" ht="11.25">
      <c r="A888" s="387">
        <f t="shared" si="19"/>
        <v>0</v>
      </c>
    </row>
    <row r="889" ht="11.25">
      <c r="A889" s="387">
        <f t="shared" si="19"/>
        <v>0</v>
      </c>
    </row>
    <row r="890" ht="11.25">
      <c r="A890" s="387">
        <f t="shared" si="19"/>
        <v>0</v>
      </c>
    </row>
    <row r="891" ht="11.25">
      <c r="A891" s="387">
        <f t="shared" si="19"/>
        <v>0</v>
      </c>
    </row>
    <row r="892" ht="11.25">
      <c r="A892" s="387">
        <f t="shared" si="19"/>
        <v>0</v>
      </c>
    </row>
    <row r="893" ht="11.25">
      <c r="A893" s="387">
        <f t="shared" si="19"/>
        <v>0</v>
      </c>
    </row>
    <row r="894" ht="11.25">
      <c r="A894" s="387">
        <f t="shared" si="19"/>
        <v>0</v>
      </c>
    </row>
    <row r="895" ht="11.25">
      <c r="A895" s="387">
        <f t="shared" si="19"/>
        <v>0</v>
      </c>
    </row>
    <row r="896" ht="11.25">
      <c r="A896" s="387">
        <f t="shared" si="19"/>
        <v>0</v>
      </c>
    </row>
    <row r="897" ht="11.25">
      <c r="A897" s="387">
        <f t="shared" si="19"/>
        <v>0</v>
      </c>
    </row>
    <row r="898" ht="11.25">
      <c r="A898" s="387">
        <f t="shared" si="19"/>
        <v>0</v>
      </c>
    </row>
    <row r="899" ht="11.25">
      <c r="A899" s="387">
        <f t="shared" si="19"/>
        <v>0</v>
      </c>
    </row>
    <row r="900" ht="11.25">
      <c r="A900" s="387">
        <f t="shared" si="19"/>
        <v>0</v>
      </c>
    </row>
    <row r="901" ht="11.25">
      <c r="A901" s="387">
        <f t="shared" si="19"/>
        <v>0</v>
      </c>
    </row>
    <row r="902" ht="11.25">
      <c r="A902" s="387">
        <f t="shared" si="19"/>
        <v>0</v>
      </c>
    </row>
    <row r="903" ht="11.25">
      <c r="A903" s="387">
        <f t="shared" si="19"/>
        <v>0</v>
      </c>
    </row>
    <row r="904" ht="11.25">
      <c r="A904" s="387">
        <f t="shared" si="19"/>
        <v>0</v>
      </c>
    </row>
    <row r="905" ht="11.25">
      <c r="A905" s="387">
        <f t="shared" si="19"/>
        <v>0</v>
      </c>
    </row>
    <row r="906" ht="11.25">
      <c r="A906" s="387">
        <f t="shared" si="19"/>
        <v>0</v>
      </c>
    </row>
    <row r="907" ht="11.25">
      <c r="A907" s="387">
        <f t="shared" si="19"/>
        <v>0</v>
      </c>
    </row>
    <row r="908" ht="11.25">
      <c r="A908" s="387">
        <f t="shared" si="19"/>
        <v>0</v>
      </c>
    </row>
    <row r="909" ht="11.25">
      <c r="A909" s="387">
        <f t="shared" si="19"/>
        <v>0</v>
      </c>
    </row>
    <row r="910" ht="11.25">
      <c r="A910" s="387">
        <f t="shared" si="19"/>
        <v>0</v>
      </c>
    </row>
    <row r="911" ht="11.25">
      <c r="A911" s="387">
        <f t="shared" si="19"/>
        <v>0</v>
      </c>
    </row>
    <row r="912" ht="11.25">
      <c r="A912" s="387">
        <f t="shared" si="19"/>
        <v>0</v>
      </c>
    </row>
    <row r="913" ht="11.25">
      <c r="A913" s="387">
        <f t="shared" si="19"/>
        <v>0</v>
      </c>
    </row>
    <row r="914" ht="11.25">
      <c r="A914" s="387">
        <f t="shared" si="19"/>
        <v>0</v>
      </c>
    </row>
    <row r="915" ht="11.25">
      <c r="A915" s="387">
        <f t="shared" si="19"/>
        <v>0</v>
      </c>
    </row>
    <row r="916" ht="11.25">
      <c r="A916" s="387">
        <f t="shared" si="19"/>
        <v>0</v>
      </c>
    </row>
    <row r="917" ht="11.25">
      <c r="A917" s="387">
        <f t="shared" si="19"/>
        <v>0</v>
      </c>
    </row>
    <row r="918" ht="11.25">
      <c r="A918" s="387">
        <f t="shared" si="19"/>
        <v>0</v>
      </c>
    </row>
    <row r="919" ht="11.25">
      <c r="A919" s="387">
        <f t="shared" si="19"/>
        <v>0</v>
      </c>
    </row>
    <row r="920" ht="11.25">
      <c r="A920" s="387">
        <f t="shared" si="19"/>
        <v>0</v>
      </c>
    </row>
    <row r="921" ht="11.25">
      <c r="A921" s="387">
        <f t="shared" si="19"/>
        <v>0</v>
      </c>
    </row>
    <row r="922" ht="11.25">
      <c r="A922" s="387">
        <f t="shared" si="19"/>
        <v>0</v>
      </c>
    </row>
    <row r="923" ht="11.25">
      <c r="A923" s="387">
        <f t="shared" si="19"/>
        <v>0</v>
      </c>
    </row>
    <row r="924" ht="11.25">
      <c r="A924" s="387">
        <f t="shared" si="19"/>
        <v>0</v>
      </c>
    </row>
    <row r="925" ht="11.25">
      <c r="A925" s="387">
        <f t="shared" si="19"/>
        <v>0</v>
      </c>
    </row>
    <row r="926" ht="11.25">
      <c r="A926" s="387">
        <f t="shared" si="19"/>
        <v>0</v>
      </c>
    </row>
    <row r="927" ht="11.25">
      <c r="A927" s="387">
        <f t="shared" si="19"/>
        <v>0</v>
      </c>
    </row>
    <row r="928" ht="11.25">
      <c r="A928" s="387">
        <f t="shared" si="19"/>
        <v>0</v>
      </c>
    </row>
    <row r="929" ht="11.25">
      <c r="A929" s="387">
        <f t="shared" si="19"/>
        <v>0</v>
      </c>
    </row>
    <row r="930" ht="11.25">
      <c r="A930" s="387">
        <f t="shared" si="19"/>
        <v>0</v>
      </c>
    </row>
    <row r="931" ht="11.25">
      <c r="A931" s="387">
        <f t="shared" si="19"/>
        <v>0</v>
      </c>
    </row>
    <row r="932" ht="11.25">
      <c r="A932" s="387">
        <f t="shared" si="19"/>
        <v>0</v>
      </c>
    </row>
    <row r="933" ht="11.25">
      <c r="A933" s="387">
        <f t="shared" si="19"/>
        <v>0</v>
      </c>
    </row>
    <row r="934" ht="11.25">
      <c r="A934" s="387">
        <f t="shared" si="19"/>
        <v>0</v>
      </c>
    </row>
    <row r="935" ht="11.25">
      <c r="A935" s="387">
        <f t="shared" si="19"/>
        <v>0</v>
      </c>
    </row>
    <row r="936" ht="11.25">
      <c r="A936" s="387">
        <f t="shared" si="19"/>
        <v>0</v>
      </c>
    </row>
    <row r="937" ht="11.25">
      <c r="A937" s="387">
        <f t="shared" si="19"/>
        <v>0</v>
      </c>
    </row>
    <row r="938" ht="11.25">
      <c r="A938" s="387">
        <f t="shared" si="19"/>
        <v>0</v>
      </c>
    </row>
    <row r="939" ht="11.25">
      <c r="A939" s="387">
        <f aca="true" t="shared" si="20" ref="A939:A957">IF($A$1=$B$1,B939,IF($A$1=$C$1,C939,IF($A$1=$D$1,D939,"N/A")))</f>
        <v>0</v>
      </c>
    </row>
    <row r="940" ht="11.25">
      <c r="A940" s="387">
        <f t="shared" si="20"/>
        <v>0</v>
      </c>
    </row>
    <row r="941" ht="11.25">
      <c r="A941" s="387">
        <f t="shared" si="20"/>
        <v>0</v>
      </c>
    </row>
    <row r="942" ht="11.25">
      <c r="A942" s="387">
        <f t="shared" si="20"/>
        <v>0</v>
      </c>
    </row>
    <row r="943" ht="11.25">
      <c r="A943" s="387">
        <f t="shared" si="20"/>
        <v>0</v>
      </c>
    </row>
    <row r="944" ht="11.25">
      <c r="A944" s="387">
        <f t="shared" si="20"/>
        <v>0</v>
      </c>
    </row>
    <row r="945" ht="11.25">
      <c r="A945" s="387">
        <f t="shared" si="20"/>
        <v>0</v>
      </c>
    </row>
    <row r="946" ht="11.25">
      <c r="A946" s="387">
        <f t="shared" si="20"/>
        <v>0</v>
      </c>
    </row>
    <row r="947" ht="11.25">
      <c r="A947" s="387">
        <f t="shared" si="20"/>
        <v>0</v>
      </c>
    </row>
    <row r="948" ht="11.25">
      <c r="A948" s="387">
        <f t="shared" si="20"/>
        <v>0</v>
      </c>
    </row>
    <row r="949" ht="11.25">
      <c r="A949" s="387">
        <f t="shared" si="20"/>
        <v>0</v>
      </c>
    </row>
    <row r="950" ht="11.25">
      <c r="A950" s="387">
        <f t="shared" si="20"/>
        <v>0</v>
      </c>
    </row>
    <row r="951" ht="11.25">
      <c r="A951" s="387">
        <f t="shared" si="20"/>
        <v>0</v>
      </c>
    </row>
    <row r="952" ht="11.25">
      <c r="A952" s="387">
        <f t="shared" si="20"/>
        <v>0</v>
      </c>
    </row>
    <row r="953" ht="11.25">
      <c r="A953" s="387">
        <f t="shared" si="20"/>
        <v>0</v>
      </c>
    </row>
    <row r="954" ht="11.25">
      <c r="A954" s="387">
        <f t="shared" si="20"/>
        <v>0</v>
      </c>
    </row>
    <row r="955" ht="11.25">
      <c r="A955" s="387">
        <f t="shared" si="20"/>
        <v>0</v>
      </c>
    </row>
    <row r="956" ht="11.25">
      <c r="A956" s="387">
        <f t="shared" si="20"/>
        <v>0</v>
      </c>
    </row>
    <row r="957" ht="11.25">
      <c r="A957" s="387">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3" customWidth="1"/>
    <col min="2" max="2" width="21.28125" style="422" customWidth="1"/>
    <col min="3" max="3" width="37.00390625" style="413" customWidth="1"/>
    <col min="4" max="4" width="35.7109375" style="413" customWidth="1"/>
    <col min="5" max="5" width="32.7109375" style="413" customWidth="1"/>
    <col min="6" max="6" width="10.00390625" style="413" customWidth="1"/>
    <col min="7" max="16384" width="9.140625" style="413" customWidth="1"/>
  </cols>
  <sheetData>
    <row r="1" spans="1:5" ht="12.75" customHeight="1">
      <c r="A1" s="411"/>
      <c r="B1" s="412" t="s">
        <v>634</v>
      </c>
      <c r="C1" s="412" t="s">
        <v>1996</v>
      </c>
      <c r="D1" s="412" t="s">
        <v>1997</v>
      </c>
      <c r="E1" s="412" t="s">
        <v>1998</v>
      </c>
    </row>
    <row r="2" spans="1:6" ht="12.75" customHeight="1">
      <c r="A2" s="413" t="str">
        <f>IF(Fld_Menu_FR="x",Codes!$D2,IF(Fld_Menu_EN="x",Codes!$C2,IF(Fld_Menu_DE="x",Codes!$E2,"N/A")))</f>
        <v>Autres pays</v>
      </c>
      <c r="B2" s="414"/>
      <c r="C2" s="415" t="s">
        <v>685</v>
      </c>
      <c r="D2" s="415" t="s">
        <v>683</v>
      </c>
      <c r="E2" s="415" t="s">
        <v>684</v>
      </c>
      <c r="F2" s="413">
        <v>0</v>
      </c>
    </row>
    <row r="3" spans="1:6" ht="12.75" customHeight="1">
      <c r="A3" s="413" t="str">
        <f>IF(Fld_Menu_FR="x",Codes!$D3,IF(Fld_Menu_EN="x",Codes!$C3,IF(Fld_Menu_DE="x",Codes!$E3,"N/A")))</f>
        <v>Belgique</v>
      </c>
      <c r="B3" s="416" t="s">
        <v>1999</v>
      </c>
      <c r="C3" s="417" t="s">
        <v>1778</v>
      </c>
      <c r="D3" s="417" t="s">
        <v>1021</v>
      </c>
      <c r="E3" s="417" t="s">
        <v>2000</v>
      </c>
      <c r="F3" s="413">
        <v>1</v>
      </c>
    </row>
    <row r="4" spans="1:6" ht="12.75" customHeight="1">
      <c r="A4" s="413" t="str">
        <f>IF(Fld_Menu_FR="x",Codes!$D4,IF(Fld_Menu_EN="x",Codes!$C4,IF(Fld_Menu_DE="x",Codes!$E4,"N/A")))</f>
        <v>Danemark</v>
      </c>
      <c r="B4" s="416" t="s">
        <v>2001</v>
      </c>
      <c r="C4" s="417" t="s">
        <v>2002</v>
      </c>
      <c r="D4" s="417" t="s">
        <v>349</v>
      </c>
      <c r="E4" s="417" t="s">
        <v>681</v>
      </c>
      <c r="F4" s="413">
        <v>2</v>
      </c>
    </row>
    <row r="5" spans="1:6" ht="12.75" customHeight="1">
      <c r="A5" s="418" t="str">
        <f>IF(Fld_Menu_FR="x",Codes!$D5,IF(Fld_Menu_EN="x",Codes!$C5,IF(Fld_Menu_DE="x",Codes!$E5,"N/A")))</f>
        <v>Allemagne</v>
      </c>
      <c r="B5" s="416" t="s">
        <v>2003</v>
      </c>
      <c r="C5" s="417" t="s">
        <v>2004</v>
      </c>
      <c r="D5" s="417" t="s">
        <v>2005</v>
      </c>
      <c r="E5" s="417" t="s">
        <v>680</v>
      </c>
      <c r="F5" s="413">
        <v>3</v>
      </c>
    </row>
    <row r="6" spans="1:6" ht="12.75" customHeight="1">
      <c r="A6" s="413" t="str">
        <f>IF(Fld_Menu_FR="x",Codes!$D6,IF(Fld_Menu_EN="x",Codes!$C6,IF(Fld_Menu_DE="x",Codes!$E6,"N/A")))</f>
        <v>Grèce</v>
      </c>
      <c r="B6" s="416" t="s">
        <v>2006</v>
      </c>
      <c r="C6" s="417" t="s">
        <v>2007</v>
      </c>
      <c r="D6" s="417" t="s">
        <v>195</v>
      </c>
      <c r="E6" s="417" t="s">
        <v>2008</v>
      </c>
      <c r="F6" s="413">
        <v>4</v>
      </c>
    </row>
    <row r="7" spans="1:6" ht="12.75" customHeight="1">
      <c r="A7" s="413" t="str">
        <f>IF(Fld_Menu_FR="x",Codes!$D7,IF(Fld_Menu_EN="x",Codes!$C7,IF(Fld_Menu_DE="x",Codes!$E7,"N/A")))</f>
        <v>Espagne</v>
      </c>
      <c r="B7" s="416" t="s">
        <v>2009</v>
      </c>
      <c r="C7" s="417" t="s">
        <v>2010</v>
      </c>
      <c r="D7" s="417" t="s">
        <v>2011</v>
      </c>
      <c r="E7" s="417" t="s">
        <v>837</v>
      </c>
      <c r="F7" s="413">
        <v>5</v>
      </c>
    </row>
    <row r="8" spans="1:6" ht="12.75" customHeight="1">
      <c r="A8" s="413" t="str">
        <f>IF(Fld_Menu_FR="x",Codes!$D8,IF(Fld_Menu_EN="x",Codes!$C8,IF(Fld_Menu_DE="x",Codes!$E8,"N/A")))</f>
        <v>France</v>
      </c>
      <c r="B8" s="416" t="s">
        <v>823</v>
      </c>
      <c r="C8" s="417" t="s">
        <v>838</v>
      </c>
      <c r="D8" s="417" t="s">
        <v>838</v>
      </c>
      <c r="E8" s="417" t="s">
        <v>839</v>
      </c>
      <c r="F8" s="413">
        <v>6</v>
      </c>
    </row>
    <row r="9" spans="1:6" ht="12.75" customHeight="1">
      <c r="A9" s="413" t="str">
        <f>IF(Fld_Menu_FR="x",Codes!$D9,IF(Fld_Menu_EN="x",Codes!$C9,IF(Fld_Menu_DE="x",Codes!$E9,"N/A")))</f>
        <v>Irlande</v>
      </c>
      <c r="B9" s="416" t="s">
        <v>840</v>
      </c>
      <c r="C9" s="417" t="s">
        <v>841</v>
      </c>
      <c r="D9" s="417" t="s">
        <v>842</v>
      </c>
      <c r="E9" s="417" t="s">
        <v>843</v>
      </c>
      <c r="F9" s="413">
        <v>7</v>
      </c>
    </row>
    <row r="10" spans="1:6" ht="12.75" customHeight="1">
      <c r="A10" s="413" t="str">
        <f>IF(Fld_Menu_FR="x",Codes!$D10,IF(Fld_Menu_EN="x",Codes!$C10,IF(Fld_Menu_DE="x",Codes!$E10,"N/A")))</f>
        <v>Italie</v>
      </c>
      <c r="B10" s="416" t="s">
        <v>844</v>
      </c>
      <c r="C10" s="417" t="s">
        <v>845</v>
      </c>
      <c r="D10" s="417" t="s">
        <v>846</v>
      </c>
      <c r="E10" s="417" t="s">
        <v>486</v>
      </c>
      <c r="F10" s="413">
        <v>8</v>
      </c>
    </row>
    <row r="11" spans="1:6" ht="12.75" customHeight="1">
      <c r="A11" s="413" t="str">
        <f>IF(Fld_Menu_FR="x",Codes!$D11,IF(Fld_Menu_EN="x",Codes!$C11,IF(Fld_Menu_DE="x",Codes!$E11,"N/A")))</f>
        <v>Luxembourg</v>
      </c>
      <c r="B11" s="416" t="s">
        <v>487</v>
      </c>
      <c r="C11" s="417" t="s">
        <v>488</v>
      </c>
      <c r="D11" s="417" t="s">
        <v>488</v>
      </c>
      <c r="E11" s="417" t="s">
        <v>489</v>
      </c>
      <c r="F11" s="413">
        <v>9</v>
      </c>
    </row>
    <row r="12" spans="1:6" ht="12.75" customHeight="1">
      <c r="A12" s="413" t="str">
        <f>IF(Fld_Menu_FR="x",Codes!$D12,IF(Fld_Menu_EN="x",Codes!$C12,IF(Fld_Menu_DE="x",Codes!$E12,"N/A")))</f>
        <v>Pays-Bas</v>
      </c>
      <c r="B12" s="416" t="s">
        <v>490</v>
      </c>
      <c r="C12" s="417" t="s">
        <v>491</v>
      </c>
      <c r="D12" s="417" t="s">
        <v>492</v>
      </c>
      <c r="E12" s="417" t="s">
        <v>493</v>
      </c>
      <c r="F12" s="413">
        <v>10</v>
      </c>
    </row>
    <row r="13" spans="1:6" ht="12.75" customHeight="1">
      <c r="A13" s="413" t="str">
        <f>IF(Fld_Menu_FR="x",Codes!$D13,IF(Fld_Menu_EN="x",Codes!$C13,IF(Fld_Menu_DE="x",Codes!$E13,"N/A")))</f>
        <v>Autriche</v>
      </c>
      <c r="B13" s="416" t="s">
        <v>494</v>
      </c>
      <c r="C13" s="417" t="s">
        <v>495</v>
      </c>
      <c r="D13" s="417" t="s">
        <v>496</v>
      </c>
      <c r="E13" s="417" t="s">
        <v>679</v>
      </c>
      <c r="F13" s="413">
        <v>11</v>
      </c>
    </row>
    <row r="14" spans="1:6" ht="12.75" customHeight="1">
      <c r="A14" s="413" t="str">
        <f>IF(Fld_Menu_FR="x",Codes!$D14,IF(Fld_Menu_EN="x",Codes!$C14,IF(Fld_Menu_DE="x",Codes!$E14,"N/A")))</f>
        <v>Portugal</v>
      </c>
      <c r="B14" s="416" t="s">
        <v>497</v>
      </c>
      <c r="C14" s="417" t="s">
        <v>498</v>
      </c>
      <c r="D14" s="417" t="s">
        <v>498</v>
      </c>
      <c r="E14" s="417" t="s">
        <v>498</v>
      </c>
      <c r="F14" s="413">
        <v>12</v>
      </c>
    </row>
    <row r="15" spans="1:6" ht="12.75" customHeight="1">
      <c r="A15" s="413" t="str">
        <f>IF(Fld_Menu_FR="x",Codes!$D15,IF(Fld_Menu_EN="x",Codes!$C15,IF(Fld_Menu_DE="x",Codes!$E15,"N/A")))</f>
        <v>Finlande</v>
      </c>
      <c r="B15" s="416" t="s">
        <v>499</v>
      </c>
      <c r="C15" s="417" t="s">
        <v>500</v>
      </c>
      <c r="D15" s="417" t="s">
        <v>501</v>
      </c>
      <c r="E15" s="417" t="s">
        <v>502</v>
      </c>
      <c r="F15" s="413">
        <v>13</v>
      </c>
    </row>
    <row r="16" spans="1:6" ht="12.75" customHeight="1">
      <c r="A16" s="413" t="str">
        <f>IF(Fld_Menu_FR="x",Codes!$D16,IF(Fld_Menu_EN="x",Codes!$C16,IF(Fld_Menu_DE="x",Codes!$E16,"N/A")))</f>
        <v>Suède</v>
      </c>
      <c r="B16" s="416" t="s">
        <v>503</v>
      </c>
      <c r="C16" s="417" t="s">
        <v>504</v>
      </c>
      <c r="D16" s="417" t="s">
        <v>505</v>
      </c>
      <c r="E16" s="417" t="s">
        <v>506</v>
      </c>
      <c r="F16" s="413">
        <v>14</v>
      </c>
    </row>
    <row r="17" spans="1:6" ht="12.75" customHeight="1">
      <c r="A17" s="413" t="str">
        <f>IF(Fld_Menu_FR="x",Codes!$D17,IF(Fld_Menu_EN="x",Codes!$C17,IF(Fld_Menu_DE="x",Codes!$E17,"N/A")))</f>
        <v>Royaume Uni</v>
      </c>
      <c r="B17" s="416" t="s">
        <v>507</v>
      </c>
      <c r="C17" s="417" t="s">
        <v>508</v>
      </c>
      <c r="D17" s="417" t="s">
        <v>509</v>
      </c>
      <c r="E17" s="417" t="s">
        <v>682</v>
      </c>
      <c r="F17" s="413">
        <v>15</v>
      </c>
    </row>
    <row r="18" spans="1:6" ht="12.75" customHeight="1">
      <c r="A18" s="413" t="str">
        <f>IF(Fld_Menu_FR="x",Codes!$D18,IF(Fld_Menu_EN="x",Codes!$C18,IF(Fld_Menu_DE="x",Codes!$E18,"N/A")))</f>
        <v>Suisse</v>
      </c>
      <c r="B18" s="416" t="s">
        <v>40</v>
      </c>
      <c r="C18" s="417" t="s">
        <v>41</v>
      </c>
      <c r="D18" s="417" t="s">
        <v>42</v>
      </c>
      <c r="E18" s="417" t="s">
        <v>43</v>
      </c>
      <c r="F18" s="413">
        <v>20</v>
      </c>
    </row>
    <row r="19" spans="1:6" ht="12.75" customHeight="1">
      <c r="A19" s="413" t="str">
        <f>IF(Fld_Menu_FR="x",Codes!$D19,IF(Fld_Menu_EN="x",Codes!$C19,IF(Fld_Menu_DE="x",Codes!$E19,"N/A")))</f>
        <v>Norvège</v>
      </c>
      <c r="B19" s="416" t="s">
        <v>746</v>
      </c>
      <c r="C19" s="417" t="s">
        <v>747</v>
      </c>
      <c r="D19" s="417" t="s">
        <v>748</v>
      </c>
      <c r="E19" s="417" t="s">
        <v>749</v>
      </c>
      <c r="F19" s="413">
        <v>21</v>
      </c>
    </row>
    <row r="20" spans="1:6" ht="12.75" customHeight="1">
      <c r="A20" s="413" t="str">
        <f>IF(Fld_Menu_FR="x",Codes!$D20,IF(Fld_Menu_EN="x",Codes!$C20,IF(Fld_Menu_DE="x",Codes!$E20,"N/A")))</f>
        <v>Islande</v>
      </c>
      <c r="B20" s="416" t="s">
        <v>1107</v>
      </c>
      <c r="C20" s="417" t="s">
        <v>1108</v>
      </c>
      <c r="D20" s="417" t="s">
        <v>1109</v>
      </c>
      <c r="E20" s="417" t="s">
        <v>1110</v>
      </c>
      <c r="F20" s="413">
        <v>22</v>
      </c>
    </row>
    <row r="21" spans="1:6" ht="12.75" customHeight="1">
      <c r="A21" s="413" t="str">
        <f>IF(Fld_Menu_FR="x",Codes!$D21,IF(Fld_Menu_EN="x",Codes!$C21,IF(Fld_Menu_DE="x",Codes!$E21,"N/A")))</f>
        <v>Chypre</v>
      </c>
      <c r="B21" s="416" t="s">
        <v>73</v>
      </c>
      <c r="C21" s="417" t="s">
        <v>74</v>
      </c>
      <c r="D21" s="417" t="s">
        <v>75</v>
      </c>
      <c r="E21" s="417" t="s">
        <v>76</v>
      </c>
      <c r="F21" s="413">
        <v>23</v>
      </c>
    </row>
    <row r="22" spans="1:6" ht="12.75" customHeight="1">
      <c r="A22" s="413" t="str">
        <f>IF(Fld_Menu_FR="x",Codes!$D22,IF(Fld_Menu_EN="x",Codes!$C22,IF(Fld_Menu_DE="x",Codes!$E22,"N/A")))</f>
        <v>Hongrie</v>
      </c>
      <c r="B22" s="416" t="s">
        <v>1088</v>
      </c>
      <c r="C22" s="417" t="s">
        <v>1089</v>
      </c>
      <c r="D22" s="417" t="s">
        <v>1090</v>
      </c>
      <c r="E22" s="417" t="s">
        <v>1091</v>
      </c>
      <c r="F22" s="413">
        <v>24</v>
      </c>
    </row>
    <row r="23" spans="1:6" ht="12.75" customHeight="1">
      <c r="A23" s="413" t="str">
        <f>IF(Fld_Menu_FR="x",Codes!$D23,IF(Fld_Menu_EN="x",Codes!$C23,IF(Fld_Menu_DE="x",Codes!$E23,"N/A")))</f>
        <v>Slovénie</v>
      </c>
      <c r="B23" s="416" t="s">
        <v>1216</v>
      </c>
      <c r="C23" s="417" t="s">
        <v>1217</v>
      </c>
      <c r="D23" s="417" t="s">
        <v>1218</v>
      </c>
      <c r="E23" s="417" t="s">
        <v>1219</v>
      </c>
      <c r="F23" s="413">
        <v>25</v>
      </c>
    </row>
    <row r="24" spans="1:6" ht="12.75" customHeight="1">
      <c r="A24" s="413" t="str">
        <f>IF(Fld_Menu_FR="x",Codes!$D24,IF(Fld_Menu_EN="x",Codes!$C24,IF(Fld_Menu_DE="x",Codes!$E24,"N/A")))</f>
        <v>Tchécoslovaquie</v>
      </c>
      <c r="B24" s="416" t="s">
        <v>77</v>
      </c>
      <c r="C24" s="417" t="s">
        <v>1323</v>
      </c>
      <c r="D24" s="417" t="s">
        <v>78</v>
      </c>
      <c r="E24" s="417" t="s">
        <v>1459</v>
      </c>
      <c r="F24" s="413">
        <v>26</v>
      </c>
    </row>
    <row r="25" spans="1:6" ht="12.75" customHeight="1">
      <c r="A25" s="413" t="str">
        <f>IF(Fld_Menu_FR="x",Codes!$D25,IF(Fld_Menu_EN="x",Codes!$C25,IF(Fld_Menu_DE="x",Codes!$E25,"N/A")))</f>
        <v>Estonie</v>
      </c>
      <c r="B25" s="416" t="s">
        <v>92</v>
      </c>
      <c r="C25" s="417" t="s">
        <v>93</v>
      </c>
      <c r="D25" s="417" t="s">
        <v>94</v>
      </c>
      <c r="E25" s="417" t="s">
        <v>95</v>
      </c>
      <c r="F25" s="413">
        <v>27</v>
      </c>
    </row>
    <row r="26" spans="1:6" ht="12.75" customHeight="1">
      <c r="A26" s="413" t="str">
        <f>IF(Fld_Menu_FR="x",Codes!$D26,IF(Fld_Menu_EN="x",Codes!$C26,IF(Fld_Menu_DE="x",Codes!$E26,"N/A")))</f>
        <v>Lettonie</v>
      </c>
      <c r="B26" s="416" t="s">
        <v>2073</v>
      </c>
      <c r="C26" s="417" t="s">
        <v>628</v>
      </c>
      <c r="D26" s="417" t="s">
        <v>629</v>
      </c>
      <c r="E26" s="417" t="s">
        <v>630</v>
      </c>
      <c r="F26" s="413">
        <v>28</v>
      </c>
    </row>
    <row r="27" spans="1:6" ht="12.75" customHeight="1">
      <c r="A27" s="413" t="str">
        <f>IF(Fld_Menu_FR="x",Codes!$D27,IF(Fld_Menu_EN="x",Codes!$C27,IF(Fld_Menu_DE="x",Codes!$E27,"N/A")))</f>
        <v>Lithuanie</v>
      </c>
      <c r="B27" s="416" t="s">
        <v>2069</v>
      </c>
      <c r="C27" s="417" t="s">
        <v>2070</v>
      </c>
      <c r="D27" s="417" t="s">
        <v>2071</v>
      </c>
      <c r="E27" s="417" t="s">
        <v>2072</v>
      </c>
      <c r="F27" s="413">
        <v>29</v>
      </c>
    </row>
    <row r="28" spans="1:6" ht="12.75" customHeight="1">
      <c r="A28" s="413" t="str">
        <f>IF(Fld_Menu_FR="x",Codes!$D28,IF(Fld_Menu_EN="x",Codes!$C28,IF(Fld_Menu_DE="x",Codes!$E28,"N/A")))</f>
        <v>Malte</v>
      </c>
      <c r="B28" s="416" t="s">
        <v>709</v>
      </c>
      <c r="C28" s="417" t="s">
        <v>710</v>
      </c>
      <c r="D28" s="417" t="s">
        <v>711</v>
      </c>
      <c r="E28" s="417" t="s">
        <v>710</v>
      </c>
      <c r="F28" s="413">
        <v>30</v>
      </c>
    </row>
    <row r="29" spans="1:6" ht="12.75" customHeight="1">
      <c r="A29" s="413" t="str">
        <f>IF(Fld_Menu_FR="x",Codes!$D29,IF(Fld_Menu_EN="x",Codes!$C29,IF(Fld_Menu_DE="x",Codes!$E29,"N/A")))</f>
        <v>Roumanie</v>
      </c>
      <c r="B29" s="416" t="s">
        <v>1186</v>
      </c>
      <c r="C29" s="417" t="s">
        <v>1187</v>
      </c>
      <c r="D29" s="417" t="s">
        <v>1188</v>
      </c>
      <c r="E29" s="417" t="s">
        <v>1189</v>
      </c>
      <c r="F29" s="413">
        <v>31</v>
      </c>
    </row>
    <row r="30" spans="1:6" ht="12.75" customHeight="1">
      <c r="A30" s="413" t="str">
        <f>IF(Fld_Menu_FR="x",Codes!$D30,IF(Fld_Menu_EN="x",Codes!$C30,IF(Fld_Menu_DE="x",Codes!$E30,"N/A")))</f>
        <v>Slovakie</v>
      </c>
      <c r="B30" s="416" t="s">
        <v>1222</v>
      </c>
      <c r="C30" s="417" t="s">
        <v>1444</v>
      </c>
      <c r="D30" s="417" t="s">
        <v>1223</v>
      </c>
      <c r="E30" s="417" t="s">
        <v>1224</v>
      </c>
      <c r="F30" s="413">
        <v>32</v>
      </c>
    </row>
    <row r="31" spans="1:6" ht="12.75" customHeight="1">
      <c r="A31" s="413" t="str">
        <f>IF(Fld_Menu_FR="x",Codes!$D31,IF(Fld_Menu_EN="x",Codes!$C31,IF(Fld_Menu_DE="x",Codes!$E31,"N/A")))</f>
        <v>Turquie</v>
      </c>
      <c r="B31" s="416" t="s">
        <v>1035</v>
      </c>
      <c r="C31" s="417" t="s">
        <v>1036</v>
      </c>
      <c r="D31" s="417" t="s">
        <v>1037</v>
      </c>
      <c r="E31" s="417" t="s">
        <v>458</v>
      </c>
      <c r="F31" s="413">
        <v>33</v>
      </c>
    </row>
    <row r="32" spans="1:6" ht="12.75" customHeight="1">
      <c r="A32" s="413" t="str">
        <f>IF(Fld_Menu_FR="x",Codes!$D32,IF(Fld_Menu_EN="x",Codes!$C32,IF(Fld_Menu_DE="x",Codes!$E32,"N/A")))</f>
        <v>Bulgarie</v>
      </c>
      <c r="B32" s="416" t="s">
        <v>289</v>
      </c>
      <c r="C32" s="417" t="s">
        <v>290</v>
      </c>
      <c r="D32" s="417" t="s">
        <v>291</v>
      </c>
      <c r="E32" s="417" t="s">
        <v>292</v>
      </c>
      <c r="F32" s="413">
        <v>34</v>
      </c>
    </row>
    <row r="33" spans="1:6" ht="12.75" customHeight="1">
      <c r="A33" s="413" t="str">
        <f>IF(Fld_Menu_FR="x",Codes!$D33,IF(Fld_Menu_EN="x",Codes!$C33,IF(Fld_Menu_DE="x",Codes!$E33,"N/A")))</f>
        <v>Pologne</v>
      </c>
      <c r="B33" s="416" t="s">
        <v>1605</v>
      </c>
      <c r="C33" s="417" t="s">
        <v>1606</v>
      </c>
      <c r="D33" s="417" t="s">
        <v>1607</v>
      </c>
      <c r="E33" s="417" t="s">
        <v>1608</v>
      </c>
      <c r="F33" s="413">
        <v>35</v>
      </c>
    </row>
    <row r="34" spans="1:6" ht="12.75" customHeight="1">
      <c r="A34" s="413" t="str">
        <f>IF(Fld_Menu_FR="x",Codes!$D34,IF(Fld_Menu_EN="x",Codes!$C34,IF(Fld_Menu_DE="x",Codes!$E34,"N/A")))</f>
        <v>Andorre</v>
      </c>
      <c r="B34" s="416" t="s">
        <v>510</v>
      </c>
      <c r="C34" s="417" t="s">
        <v>511</v>
      </c>
      <c r="D34" s="417" t="s">
        <v>512</v>
      </c>
      <c r="E34" s="417" t="s">
        <v>511</v>
      </c>
      <c r="F34" s="413">
        <v>50</v>
      </c>
    </row>
    <row r="35" spans="1:6" ht="12.75" customHeight="1">
      <c r="A35" s="413" t="str">
        <f>IF(Fld_Menu_FR="x",Codes!$D35,IF(Fld_Menu_EN="x",Codes!$C35,IF(Fld_Menu_DE="x",Codes!$E35,"N/A")))</f>
        <v>Emirats Arabes Unis</v>
      </c>
      <c r="B35" s="416" t="s">
        <v>513</v>
      </c>
      <c r="C35" s="417" t="s">
        <v>1318</v>
      </c>
      <c r="D35" s="417" t="s">
        <v>426</v>
      </c>
      <c r="E35" s="417" t="s">
        <v>1455</v>
      </c>
      <c r="F35" s="413">
        <v>51</v>
      </c>
    </row>
    <row r="36" spans="1:6" ht="12.75" customHeight="1">
      <c r="A36" s="413" t="str">
        <f>IF(Fld_Menu_FR="x",Codes!$D36,IF(Fld_Menu_EN="x",Codes!$C36,IF(Fld_Menu_DE="x",Codes!$E36,"N/A")))</f>
        <v>Afghanistan</v>
      </c>
      <c r="B36" s="416" t="s">
        <v>514</v>
      </c>
      <c r="C36" s="417" t="s">
        <v>515</v>
      </c>
      <c r="D36" s="417" t="s">
        <v>515</v>
      </c>
      <c r="E36" s="417" t="s">
        <v>515</v>
      </c>
      <c r="F36" s="413">
        <v>52</v>
      </c>
    </row>
    <row r="37" spans="1:6" ht="12.75" customHeight="1">
      <c r="A37" s="413" t="str">
        <f>IF(Fld_Menu_FR="x",Codes!$D37,IF(Fld_Menu_EN="x",Codes!$C37,IF(Fld_Menu_DE="x",Codes!$E37,"N/A")))</f>
        <v>Antigua et Barbuda (Antilles)</v>
      </c>
      <c r="B37" s="416" t="s">
        <v>516</v>
      </c>
      <c r="C37" s="417" t="s">
        <v>102</v>
      </c>
      <c r="D37" s="417" t="s">
        <v>517</v>
      </c>
      <c r="E37" s="417" t="s">
        <v>518</v>
      </c>
      <c r="F37" s="413">
        <v>53</v>
      </c>
    </row>
    <row r="38" spans="1:6" ht="12.75" customHeight="1">
      <c r="A38" s="413" t="str">
        <f>IF(Fld_Menu_FR="x",Codes!$D38,IF(Fld_Menu_EN="x",Codes!$C38,IF(Fld_Menu_DE="x",Codes!$E38,"N/A")))</f>
        <v>Anguilla</v>
      </c>
      <c r="B38" s="416" t="s">
        <v>519</v>
      </c>
      <c r="C38" s="417" t="s">
        <v>520</v>
      </c>
      <c r="D38" s="417" t="s">
        <v>520</v>
      </c>
      <c r="E38" s="417" t="s">
        <v>520</v>
      </c>
      <c r="F38" s="413">
        <v>54</v>
      </c>
    </row>
    <row r="39" spans="1:6" ht="12.75" customHeight="1">
      <c r="A39" s="413" t="str">
        <f>IF(Fld_Menu_FR="x",Codes!$D39,IF(Fld_Menu_EN="x",Codes!$C39,IF(Fld_Menu_DE="x",Codes!$E39,"N/A")))</f>
        <v>Albanie</v>
      </c>
      <c r="B39" s="416" t="s">
        <v>521</v>
      </c>
      <c r="C39" s="417" t="s">
        <v>522</v>
      </c>
      <c r="D39" s="417" t="s">
        <v>248</v>
      </c>
      <c r="E39" s="417" t="s">
        <v>249</v>
      </c>
      <c r="F39" s="413">
        <v>55</v>
      </c>
    </row>
    <row r="40" spans="1:6" ht="12.75" customHeight="1">
      <c r="A40" s="413" t="str">
        <f>IF(Fld_Menu_FR="x",Codes!$D40,IF(Fld_Menu_EN="x",Codes!$C40,IF(Fld_Menu_DE="x",Codes!$E40,"N/A")))</f>
        <v>Arménie</v>
      </c>
      <c r="B40" s="416" t="s">
        <v>250</v>
      </c>
      <c r="C40" s="417" t="s">
        <v>251</v>
      </c>
      <c r="D40" s="417" t="s">
        <v>252</v>
      </c>
      <c r="E40" s="417" t="s">
        <v>253</v>
      </c>
      <c r="F40" s="413">
        <v>56</v>
      </c>
    </row>
    <row r="41" spans="1:6" ht="12.75" customHeight="1">
      <c r="A41" s="413" t="str">
        <f>IF(Fld_Menu_FR="x",Codes!$D41,IF(Fld_Menu_EN="x",Codes!$C41,IF(Fld_Menu_DE="x",Codes!$E41,"N/A")))</f>
        <v>Antilles Néerlandaises</v>
      </c>
      <c r="B41" s="416" t="s">
        <v>254</v>
      </c>
      <c r="C41" s="417" t="s">
        <v>1317</v>
      </c>
      <c r="D41" s="417" t="s">
        <v>425</v>
      </c>
      <c r="E41" s="417" t="s">
        <v>255</v>
      </c>
      <c r="F41" s="413">
        <v>57</v>
      </c>
    </row>
    <row r="42" spans="1:6" ht="12.75" customHeight="1">
      <c r="A42" s="413" t="str">
        <f>IF(Fld_Menu_FR="x",Codes!$D42,IF(Fld_Menu_EN="x",Codes!$C42,IF(Fld_Menu_DE="x",Codes!$E42,"N/A")))</f>
        <v>Angola</v>
      </c>
      <c r="B42" s="416" t="s">
        <v>256</v>
      </c>
      <c r="C42" s="417" t="s">
        <v>257</v>
      </c>
      <c r="D42" s="417" t="s">
        <v>257</v>
      </c>
      <c r="E42" s="417" t="s">
        <v>257</v>
      </c>
      <c r="F42" s="413">
        <v>58</v>
      </c>
    </row>
    <row r="43" spans="1:6" ht="12.75" customHeight="1">
      <c r="A43" s="413" t="str">
        <f>IF(Fld_Menu_FR="x",Codes!$D43,IF(Fld_Menu_EN="x",Codes!$C43,IF(Fld_Menu_DE="x",Codes!$E43,"N/A")))</f>
        <v>Antartique</v>
      </c>
      <c r="B43" s="416" t="s">
        <v>258</v>
      </c>
      <c r="C43" s="417" t="s">
        <v>259</v>
      </c>
      <c r="D43" s="417" t="s">
        <v>260</v>
      </c>
      <c r="E43" s="417" t="s">
        <v>261</v>
      </c>
      <c r="F43" s="413">
        <v>59</v>
      </c>
    </row>
    <row r="44" spans="1:6" ht="12.75" customHeight="1">
      <c r="A44" s="413" t="str">
        <f>IF(Fld_Menu_FR="x",Codes!$D44,IF(Fld_Menu_EN="x",Codes!$C44,IF(Fld_Menu_DE="x",Codes!$E44,"N/A")))</f>
        <v>Argentine</v>
      </c>
      <c r="B44" s="416" t="s">
        <v>262</v>
      </c>
      <c r="C44" s="417" t="s">
        <v>263</v>
      </c>
      <c r="D44" s="417" t="s">
        <v>264</v>
      </c>
      <c r="E44" s="417" t="s">
        <v>265</v>
      </c>
      <c r="F44" s="413">
        <v>60</v>
      </c>
    </row>
    <row r="45" spans="1:6" ht="12.75" customHeight="1">
      <c r="A45" s="413" t="str">
        <f>IF(Fld_Menu_FR="x",Codes!$D45,IF(Fld_Menu_EN="x",Codes!$C45,IF(Fld_Menu_DE="x",Codes!$E45,"N/A")))</f>
        <v>Iles Samoa</v>
      </c>
      <c r="B45" s="416" t="s">
        <v>266</v>
      </c>
      <c r="C45" s="417" t="s">
        <v>267</v>
      </c>
      <c r="D45" s="417" t="s">
        <v>268</v>
      </c>
      <c r="E45" s="417" t="s">
        <v>1456</v>
      </c>
      <c r="F45" s="413">
        <v>61</v>
      </c>
    </row>
    <row r="46" spans="1:6" ht="12.75" customHeight="1">
      <c r="A46" s="413" t="str">
        <f>IF(Fld_Menu_FR="x",Codes!$D46,IF(Fld_Menu_EN="x",Codes!$C46,IF(Fld_Menu_DE="x",Codes!$E46,"N/A")))</f>
        <v>Australie</v>
      </c>
      <c r="B46" s="416" t="s">
        <v>269</v>
      </c>
      <c r="C46" s="417" t="s">
        <v>270</v>
      </c>
      <c r="D46" s="417" t="s">
        <v>271</v>
      </c>
      <c r="E46" s="417" t="s">
        <v>272</v>
      </c>
      <c r="F46" s="413">
        <v>62</v>
      </c>
    </row>
    <row r="47" spans="1:6" ht="12.75" customHeight="1">
      <c r="A47" s="413" t="str">
        <f>IF(Fld_Menu_FR="x",Codes!$D47,IF(Fld_Menu_EN="x",Codes!$C47,IF(Fld_Menu_DE="x",Codes!$E47,"N/A")))</f>
        <v>Aruba</v>
      </c>
      <c r="B47" s="416" t="s">
        <v>273</v>
      </c>
      <c r="C47" s="417" t="s">
        <v>274</v>
      </c>
      <c r="D47" s="417" t="s">
        <v>274</v>
      </c>
      <c r="E47" s="417" t="s">
        <v>274</v>
      </c>
      <c r="F47" s="413">
        <v>63</v>
      </c>
    </row>
    <row r="48" spans="1:6" ht="12.75" customHeight="1">
      <c r="A48" s="413" t="str">
        <f>IF(Fld_Menu_FR="x",Codes!$D48,IF(Fld_Menu_EN="x",Codes!$C48,IF(Fld_Menu_DE="x",Codes!$E48,"N/A")))</f>
        <v>Azerbaïdjan</v>
      </c>
      <c r="B48" s="416" t="s">
        <v>275</v>
      </c>
      <c r="C48" s="417" t="s">
        <v>276</v>
      </c>
      <c r="D48" s="417" t="s">
        <v>277</v>
      </c>
      <c r="E48" s="417" t="s">
        <v>276</v>
      </c>
      <c r="F48" s="413">
        <v>64</v>
      </c>
    </row>
    <row r="49" spans="1:6" ht="12.75" customHeight="1">
      <c r="A49" s="413" t="str">
        <f>IF(Fld_Menu_FR="x",Codes!$D49,IF(Fld_Menu_EN="x",Codes!$C49,IF(Fld_Menu_DE="x",Codes!$E49,"N/A")))</f>
        <v>Bosnie Herzégovine</v>
      </c>
      <c r="B49" s="416" t="s">
        <v>278</v>
      </c>
      <c r="C49" s="417" t="s">
        <v>279</v>
      </c>
      <c r="D49" s="417" t="s">
        <v>280</v>
      </c>
      <c r="E49" s="417" t="s">
        <v>281</v>
      </c>
      <c r="F49" s="413">
        <v>65</v>
      </c>
    </row>
    <row r="50" spans="1:6" ht="12.75" customHeight="1">
      <c r="A50" s="413" t="str">
        <f>IF(Fld_Menu_FR="x",Codes!$D50,IF(Fld_Menu_EN="x",Codes!$C50,IF(Fld_Menu_DE="x",Codes!$E50,"N/A")))</f>
        <v>Barbades</v>
      </c>
      <c r="B50" s="416" t="s">
        <v>282</v>
      </c>
      <c r="C50" s="417" t="s">
        <v>283</v>
      </c>
      <c r="D50" s="417" t="s">
        <v>284</v>
      </c>
      <c r="E50" s="417" t="s">
        <v>283</v>
      </c>
      <c r="F50" s="413">
        <v>66</v>
      </c>
    </row>
    <row r="51" spans="1:6" ht="12.75" customHeight="1">
      <c r="A51" s="413" t="str">
        <f>IF(Fld_Menu_FR="x",Codes!$D51,IF(Fld_Menu_EN="x",Codes!$C51,IF(Fld_Menu_DE="x",Codes!$E51,"N/A")))</f>
        <v>Bangladesh</v>
      </c>
      <c r="B51" s="416" t="s">
        <v>285</v>
      </c>
      <c r="C51" s="417" t="s">
        <v>286</v>
      </c>
      <c r="D51" s="417" t="s">
        <v>286</v>
      </c>
      <c r="E51" s="417" t="s">
        <v>286</v>
      </c>
      <c r="F51" s="413">
        <v>67</v>
      </c>
    </row>
    <row r="52" spans="1:6" ht="12.75" customHeight="1">
      <c r="A52" s="413" t="str">
        <f>IF(Fld_Menu_FR="x",Codes!$D52,IF(Fld_Menu_EN="x",Codes!$C52,IF(Fld_Menu_DE="x",Codes!$E52,"N/A")))</f>
        <v>Burkina Faso</v>
      </c>
      <c r="B52" s="416" t="s">
        <v>287</v>
      </c>
      <c r="C52" s="417" t="s">
        <v>288</v>
      </c>
      <c r="D52" s="417" t="s">
        <v>288</v>
      </c>
      <c r="E52" s="417" t="s">
        <v>288</v>
      </c>
      <c r="F52" s="413">
        <v>68</v>
      </c>
    </row>
    <row r="53" spans="1:6" ht="12.75" customHeight="1">
      <c r="A53" s="413" t="str">
        <f>IF(Fld_Menu_FR="x",Codes!$D53,IF(Fld_Menu_EN="x",Codes!$C53,IF(Fld_Menu_DE="x",Codes!$E53,"N/A")))</f>
        <v>Etat de Bahrein</v>
      </c>
      <c r="B53" s="416" t="s">
        <v>293</v>
      </c>
      <c r="C53" s="417" t="s">
        <v>294</v>
      </c>
      <c r="D53" s="417" t="s">
        <v>295</v>
      </c>
      <c r="E53" s="417" t="s">
        <v>296</v>
      </c>
      <c r="F53" s="413">
        <v>70</v>
      </c>
    </row>
    <row r="54" spans="1:6" ht="12.75" customHeight="1">
      <c r="A54" s="413" t="str">
        <f>IF(Fld_Menu_FR="x",Codes!$D54,IF(Fld_Menu_EN="x",Codes!$C54,IF(Fld_Menu_DE="x",Codes!$E54,"N/A")))</f>
        <v>Burundi</v>
      </c>
      <c r="B54" s="416" t="s">
        <v>297</v>
      </c>
      <c r="C54" s="417" t="s">
        <v>298</v>
      </c>
      <c r="D54" s="417" t="s">
        <v>298</v>
      </c>
      <c r="E54" s="417" t="s">
        <v>298</v>
      </c>
      <c r="F54" s="413">
        <v>71</v>
      </c>
    </row>
    <row r="55" spans="1:6" ht="12.75" customHeight="1">
      <c r="A55" s="413" t="str">
        <f>IF(Fld_Menu_FR="x",Codes!$D55,IF(Fld_Menu_EN="x",Codes!$C55,IF(Fld_Menu_DE="x",Codes!$E55,"N/A")))</f>
        <v>Benin</v>
      </c>
      <c r="B55" s="416" t="s">
        <v>299</v>
      </c>
      <c r="C55" s="417" t="s">
        <v>300</v>
      </c>
      <c r="D55" s="417" t="s">
        <v>300</v>
      </c>
      <c r="E55" s="417" t="s">
        <v>300</v>
      </c>
      <c r="F55" s="413">
        <v>72</v>
      </c>
    </row>
    <row r="56" spans="1:6" ht="12.75" customHeight="1">
      <c r="A56" s="413" t="str">
        <f>IF(Fld_Menu_FR="x",Codes!$D56,IF(Fld_Menu_EN="x",Codes!$C56,IF(Fld_Menu_DE="x",Codes!$E56,"N/A")))</f>
        <v>Bermudes</v>
      </c>
      <c r="B56" s="416" t="s">
        <v>301</v>
      </c>
      <c r="C56" s="417" t="s">
        <v>302</v>
      </c>
      <c r="D56" s="417" t="s">
        <v>303</v>
      </c>
      <c r="E56" s="417" t="s">
        <v>302</v>
      </c>
      <c r="F56" s="413">
        <v>73</v>
      </c>
    </row>
    <row r="57" spans="1:6" ht="12.75" customHeight="1">
      <c r="A57" s="413" t="str">
        <f>IF(Fld_Menu_FR="x",Codes!$D57,IF(Fld_Menu_EN="x",Codes!$C57,IF(Fld_Menu_DE="x",Codes!$E57,"N/A")))</f>
        <v>Brunei Darussalam</v>
      </c>
      <c r="B57" s="416" t="s">
        <v>304</v>
      </c>
      <c r="C57" s="417" t="s">
        <v>305</v>
      </c>
      <c r="D57" s="417" t="s">
        <v>305</v>
      </c>
      <c r="E57" s="417" t="s">
        <v>305</v>
      </c>
      <c r="F57" s="413">
        <v>74</v>
      </c>
    </row>
    <row r="58" spans="1:6" ht="12.75" customHeight="1">
      <c r="A58" s="413" t="str">
        <f>IF(Fld_Menu_FR="x",Codes!$D58,IF(Fld_Menu_EN="x",Codes!$C58,IF(Fld_Menu_DE="x",Codes!$E58,"N/A")))</f>
        <v>Bolivie</v>
      </c>
      <c r="B58" s="416" t="s">
        <v>306</v>
      </c>
      <c r="C58" s="417" t="s">
        <v>307</v>
      </c>
      <c r="D58" s="417" t="s">
        <v>532</v>
      </c>
      <c r="E58" s="417" t="s">
        <v>533</v>
      </c>
      <c r="F58" s="413">
        <v>75</v>
      </c>
    </row>
    <row r="59" spans="1:6" ht="12.75" customHeight="1">
      <c r="A59" s="413" t="str">
        <f>IF(Fld_Menu_FR="x",Codes!$D59,IF(Fld_Menu_EN="x",Codes!$C59,IF(Fld_Menu_DE="x",Codes!$E59,"N/A")))</f>
        <v>Brézil</v>
      </c>
      <c r="B59" s="416" t="s">
        <v>534</v>
      </c>
      <c r="C59" s="417" t="s">
        <v>535</v>
      </c>
      <c r="D59" s="417" t="s">
        <v>536</v>
      </c>
      <c r="E59" s="417" t="s">
        <v>537</v>
      </c>
      <c r="F59" s="413">
        <v>76</v>
      </c>
    </row>
    <row r="60" spans="1:6" ht="12.75" customHeight="1">
      <c r="A60" s="413" t="str">
        <f>IF(Fld_Menu_FR="x",Codes!$D60,IF(Fld_Menu_EN="x",Codes!$C60,IF(Fld_Menu_DE="x",Codes!$E60,"N/A")))</f>
        <v>Bahamas</v>
      </c>
      <c r="B60" s="416" t="s">
        <v>538</v>
      </c>
      <c r="C60" s="417" t="s">
        <v>539</v>
      </c>
      <c r="D60" s="417" t="s">
        <v>539</v>
      </c>
      <c r="E60" s="417" t="s">
        <v>539</v>
      </c>
      <c r="F60" s="413">
        <v>77</v>
      </c>
    </row>
    <row r="61" spans="1:6" ht="12.75" customHeight="1">
      <c r="A61" s="413" t="str">
        <f>IF(Fld_Menu_FR="x",Codes!$D61,IF(Fld_Menu_EN="x",Codes!$C61,IF(Fld_Menu_DE="x",Codes!$E61,"N/A")))</f>
        <v>Bhoutan</v>
      </c>
      <c r="B61" s="416" t="s">
        <v>540</v>
      </c>
      <c r="C61" s="417" t="s">
        <v>1473</v>
      </c>
      <c r="D61" s="417" t="s">
        <v>1474</v>
      </c>
      <c r="E61" s="417" t="s">
        <v>1473</v>
      </c>
      <c r="F61" s="413">
        <v>78</v>
      </c>
    </row>
    <row r="62" spans="1:6" ht="12.75" customHeight="1">
      <c r="A62" s="413" t="str">
        <f>IF(Fld_Menu_FR="x",Codes!$D62,IF(Fld_Menu_EN="x",Codes!$C62,IF(Fld_Menu_DE="x",Codes!$E62,"N/A")))</f>
        <v>Iles Bouvet</v>
      </c>
      <c r="B62" s="416" t="s">
        <v>1475</v>
      </c>
      <c r="C62" s="417" t="s">
        <v>1319</v>
      </c>
      <c r="D62" s="417" t="s">
        <v>1476</v>
      </c>
      <c r="E62" s="417" t="s">
        <v>1457</v>
      </c>
      <c r="F62" s="413">
        <v>79</v>
      </c>
    </row>
    <row r="63" spans="1:6" ht="12.75" customHeight="1">
      <c r="A63" s="413" t="str">
        <f>IF(Fld_Menu_FR="x",Codes!$D63,IF(Fld_Menu_EN="x",Codes!$C63,IF(Fld_Menu_DE="x",Codes!$E63,"N/A")))</f>
        <v>Botswana</v>
      </c>
      <c r="B63" s="416" t="s">
        <v>1477</v>
      </c>
      <c r="C63" s="417" t="s">
        <v>1478</v>
      </c>
      <c r="D63" s="417" t="s">
        <v>1478</v>
      </c>
      <c r="E63" s="417" t="s">
        <v>1478</v>
      </c>
      <c r="F63" s="413">
        <v>80</v>
      </c>
    </row>
    <row r="64" spans="1:6" ht="12.75" customHeight="1">
      <c r="A64" s="413" t="str">
        <f>IF(Fld_Menu_FR="x",Codes!$D64,IF(Fld_Menu_EN="x",Codes!$C64,IF(Fld_Menu_DE="x",Codes!$E64,"N/A")))</f>
        <v>Biélorussie</v>
      </c>
      <c r="B64" s="416" t="s">
        <v>1479</v>
      </c>
      <c r="C64" s="417" t="s">
        <v>1480</v>
      </c>
      <c r="D64" s="417" t="s">
        <v>26</v>
      </c>
      <c r="E64" s="417" t="s">
        <v>1480</v>
      </c>
      <c r="F64" s="413">
        <v>81</v>
      </c>
    </row>
    <row r="65" spans="1:6" ht="12.75" customHeight="1">
      <c r="A65" s="413" t="str">
        <f>IF(Fld_Menu_FR="x",Codes!$D65,IF(Fld_Menu_EN="x",Codes!$C65,IF(Fld_Menu_DE="x",Codes!$E65,"N/A")))</f>
        <v>Belize</v>
      </c>
      <c r="B65" s="416" t="s">
        <v>27</v>
      </c>
      <c r="C65" s="417" t="s">
        <v>28</v>
      </c>
      <c r="D65" s="417" t="s">
        <v>28</v>
      </c>
      <c r="E65" s="417" t="s">
        <v>28</v>
      </c>
      <c r="F65" s="413">
        <v>82</v>
      </c>
    </row>
    <row r="66" spans="1:6" ht="12.75" customHeight="1">
      <c r="A66" s="413" t="str">
        <f>IF(Fld_Menu_FR="x",Codes!$D66,IF(Fld_Menu_EN="x",Codes!$C66,IF(Fld_Menu_DE="x",Codes!$E66,"N/A")))</f>
        <v>Canada</v>
      </c>
      <c r="B66" s="416" t="s">
        <v>29</v>
      </c>
      <c r="C66" s="417" t="s">
        <v>30</v>
      </c>
      <c r="D66" s="417" t="s">
        <v>30</v>
      </c>
      <c r="E66" s="417" t="s">
        <v>31</v>
      </c>
      <c r="F66" s="413">
        <v>83</v>
      </c>
    </row>
    <row r="67" spans="1:6" ht="12.75" customHeight="1">
      <c r="A67" s="413" t="str">
        <f>IF(Fld_Menu_FR="x",Codes!$D67,IF(Fld_Menu_EN="x",Codes!$C67,IF(Fld_Menu_DE="x",Codes!$E67,"N/A")))</f>
        <v>Iles Cocos</v>
      </c>
      <c r="B67" s="416" t="s">
        <v>32</v>
      </c>
      <c r="C67" s="417" t="s">
        <v>1320</v>
      </c>
      <c r="D67" s="417" t="s">
        <v>33</v>
      </c>
      <c r="E67" s="417" t="s">
        <v>1458</v>
      </c>
      <c r="F67" s="413">
        <v>84</v>
      </c>
    </row>
    <row r="68" spans="1:6" ht="12.75" customHeight="1">
      <c r="A68" s="413" t="str">
        <f>IF(Fld_Menu_FR="x",Codes!$D68,IF(Fld_Menu_EN="x",Codes!$C68,IF(Fld_Menu_DE="x",Codes!$E68,"N/A")))</f>
        <v>Centrafique</v>
      </c>
      <c r="B68" s="416" t="s">
        <v>34</v>
      </c>
      <c r="C68" s="417" t="s">
        <v>1321</v>
      </c>
      <c r="D68" s="417" t="s">
        <v>35</v>
      </c>
      <c r="E68" s="417" t="s">
        <v>36</v>
      </c>
      <c r="F68" s="413">
        <v>85</v>
      </c>
    </row>
    <row r="69" spans="1:6" ht="12.75" customHeight="1">
      <c r="A69" s="413" t="str">
        <f>IF(Fld_Menu_FR="x",Codes!$D69,IF(Fld_Menu_EN="x",Codes!$C69,IF(Fld_Menu_DE="x",Codes!$E69,"N/A")))</f>
        <v>Congo</v>
      </c>
      <c r="B69" s="416" t="s">
        <v>37</v>
      </c>
      <c r="C69" s="417" t="s">
        <v>38</v>
      </c>
      <c r="D69" s="417" t="s">
        <v>38</v>
      </c>
      <c r="E69" s="417" t="s">
        <v>39</v>
      </c>
      <c r="F69" s="413">
        <v>86</v>
      </c>
    </row>
    <row r="70" spans="1:6" ht="12.75" customHeight="1">
      <c r="A70" s="413" t="str">
        <f>IF(Fld_Menu_FR="x",Codes!$D70,IF(Fld_Menu_EN="x",Codes!$C70,IF(Fld_Menu_DE="x",Codes!$E70,"N/A")))</f>
        <v>Côte d'Ivoire</v>
      </c>
      <c r="B70" s="416" t="s">
        <v>44</v>
      </c>
      <c r="C70" s="417" t="s">
        <v>45</v>
      </c>
      <c r="D70" s="417" t="s">
        <v>46</v>
      </c>
      <c r="E70" s="417" t="s">
        <v>45</v>
      </c>
      <c r="F70" s="413">
        <v>88</v>
      </c>
    </row>
    <row r="71" spans="1:6" ht="12.75" customHeight="1">
      <c r="A71" s="413" t="str">
        <f>IF(Fld_Menu_FR="x",Codes!$D71,IF(Fld_Menu_EN="x",Codes!$C71,IF(Fld_Menu_DE="x",Codes!$E71,"N/A")))</f>
        <v>Chili</v>
      </c>
      <c r="B71" s="416" t="s">
        <v>47</v>
      </c>
      <c r="C71" s="417" t="s">
        <v>48</v>
      </c>
      <c r="D71" s="417" t="s">
        <v>49</v>
      </c>
      <c r="E71" s="417" t="s">
        <v>48</v>
      </c>
      <c r="F71" s="413">
        <v>89</v>
      </c>
    </row>
    <row r="72" spans="1:6" ht="12.75" customHeight="1">
      <c r="A72" s="413" t="str">
        <f>IF(Fld_Menu_FR="x",Codes!$D72,IF(Fld_Menu_EN="x",Codes!$C72,IF(Fld_Menu_DE="x",Codes!$E72,"N/A")))</f>
        <v>Cameroun</v>
      </c>
      <c r="B72" s="416" t="s">
        <v>50</v>
      </c>
      <c r="C72" s="417" t="s">
        <v>51</v>
      </c>
      <c r="D72" s="417" t="s">
        <v>52</v>
      </c>
      <c r="E72" s="417" t="s">
        <v>53</v>
      </c>
      <c r="F72" s="413">
        <v>90</v>
      </c>
    </row>
    <row r="73" spans="1:6" ht="12.75" customHeight="1">
      <c r="A73" s="413" t="str">
        <f>IF(Fld_Menu_FR="x",Codes!$D73,IF(Fld_Menu_EN="x",Codes!$C73,IF(Fld_Menu_DE="x",Codes!$E73,"N/A")))</f>
        <v>Chine (République Populaire de)</v>
      </c>
      <c r="B73" s="416" t="s">
        <v>54</v>
      </c>
      <c r="C73" s="417" t="s">
        <v>55</v>
      </c>
      <c r="D73" s="417" t="s">
        <v>424</v>
      </c>
      <c r="E73" s="417" t="s">
        <v>55</v>
      </c>
      <c r="F73" s="413">
        <v>91</v>
      </c>
    </row>
    <row r="74" spans="1:6" ht="12.75" customHeight="1">
      <c r="A74" s="413" t="str">
        <f>IF(Fld_Menu_FR="x",Codes!$D74,IF(Fld_Menu_EN="x",Codes!$C74,IF(Fld_Menu_DE="x",Codes!$E74,"N/A")))</f>
        <v>Colombie</v>
      </c>
      <c r="B74" s="416" t="s">
        <v>56</v>
      </c>
      <c r="C74" s="417" t="s">
        <v>57</v>
      </c>
      <c r="D74" s="417" t="s">
        <v>58</v>
      </c>
      <c r="E74" s="417" t="s">
        <v>59</v>
      </c>
      <c r="F74" s="413">
        <v>92</v>
      </c>
    </row>
    <row r="75" spans="1:6" ht="12.75" customHeight="1">
      <c r="A75" s="413" t="str">
        <f>IF(Fld_Menu_FR="x",Codes!$D75,IF(Fld_Menu_EN="x",Codes!$C75,IF(Fld_Menu_DE="x",Codes!$E75,"N/A")))</f>
        <v>Costa Rica</v>
      </c>
      <c r="B75" s="416" t="s">
        <v>60</v>
      </c>
      <c r="C75" s="417" t="s">
        <v>61</v>
      </c>
      <c r="D75" s="417" t="s">
        <v>61</v>
      </c>
      <c r="E75" s="417" t="s">
        <v>62</v>
      </c>
      <c r="F75" s="413">
        <v>93</v>
      </c>
    </row>
    <row r="76" spans="1:6" ht="12.75" customHeight="1">
      <c r="A76" s="413" t="str">
        <f>IF(Fld_Menu_FR="x",Codes!$D76,IF(Fld_Menu_EN="x",Codes!$C76,IF(Fld_Menu_DE="x",Codes!$E76,"N/A")))</f>
        <v>Cuba</v>
      </c>
      <c r="B76" s="416" t="s">
        <v>63</v>
      </c>
      <c r="C76" s="417" t="s">
        <v>64</v>
      </c>
      <c r="D76" s="417" t="s">
        <v>64</v>
      </c>
      <c r="E76" s="417" t="s">
        <v>65</v>
      </c>
      <c r="F76" s="413">
        <v>94</v>
      </c>
    </row>
    <row r="77" spans="1:6" ht="12.75" customHeight="1">
      <c r="A77" s="413" t="str">
        <f>IF(Fld_Menu_FR="x",Codes!$D77,IF(Fld_Menu_EN="x",Codes!$C77,IF(Fld_Menu_DE="x",Codes!$E77,"N/A")))</f>
        <v>Cap Vert</v>
      </c>
      <c r="B77" s="416" t="s">
        <v>66</v>
      </c>
      <c r="C77" s="417" t="s">
        <v>67</v>
      </c>
      <c r="D77" s="417" t="s">
        <v>68</v>
      </c>
      <c r="E77" s="417" t="s">
        <v>69</v>
      </c>
      <c r="F77" s="413">
        <v>95</v>
      </c>
    </row>
    <row r="78" spans="1:6" ht="12.75" customHeight="1">
      <c r="A78" s="413" t="str">
        <f>IF(Fld_Menu_FR="x",Codes!$D78,IF(Fld_Menu_EN="x",Codes!$C78,IF(Fld_Menu_DE="x",Codes!$E78,"N/A")))</f>
        <v>Iles Christmas</v>
      </c>
      <c r="B78" s="416" t="s">
        <v>70</v>
      </c>
      <c r="C78" s="417" t="s">
        <v>1322</v>
      </c>
      <c r="D78" s="417" t="s">
        <v>71</v>
      </c>
      <c r="E78" s="417" t="s">
        <v>72</v>
      </c>
      <c r="F78" s="413">
        <v>96</v>
      </c>
    </row>
    <row r="79" spans="1:6" ht="12.75" customHeight="1">
      <c r="A79" s="413" t="str">
        <f>IF(Fld_Menu_FR="x",Codes!$D79,IF(Fld_Menu_EN="x",Codes!$C79,IF(Fld_Menu_DE="x",Codes!$E79,"N/A")))</f>
        <v>Djibouti</v>
      </c>
      <c r="B79" s="416" t="s">
        <v>79</v>
      </c>
      <c r="C79" s="417" t="s">
        <v>80</v>
      </c>
      <c r="D79" s="417" t="s">
        <v>80</v>
      </c>
      <c r="E79" s="417" t="s">
        <v>80</v>
      </c>
      <c r="F79" s="413">
        <v>99</v>
      </c>
    </row>
    <row r="80" spans="1:6" ht="12.75" customHeight="1">
      <c r="A80" s="413" t="str">
        <f>IF(Fld_Menu_FR="x",Codes!$D80,IF(Fld_Menu_EN="x",Codes!$C80,IF(Fld_Menu_DE="x",Codes!$E80,"N/A")))</f>
        <v>Dominique</v>
      </c>
      <c r="B80" s="416" t="s">
        <v>81</v>
      </c>
      <c r="C80" s="417" t="s">
        <v>82</v>
      </c>
      <c r="D80" s="417" t="s">
        <v>83</v>
      </c>
      <c r="E80" s="417" t="s">
        <v>82</v>
      </c>
      <c r="F80" s="413">
        <v>100</v>
      </c>
    </row>
    <row r="81" spans="1:6" ht="12.75" customHeight="1">
      <c r="A81" s="413" t="str">
        <f>IF(Fld_Menu_FR="x",Codes!$D81,IF(Fld_Menu_EN="x",Codes!$C81,IF(Fld_Menu_DE="x",Codes!$E81,"N/A")))</f>
        <v>Répubique Dominicaine</v>
      </c>
      <c r="B81" s="416" t="s">
        <v>84</v>
      </c>
      <c r="C81" s="417" t="s">
        <v>1324</v>
      </c>
      <c r="D81" s="417" t="s">
        <v>423</v>
      </c>
      <c r="E81" s="417" t="s">
        <v>1460</v>
      </c>
      <c r="F81" s="413">
        <v>101</v>
      </c>
    </row>
    <row r="82" spans="1:6" ht="12.75" customHeight="1">
      <c r="A82" s="413" t="str">
        <f>IF(Fld_Menu_FR="x",Codes!$D82,IF(Fld_Menu_EN="x",Codes!$C82,IF(Fld_Menu_DE="x",Codes!$E82,"N/A")))</f>
        <v>Algérie</v>
      </c>
      <c r="B82" s="416" t="s">
        <v>85</v>
      </c>
      <c r="C82" s="417" t="s">
        <v>86</v>
      </c>
      <c r="D82" s="417" t="s">
        <v>87</v>
      </c>
      <c r="E82" s="417" t="s">
        <v>88</v>
      </c>
      <c r="F82" s="413">
        <v>102</v>
      </c>
    </row>
    <row r="83" spans="1:6" ht="12.75" customHeight="1">
      <c r="A83" s="413" t="str">
        <f>IF(Fld_Menu_FR="x",Codes!$D83,IF(Fld_Menu_EN="x",Codes!$C83,IF(Fld_Menu_DE="x",Codes!$E83,"N/A")))</f>
        <v>Equateur</v>
      </c>
      <c r="B83" s="416" t="s">
        <v>89</v>
      </c>
      <c r="C83" s="417" t="s">
        <v>90</v>
      </c>
      <c r="D83" s="417" t="s">
        <v>91</v>
      </c>
      <c r="E83" s="417" t="s">
        <v>90</v>
      </c>
      <c r="F83" s="413">
        <v>103</v>
      </c>
    </row>
    <row r="84" spans="1:6" ht="12.75" customHeight="1">
      <c r="A84" s="413" t="str">
        <f>IF(Fld_Menu_FR="x",Codes!$D84,IF(Fld_Menu_EN="x",Codes!$C84,IF(Fld_Menu_DE="x",Codes!$E84,"N/A")))</f>
        <v>Egypte</v>
      </c>
      <c r="B84" s="416" t="s">
        <v>96</v>
      </c>
      <c r="C84" s="417" t="s">
        <v>97</v>
      </c>
      <c r="D84" s="417" t="s">
        <v>98</v>
      </c>
      <c r="E84" s="417" t="s">
        <v>99</v>
      </c>
      <c r="F84" s="413">
        <v>105</v>
      </c>
    </row>
    <row r="85" spans="1:6" ht="12.75" customHeight="1">
      <c r="A85" s="413" t="str">
        <f>IF(Fld_Menu_FR="x",Codes!$D85,IF(Fld_Menu_EN="x",Codes!$C85,IF(Fld_Menu_DE="x",Codes!$E85,"N/A")))</f>
        <v>Sahara Occidental</v>
      </c>
      <c r="B85" s="416" t="s">
        <v>100</v>
      </c>
      <c r="C85" s="417" t="s">
        <v>101</v>
      </c>
      <c r="D85" s="417" t="s">
        <v>422</v>
      </c>
      <c r="E85" s="417" t="s">
        <v>1719</v>
      </c>
      <c r="F85" s="413">
        <v>106</v>
      </c>
    </row>
    <row r="86" spans="1:6" ht="12.75" customHeight="1">
      <c r="A86" s="413" t="str">
        <f>IF(Fld_Menu_FR="x",Codes!$D86,IF(Fld_Menu_EN="x",Codes!$C86,IF(Fld_Menu_DE="x",Codes!$E86,"N/A")))</f>
        <v>Erythrée</v>
      </c>
      <c r="B86" s="416" t="s">
        <v>1720</v>
      </c>
      <c r="C86" s="417" t="s">
        <v>1721</v>
      </c>
      <c r="D86" s="417" t="s">
        <v>1722</v>
      </c>
      <c r="E86" s="417" t="s">
        <v>1721</v>
      </c>
      <c r="F86" s="413">
        <v>107</v>
      </c>
    </row>
    <row r="87" spans="1:6" ht="12.75" customHeight="1">
      <c r="A87" s="413" t="str">
        <f>IF(Fld_Menu_FR="x",Codes!$D87,IF(Fld_Menu_EN="x",Codes!$C87,IF(Fld_Menu_DE="x",Codes!$E87,"N/A")))</f>
        <v>Ethiopie</v>
      </c>
      <c r="B87" s="416" t="s">
        <v>1723</v>
      </c>
      <c r="C87" s="417" t="s">
        <v>1724</v>
      </c>
      <c r="D87" s="417" t="s">
        <v>1725</v>
      </c>
      <c r="E87" s="417" t="s">
        <v>1726</v>
      </c>
      <c r="F87" s="413">
        <v>108</v>
      </c>
    </row>
    <row r="88" spans="1:6" ht="12.75" customHeight="1">
      <c r="A88" s="413" t="str">
        <f>IF(Fld_Menu_FR="x",Codes!$D88,IF(Fld_Menu_EN="x",Codes!$C88,IF(Fld_Menu_DE="x",Codes!$E88,"N/A")))</f>
        <v>Fidji</v>
      </c>
      <c r="B88" s="416" t="s">
        <v>1727</v>
      </c>
      <c r="C88" s="417" t="s">
        <v>1728</v>
      </c>
      <c r="D88" s="417" t="s">
        <v>1729</v>
      </c>
      <c r="E88" s="417" t="s">
        <v>1730</v>
      </c>
      <c r="F88" s="413">
        <v>109</v>
      </c>
    </row>
    <row r="89" spans="1:6" ht="12.75" customHeight="1">
      <c r="A89" s="413" t="str">
        <f>IF(Fld_Menu_FR="x",Codes!$D89,IF(Fld_Menu_EN="x",Codes!$C89,IF(Fld_Menu_DE="x",Codes!$E89,"N/A")))</f>
        <v>Les Malouines</v>
      </c>
      <c r="B89" s="416" t="s">
        <v>1731</v>
      </c>
      <c r="C89" s="417" t="s">
        <v>1325</v>
      </c>
      <c r="D89" s="417" t="s">
        <v>1732</v>
      </c>
      <c r="E89" s="417" t="s">
        <v>1733</v>
      </c>
      <c r="F89" s="413">
        <v>110</v>
      </c>
    </row>
    <row r="90" spans="1:6" ht="12.75" customHeight="1">
      <c r="A90" s="413" t="str">
        <f>IF(Fld_Menu_FR="x",Codes!$D90,IF(Fld_Menu_EN="x",Codes!$C90,IF(Fld_Menu_DE="x",Codes!$E90,"N/A")))</f>
        <v>La Micronésie, Etats Fédérés des Iles Féroé</v>
      </c>
      <c r="B90" s="416" t="s">
        <v>1734</v>
      </c>
      <c r="C90" s="417" t="s">
        <v>1326</v>
      </c>
      <c r="D90" s="417" t="s">
        <v>421</v>
      </c>
      <c r="E90" s="417" t="s">
        <v>1461</v>
      </c>
      <c r="F90" s="413">
        <v>111</v>
      </c>
    </row>
    <row r="91" spans="1:6" ht="12.75" customHeight="1">
      <c r="A91" s="413" t="str">
        <f>IF(Fld_Menu_FR="x",Codes!$D91,IF(Fld_Menu_EN="x",Codes!$C91,IF(Fld_Menu_DE="x",Codes!$E91,"N/A")))</f>
        <v>Iles Féroé</v>
      </c>
      <c r="B91" s="416" t="s">
        <v>1735</v>
      </c>
      <c r="C91" s="417" t="s">
        <v>1736</v>
      </c>
      <c r="D91" s="417" t="s">
        <v>1737</v>
      </c>
      <c r="E91" s="417" t="s">
        <v>1462</v>
      </c>
      <c r="F91" s="413">
        <v>112</v>
      </c>
    </row>
    <row r="92" spans="1:6" ht="12.75" customHeight="1">
      <c r="A92" s="413" t="str">
        <f>IF(Fld_Menu_FR="x",Codes!$D92,IF(Fld_Menu_EN="x",Codes!$C92,IF(Fld_Menu_DE="x",Codes!$E92,"N/A")))</f>
        <v>France Métropolitaine</v>
      </c>
      <c r="B92" s="416" t="s">
        <v>1738</v>
      </c>
      <c r="C92" s="417" t="s">
        <v>1739</v>
      </c>
      <c r="D92" s="417" t="s">
        <v>420</v>
      </c>
      <c r="E92" s="417" t="s">
        <v>1740</v>
      </c>
      <c r="F92" s="413">
        <v>113</v>
      </c>
    </row>
    <row r="93" spans="1:6" ht="12.75" customHeight="1">
      <c r="A93" s="413" t="str">
        <f>IF(Fld_Menu_FR="x",Codes!$D93,IF(Fld_Menu_EN="x",Codes!$C93,IF(Fld_Menu_DE="x",Codes!$E93,"N/A")))</f>
        <v>Gabon</v>
      </c>
      <c r="B93" s="416" t="s">
        <v>1741</v>
      </c>
      <c r="C93" s="417" t="s">
        <v>1742</v>
      </c>
      <c r="D93" s="417" t="s">
        <v>1742</v>
      </c>
      <c r="E93" s="417" t="s">
        <v>1743</v>
      </c>
      <c r="F93" s="413">
        <v>114</v>
      </c>
    </row>
    <row r="94" spans="1:6" ht="12.75" customHeight="1">
      <c r="A94" s="413" t="str">
        <f>IF(Fld_Menu_FR="x",Codes!$D94,IF(Fld_Menu_EN="x",Codes!$C94,IF(Fld_Menu_DE="x",Codes!$E94,"N/A")))</f>
        <v>Grenade</v>
      </c>
      <c r="B94" s="416" t="s">
        <v>1744</v>
      </c>
      <c r="C94" s="417" t="s">
        <v>1745</v>
      </c>
      <c r="D94" s="417" t="s">
        <v>1746</v>
      </c>
      <c r="E94" s="417" t="s">
        <v>1745</v>
      </c>
      <c r="F94" s="413">
        <v>115</v>
      </c>
    </row>
    <row r="95" spans="1:6" ht="12.75" customHeight="1">
      <c r="A95" s="413" t="str">
        <f>IF(Fld_Menu_FR="x",Codes!$D95,IF(Fld_Menu_EN="x",Codes!$C95,IF(Fld_Menu_DE="x",Codes!$E95,"N/A")))</f>
        <v>Géorgie</v>
      </c>
      <c r="B95" s="416" t="s">
        <v>1747</v>
      </c>
      <c r="C95" s="417" t="s">
        <v>1748</v>
      </c>
      <c r="D95" s="417" t="s">
        <v>1749</v>
      </c>
      <c r="E95" s="417" t="s">
        <v>1750</v>
      </c>
      <c r="F95" s="413">
        <v>116</v>
      </c>
    </row>
    <row r="96" spans="1:6" ht="12.75" customHeight="1">
      <c r="A96" s="413" t="str">
        <f>IF(Fld_Menu_FR="x",Codes!$D96,IF(Fld_Menu_EN="x",Codes!$C96,IF(Fld_Menu_DE="x",Codes!$E96,"N/A")))</f>
        <v>Guinée Française</v>
      </c>
      <c r="B96" s="416" t="s">
        <v>1751</v>
      </c>
      <c r="C96" s="417" t="s">
        <v>1752</v>
      </c>
      <c r="D96" s="417" t="s">
        <v>1753</v>
      </c>
      <c r="E96" s="417" t="s">
        <v>1754</v>
      </c>
      <c r="F96" s="413">
        <v>117</v>
      </c>
    </row>
    <row r="97" spans="1:6" ht="12.75" customHeight="1">
      <c r="A97" s="413" t="str">
        <f>IF(Fld_Menu_FR="x",Codes!$D97,IF(Fld_Menu_EN="x",Codes!$C97,IF(Fld_Menu_DE="x",Codes!$E97,"N/A")))</f>
        <v>Ghana</v>
      </c>
      <c r="B97" s="416" t="s">
        <v>1755</v>
      </c>
      <c r="C97" s="417" t="s">
        <v>1756</v>
      </c>
      <c r="D97" s="417" t="s">
        <v>1756</v>
      </c>
      <c r="E97" s="417" t="s">
        <v>1756</v>
      </c>
      <c r="F97" s="413">
        <v>118</v>
      </c>
    </row>
    <row r="98" spans="1:6" ht="12.75" customHeight="1">
      <c r="A98" s="413" t="str">
        <f>IF(Fld_Menu_FR="x",Codes!$D98,IF(Fld_Menu_EN="x",Codes!$C98,IF(Fld_Menu_DE="x",Codes!$E98,"N/A")))</f>
        <v>Gibraltar</v>
      </c>
      <c r="B98" s="416" t="s">
        <v>1757</v>
      </c>
      <c r="C98" s="417" t="s">
        <v>1758</v>
      </c>
      <c r="D98" s="417" t="s">
        <v>1758</v>
      </c>
      <c r="E98" s="417" t="s">
        <v>1758</v>
      </c>
      <c r="F98" s="413">
        <v>119</v>
      </c>
    </row>
    <row r="99" spans="1:6" ht="12.75" customHeight="1">
      <c r="A99" s="413" t="str">
        <f>IF(Fld_Menu_FR="x",Codes!$D99,IF(Fld_Menu_EN="x",Codes!$C99,IF(Fld_Menu_DE="x",Codes!$E99,"N/A")))</f>
        <v>Groenland</v>
      </c>
      <c r="B99" s="416" t="s">
        <v>1759</v>
      </c>
      <c r="C99" s="417" t="s">
        <v>1760</v>
      </c>
      <c r="D99" s="417" t="s">
        <v>1761</v>
      </c>
      <c r="E99" s="417" t="s">
        <v>1762</v>
      </c>
      <c r="F99" s="413">
        <v>120</v>
      </c>
    </row>
    <row r="100" spans="1:6" ht="12.75" customHeight="1">
      <c r="A100" s="413" t="str">
        <f>IF(Fld_Menu_FR="x",Codes!$D100,IF(Fld_Menu_EN="x",Codes!$C100,IF(Fld_Menu_DE="x",Codes!$E100,"N/A")))</f>
        <v>Gambie</v>
      </c>
      <c r="B100" s="416" t="s">
        <v>1763</v>
      </c>
      <c r="C100" s="417" t="s">
        <v>1764</v>
      </c>
      <c r="D100" s="417" t="s">
        <v>1765</v>
      </c>
      <c r="E100" s="417" t="s">
        <v>1764</v>
      </c>
      <c r="F100" s="413">
        <v>121</v>
      </c>
    </row>
    <row r="101" spans="1:6" ht="12.75" customHeight="1">
      <c r="A101" s="413" t="str">
        <f>IF(Fld_Menu_FR="x",Codes!$D101,IF(Fld_Menu_EN="x",Codes!$C101,IF(Fld_Menu_DE="x",Codes!$E101,"N/A")))</f>
        <v>Guinée</v>
      </c>
      <c r="B101" s="416" t="s">
        <v>1766</v>
      </c>
      <c r="C101" s="417" t="s">
        <v>1767</v>
      </c>
      <c r="D101" s="417" t="s">
        <v>1768</v>
      </c>
      <c r="E101" s="417" t="s">
        <v>1769</v>
      </c>
      <c r="F101" s="413">
        <v>122</v>
      </c>
    </row>
    <row r="102" spans="1:6" ht="12.75" customHeight="1">
      <c r="A102" s="413" t="str">
        <f>IF(Fld_Menu_FR="x",Codes!$D102,IF(Fld_Menu_EN="x",Codes!$C102,IF(Fld_Menu_DE="x",Codes!$E102,"N/A")))</f>
        <v>Guadeloupe</v>
      </c>
      <c r="B102" s="416" t="s">
        <v>1770</v>
      </c>
      <c r="C102" s="417" t="s">
        <v>1771</v>
      </c>
      <c r="D102" s="417" t="s">
        <v>1771</v>
      </c>
      <c r="E102" s="417" t="s">
        <v>1771</v>
      </c>
      <c r="F102" s="413">
        <v>123</v>
      </c>
    </row>
    <row r="103" spans="1:6" ht="12.75" customHeight="1">
      <c r="A103" s="413" t="str">
        <f>IF(Fld_Menu_FR="x",Codes!$D103,IF(Fld_Menu_EN="x",Codes!$C103,IF(Fld_Menu_DE="x",Codes!$E103,"N/A")))</f>
        <v>Guinée Equatoriale</v>
      </c>
      <c r="B103" s="416" t="s">
        <v>1772</v>
      </c>
      <c r="C103" s="417" t="s">
        <v>1058</v>
      </c>
      <c r="D103" s="417" t="s">
        <v>1059</v>
      </c>
      <c r="E103" s="417" t="s">
        <v>1060</v>
      </c>
      <c r="F103" s="413">
        <v>124</v>
      </c>
    </row>
    <row r="104" spans="1:6" ht="12.75" customHeight="1">
      <c r="A104" s="413" t="str">
        <f>IF(Fld_Menu_FR="x",Codes!$D104,IF(Fld_Menu_EN="x",Codes!$C104,IF(Fld_Menu_DE="x",Codes!$E104,"N/A")))</f>
        <v>Géorgie du Sud  et Iles Sandwich du Sud</v>
      </c>
      <c r="B104" s="416" t="s">
        <v>1061</v>
      </c>
      <c r="C104" s="417" t="s">
        <v>1062</v>
      </c>
      <c r="D104" s="417" t="s">
        <v>419</v>
      </c>
      <c r="E104" s="417" t="s">
        <v>1463</v>
      </c>
      <c r="F104" s="413">
        <v>125</v>
      </c>
    </row>
    <row r="105" spans="1:6" ht="12.75" customHeight="1">
      <c r="A105" s="413" t="str">
        <f>IF(Fld_Menu_FR="x",Codes!$D105,IF(Fld_Menu_EN="x",Codes!$C105,IF(Fld_Menu_DE="x",Codes!$E105,"N/A")))</f>
        <v>Guatémala</v>
      </c>
      <c r="B105" s="416" t="s">
        <v>1063</v>
      </c>
      <c r="C105" s="417" t="s">
        <v>1064</v>
      </c>
      <c r="D105" s="417" t="s">
        <v>1065</v>
      </c>
      <c r="E105" s="417" t="s">
        <v>1064</v>
      </c>
      <c r="F105" s="413">
        <v>126</v>
      </c>
    </row>
    <row r="106" spans="1:6" ht="12.75" customHeight="1">
      <c r="A106" s="413" t="str">
        <f>IF(Fld_Menu_FR="x",Codes!$D106,IF(Fld_Menu_EN="x",Codes!$C106,IF(Fld_Menu_DE="x",Codes!$E106,"N/A")))</f>
        <v>Guinée-Bissau</v>
      </c>
      <c r="B106" s="416" t="s">
        <v>1066</v>
      </c>
      <c r="C106" s="417" t="s">
        <v>1067</v>
      </c>
      <c r="D106" s="417" t="s">
        <v>1068</v>
      </c>
      <c r="E106" s="417" t="s">
        <v>1067</v>
      </c>
      <c r="F106" s="413">
        <v>127</v>
      </c>
    </row>
    <row r="107" spans="1:6" ht="12.75" customHeight="1">
      <c r="A107" s="413" t="str">
        <f>IF(Fld_Menu_FR="x",Codes!$D107,IF(Fld_Menu_EN="x",Codes!$C107,IF(Fld_Menu_DE="x",Codes!$E107,"N/A")))</f>
        <v>Guyane</v>
      </c>
      <c r="B107" s="416" t="s">
        <v>1069</v>
      </c>
      <c r="C107" s="417" t="s">
        <v>1070</v>
      </c>
      <c r="D107" s="417" t="s">
        <v>1071</v>
      </c>
      <c r="E107" s="417" t="s">
        <v>1070</v>
      </c>
      <c r="F107" s="413">
        <v>128</v>
      </c>
    </row>
    <row r="108" spans="1:6" ht="12.75" customHeight="1">
      <c r="A108" s="413" t="str">
        <f>IF(Fld_Menu_FR="x",Codes!$D108,IF(Fld_Menu_EN="x",Codes!$C108,IF(Fld_Menu_DE="x",Codes!$E108,"N/A")))</f>
        <v>Hong Kong</v>
      </c>
      <c r="B108" s="416" t="s">
        <v>1072</v>
      </c>
      <c r="C108" s="417" t="s">
        <v>1073</v>
      </c>
      <c r="D108" s="417" t="s">
        <v>1073</v>
      </c>
      <c r="E108" s="417" t="s">
        <v>1074</v>
      </c>
      <c r="F108" s="413">
        <v>129</v>
      </c>
    </row>
    <row r="109" spans="1:6" ht="12.75" customHeight="1">
      <c r="A109" s="413" t="str">
        <f>IF(Fld_Menu_FR="x",Codes!$D109,IF(Fld_Menu_EN="x",Codes!$C109,IF(Fld_Menu_DE="x",Codes!$E109,"N/A")))</f>
        <v>Iles Heard et Mc Donald</v>
      </c>
      <c r="B109" s="416" t="s">
        <v>1075</v>
      </c>
      <c r="C109" s="417" t="s">
        <v>1076</v>
      </c>
      <c r="D109" s="417" t="s">
        <v>1077</v>
      </c>
      <c r="E109" s="417" t="s">
        <v>1078</v>
      </c>
      <c r="F109" s="413">
        <v>130</v>
      </c>
    </row>
    <row r="110" spans="1:6" ht="12.75" customHeight="1">
      <c r="A110" s="413" t="str">
        <f>IF(Fld_Menu_FR="x",Codes!$D110,IF(Fld_Menu_EN="x",Codes!$C110,IF(Fld_Menu_DE="x",Codes!$E110,"N/A")))</f>
        <v>Honduras</v>
      </c>
      <c r="B110" s="416" t="s">
        <v>1079</v>
      </c>
      <c r="C110" s="417" t="s">
        <v>1080</v>
      </c>
      <c r="D110" s="417" t="s">
        <v>1080</v>
      </c>
      <c r="E110" s="417" t="s">
        <v>1080</v>
      </c>
      <c r="F110" s="413">
        <v>131</v>
      </c>
    </row>
    <row r="111" spans="1:6" ht="12.75" customHeight="1">
      <c r="A111" s="413" t="str">
        <f>IF(Fld_Menu_FR="x",Codes!$D111,IF(Fld_Menu_EN="x",Codes!$C111,IF(Fld_Menu_DE="x",Codes!$E111,"N/A")))</f>
        <v>Croatie</v>
      </c>
      <c r="B111" s="416" t="s">
        <v>1081</v>
      </c>
      <c r="C111" s="417" t="s">
        <v>1082</v>
      </c>
      <c r="D111" s="417" t="s">
        <v>1083</v>
      </c>
      <c r="E111" s="417" t="s">
        <v>1084</v>
      </c>
      <c r="F111" s="413">
        <v>132</v>
      </c>
    </row>
    <row r="112" spans="1:6" ht="12.75" customHeight="1">
      <c r="A112" s="413" t="str">
        <f>IF(Fld_Menu_FR="x",Codes!$D112,IF(Fld_Menu_EN="x",Codes!$C112,IF(Fld_Menu_DE="x",Codes!$E112,"N/A")))</f>
        <v>Haïti</v>
      </c>
      <c r="B112" s="416" t="s">
        <v>1085</v>
      </c>
      <c r="C112" s="417" t="s">
        <v>1086</v>
      </c>
      <c r="D112" s="417" t="s">
        <v>1087</v>
      </c>
      <c r="E112" s="417" t="s">
        <v>1087</v>
      </c>
      <c r="F112" s="413">
        <v>133</v>
      </c>
    </row>
    <row r="113" spans="1:6" ht="12.75" customHeight="1">
      <c r="A113" s="413" t="str">
        <f>IF(Fld_Menu_FR="x",Codes!$D113,IF(Fld_Menu_EN="x",Codes!$C113,IF(Fld_Menu_DE="x",Codes!$E113,"N/A")))</f>
        <v>Indonésie</v>
      </c>
      <c r="B113" s="416" t="s">
        <v>1092</v>
      </c>
      <c r="C113" s="417" t="s">
        <v>1093</v>
      </c>
      <c r="D113" s="417" t="s">
        <v>1094</v>
      </c>
      <c r="E113" s="417" t="s">
        <v>1095</v>
      </c>
      <c r="F113" s="413">
        <v>135</v>
      </c>
    </row>
    <row r="114" spans="1:6" ht="12.75" customHeight="1">
      <c r="A114" s="413" t="str">
        <f>IF(Fld_Menu_FR="x",Codes!$D114,IF(Fld_Menu_EN="x",Codes!$C114,IF(Fld_Menu_DE="x",Codes!$E114,"N/A")))</f>
        <v>Israël</v>
      </c>
      <c r="B114" s="416" t="s">
        <v>1096</v>
      </c>
      <c r="C114" s="417" t="s">
        <v>1097</v>
      </c>
      <c r="D114" s="417" t="s">
        <v>1098</v>
      </c>
      <c r="E114" s="417" t="s">
        <v>1097</v>
      </c>
      <c r="F114" s="413">
        <v>136</v>
      </c>
    </row>
    <row r="115" spans="1:6" ht="12.75" customHeight="1">
      <c r="A115" s="413" t="str">
        <f>IF(Fld_Menu_FR="x",Codes!$D115,IF(Fld_Menu_EN="x",Codes!$C115,IF(Fld_Menu_DE="x",Codes!$E115,"N/A")))</f>
        <v>Inde</v>
      </c>
      <c r="B115" s="416" t="s">
        <v>1099</v>
      </c>
      <c r="C115" s="417" t="s">
        <v>1100</v>
      </c>
      <c r="D115" s="417" t="s">
        <v>1101</v>
      </c>
      <c r="E115" s="417" t="s">
        <v>1102</v>
      </c>
      <c r="F115" s="413">
        <v>137</v>
      </c>
    </row>
    <row r="116" spans="1:6" ht="12.75" customHeight="1">
      <c r="A116" s="413" t="str">
        <f>IF(Fld_Menu_FR="x",Codes!$D116,IF(Fld_Menu_EN="x",Codes!$C116,IF(Fld_Menu_DE="x",Codes!$E116,"N/A")))</f>
        <v>Iraq</v>
      </c>
      <c r="B116" s="416" t="s">
        <v>1103</v>
      </c>
      <c r="C116" s="417" t="s">
        <v>1104</v>
      </c>
      <c r="D116" s="417" t="s">
        <v>1104</v>
      </c>
      <c r="E116" s="417" t="s">
        <v>1464</v>
      </c>
      <c r="F116" s="413">
        <v>138</v>
      </c>
    </row>
    <row r="117" spans="1:6" ht="12.75" customHeight="1">
      <c r="A117" s="413" t="str">
        <f>IF(Fld_Menu_FR="x",Codes!$D117,IF(Fld_Menu_EN="x",Codes!$C117,IF(Fld_Menu_DE="x",Codes!$E117,"N/A")))</f>
        <v>Iran</v>
      </c>
      <c r="B117" s="416" t="s">
        <v>1105</v>
      </c>
      <c r="C117" s="417" t="s">
        <v>1327</v>
      </c>
      <c r="D117" s="417" t="s">
        <v>1106</v>
      </c>
      <c r="E117" s="417" t="s">
        <v>1106</v>
      </c>
      <c r="F117" s="413">
        <v>139</v>
      </c>
    </row>
    <row r="118" spans="1:6" ht="12.75" customHeight="1">
      <c r="A118" s="413" t="str">
        <f>IF(Fld_Menu_FR="x",Codes!$D118,IF(Fld_Menu_EN="x",Codes!$C118,IF(Fld_Menu_DE="x",Codes!$E118,"N/A")))</f>
        <v>Jamaïque</v>
      </c>
      <c r="B118" s="416" t="s">
        <v>1111</v>
      </c>
      <c r="C118" s="417" t="s">
        <v>1112</v>
      </c>
      <c r="D118" s="417" t="s">
        <v>1113</v>
      </c>
      <c r="E118" s="417" t="s">
        <v>1114</v>
      </c>
      <c r="F118" s="413">
        <v>141</v>
      </c>
    </row>
    <row r="119" spans="1:6" ht="12.75" customHeight="1">
      <c r="A119" s="413" t="str">
        <f>IF(Fld_Menu_FR="x",Codes!$D119,IF(Fld_Menu_EN="x",Codes!$C119,IF(Fld_Menu_DE="x",Codes!$E119,"N/A")))</f>
        <v>Jordanie</v>
      </c>
      <c r="B119" s="416" t="s">
        <v>1115</v>
      </c>
      <c r="C119" s="417" t="s">
        <v>1116</v>
      </c>
      <c r="D119" s="417" t="s">
        <v>1117</v>
      </c>
      <c r="E119" s="417" t="s">
        <v>1118</v>
      </c>
      <c r="F119" s="413">
        <v>142</v>
      </c>
    </row>
    <row r="120" spans="1:6" ht="12.75" customHeight="1">
      <c r="A120" s="413" t="str">
        <f>IF(Fld_Menu_FR="x",Codes!$D120,IF(Fld_Menu_EN="x",Codes!$C120,IF(Fld_Menu_DE="x",Codes!$E120,"N/A")))</f>
        <v>Japon</v>
      </c>
      <c r="B120" s="416" t="s">
        <v>1119</v>
      </c>
      <c r="C120" s="417" t="s">
        <v>1120</v>
      </c>
      <c r="D120" s="417" t="s">
        <v>1121</v>
      </c>
      <c r="E120" s="417" t="s">
        <v>1120</v>
      </c>
      <c r="F120" s="413">
        <v>143</v>
      </c>
    </row>
    <row r="121" spans="1:6" ht="12.75" customHeight="1">
      <c r="A121" s="413" t="str">
        <f>IF(Fld_Menu_FR="x",Codes!$D121,IF(Fld_Menu_EN="x",Codes!$C121,IF(Fld_Menu_DE="x",Codes!$E121,"N/A")))</f>
        <v>Kénya</v>
      </c>
      <c r="B121" s="416" t="s">
        <v>1122</v>
      </c>
      <c r="C121" s="417" t="s">
        <v>1123</v>
      </c>
      <c r="D121" s="417" t="s">
        <v>1124</v>
      </c>
      <c r="E121" s="417" t="s">
        <v>1125</v>
      </c>
      <c r="F121" s="413">
        <v>144</v>
      </c>
    </row>
    <row r="122" spans="1:6" ht="12.75" customHeight="1">
      <c r="A122" s="413" t="str">
        <f>IF(Fld_Menu_FR="x",Codes!$D122,IF(Fld_Menu_EN="x",Codes!$C122,IF(Fld_Menu_DE="x",Codes!$E122,"N/A")))</f>
        <v>Kirghistan</v>
      </c>
      <c r="B122" s="416" t="s">
        <v>1126</v>
      </c>
      <c r="C122" s="417" t="s">
        <v>1127</v>
      </c>
      <c r="D122" s="417" t="s">
        <v>1128</v>
      </c>
      <c r="E122" s="417" t="s">
        <v>1129</v>
      </c>
      <c r="F122" s="413">
        <v>145</v>
      </c>
    </row>
    <row r="123" spans="1:6" ht="12.75" customHeight="1">
      <c r="A123" s="413" t="str">
        <f>IF(Fld_Menu_FR="x",Codes!$D123,IF(Fld_Menu_EN="x",Codes!$C123,IF(Fld_Menu_DE="x",Codes!$E123,"N/A")))</f>
        <v>Cambodge</v>
      </c>
      <c r="B123" s="416" t="s">
        <v>1130</v>
      </c>
      <c r="C123" s="417" t="s">
        <v>1131</v>
      </c>
      <c r="D123" s="417" t="s">
        <v>1132</v>
      </c>
      <c r="E123" s="417" t="s">
        <v>1133</v>
      </c>
      <c r="F123" s="413">
        <v>146</v>
      </c>
    </row>
    <row r="124" spans="1:6" ht="12.75" customHeight="1">
      <c r="A124" s="413" t="str">
        <f>IF(Fld_Menu_FR="x",Codes!$D124,IF(Fld_Menu_EN="x",Codes!$C124,IF(Fld_Menu_DE="x",Codes!$E124,"N/A")))</f>
        <v>Kiribati</v>
      </c>
      <c r="B124" s="416" t="s">
        <v>1134</v>
      </c>
      <c r="C124" s="417" t="s">
        <v>1135</v>
      </c>
      <c r="D124" s="417" t="s">
        <v>1135</v>
      </c>
      <c r="E124" s="417" t="s">
        <v>1135</v>
      </c>
      <c r="F124" s="413">
        <v>147</v>
      </c>
    </row>
    <row r="125" spans="1:6" ht="12.75" customHeight="1">
      <c r="A125" s="413" t="str">
        <f>IF(Fld_Menu_FR="x",Codes!$D125,IF(Fld_Menu_EN="x",Codes!$C125,IF(Fld_Menu_DE="x",Codes!$E125,"N/A")))</f>
        <v>Comores</v>
      </c>
      <c r="B125" s="416" t="s">
        <v>1136</v>
      </c>
      <c r="C125" s="417" t="s">
        <v>1137</v>
      </c>
      <c r="D125" s="417" t="s">
        <v>1138</v>
      </c>
      <c r="E125" s="417" t="s">
        <v>1139</v>
      </c>
      <c r="F125" s="413">
        <v>148</v>
      </c>
    </row>
    <row r="126" spans="1:6" ht="12.75" customHeight="1">
      <c r="A126" s="413" t="str">
        <f>IF(Fld_Menu_FR="x",Codes!$D126,IF(Fld_Menu_EN="x",Codes!$C126,IF(Fld_Menu_DE="x",Codes!$E126,"N/A")))</f>
        <v>Saint Kitts et Nevis</v>
      </c>
      <c r="B126" s="416" t="s">
        <v>1140</v>
      </c>
      <c r="C126" s="417" t="s">
        <v>1141</v>
      </c>
      <c r="D126" s="417" t="s">
        <v>1142</v>
      </c>
      <c r="E126" s="417" t="s">
        <v>1143</v>
      </c>
      <c r="F126" s="413">
        <v>149</v>
      </c>
    </row>
    <row r="127" spans="1:6" ht="12.75" customHeight="1">
      <c r="A127" s="413" t="str">
        <f>IF(Fld_Menu_FR="x",Codes!$D127,IF(Fld_Menu_EN="x",Codes!$C127,IF(Fld_Menu_DE="x",Codes!$E127,"N/A")))</f>
        <v>Corée (République Ropulaire Démocratique de)</v>
      </c>
      <c r="B127" s="416" t="s">
        <v>1144</v>
      </c>
      <c r="C127" s="417" t="s">
        <v>1328</v>
      </c>
      <c r="D127" s="417" t="s">
        <v>418</v>
      </c>
      <c r="E127" s="417" t="s">
        <v>1465</v>
      </c>
      <c r="F127" s="413">
        <v>150</v>
      </c>
    </row>
    <row r="128" spans="1:6" ht="12.75" customHeight="1">
      <c r="A128" s="413" t="str">
        <f>IF(Fld_Menu_FR="x",Codes!$D128,IF(Fld_Menu_EN="x",Codes!$C128,IF(Fld_Menu_DE="x",Codes!$E128,"N/A")))</f>
        <v>Corée (République de)</v>
      </c>
      <c r="B128" s="416" t="s">
        <v>1145</v>
      </c>
      <c r="C128" s="417" t="s">
        <v>1329</v>
      </c>
      <c r="D128" s="417" t="s">
        <v>417</v>
      </c>
      <c r="E128" s="417" t="s">
        <v>1146</v>
      </c>
      <c r="F128" s="413">
        <v>151</v>
      </c>
    </row>
    <row r="129" spans="1:6" ht="12.75" customHeight="1">
      <c r="A129" s="413" t="str">
        <f>IF(Fld_Menu_FR="x",Codes!$D129,IF(Fld_Menu_EN="x",Codes!$C129,IF(Fld_Menu_DE="x",Codes!$E129,"N/A")))</f>
        <v>Koweit</v>
      </c>
      <c r="B129" s="416" t="s">
        <v>1147</v>
      </c>
      <c r="C129" s="417" t="s">
        <v>1148</v>
      </c>
      <c r="D129" s="417" t="s">
        <v>1149</v>
      </c>
      <c r="E129" s="417" t="s">
        <v>598</v>
      </c>
      <c r="F129" s="413">
        <v>152</v>
      </c>
    </row>
    <row r="130" spans="1:6" ht="12.75" customHeight="1">
      <c r="A130" s="413" t="str">
        <f>IF(Fld_Menu_FR="x",Codes!$D130,IF(Fld_Menu_EN="x",Codes!$C130,IF(Fld_Menu_DE="x",Codes!$E130,"N/A")))</f>
        <v>Iles Caïman</v>
      </c>
      <c r="B130" s="416" t="s">
        <v>599</v>
      </c>
      <c r="C130" s="417" t="s">
        <v>1330</v>
      </c>
      <c r="D130" s="417" t="s">
        <v>600</v>
      </c>
      <c r="E130" s="417" t="s">
        <v>601</v>
      </c>
      <c r="F130" s="413">
        <v>153</v>
      </c>
    </row>
    <row r="131" spans="1:6" ht="12.75" customHeight="1">
      <c r="A131" s="413" t="str">
        <f>IF(Fld_Menu_FR="x",Codes!$D131,IF(Fld_Menu_EN="x",Codes!$C131,IF(Fld_Menu_DE="x",Codes!$E131,"N/A")))</f>
        <v>Kazakhstan</v>
      </c>
      <c r="B131" s="416" t="s">
        <v>602</v>
      </c>
      <c r="C131" s="417" t="s">
        <v>603</v>
      </c>
      <c r="D131" s="417" t="s">
        <v>603</v>
      </c>
      <c r="E131" s="417" t="s">
        <v>2049</v>
      </c>
      <c r="F131" s="413">
        <v>154</v>
      </c>
    </row>
    <row r="132" spans="1:6" ht="12.75" customHeight="1">
      <c r="A132" s="413" t="str">
        <f>IF(Fld_Menu_FR="x",Codes!$D132,IF(Fld_Menu_EN="x",Codes!$C132,IF(Fld_Menu_DE="x",Codes!$E132,"N/A")))</f>
        <v>Laos (République Démocratique Populaire)</v>
      </c>
      <c r="B132" s="416" t="s">
        <v>2050</v>
      </c>
      <c r="C132" s="417" t="s">
        <v>2051</v>
      </c>
      <c r="D132" s="417" t="s">
        <v>416</v>
      </c>
      <c r="E132" s="417" t="s">
        <v>1466</v>
      </c>
      <c r="F132" s="413">
        <v>155</v>
      </c>
    </row>
    <row r="133" spans="1:6" ht="12.75" customHeight="1">
      <c r="A133" s="413" t="str">
        <f>IF(Fld_Menu_FR="x",Codes!$D133,IF(Fld_Menu_EN="x",Codes!$C133,IF(Fld_Menu_DE="x",Codes!$E133,"N/A")))</f>
        <v>Liban</v>
      </c>
      <c r="B133" s="416" t="s">
        <v>2052</v>
      </c>
      <c r="C133" s="417" t="s">
        <v>2053</v>
      </c>
      <c r="D133" s="417" t="s">
        <v>2054</v>
      </c>
      <c r="E133" s="417" t="s">
        <v>2055</v>
      </c>
      <c r="F133" s="413">
        <v>156</v>
      </c>
    </row>
    <row r="134" spans="1:6" ht="12.75" customHeight="1">
      <c r="A134" s="413" t="str">
        <f>IF(Fld_Menu_FR="x",Codes!$D134,IF(Fld_Menu_EN="x",Codes!$C134,IF(Fld_Menu_DE="x",Codes!$E134,"N/A")))</f>
        <v>Sainte-Lucie (Antilles)</v>
      </c>
      <c r="B134" s="416" t="s">
        <v>2056</v>
      </c>
      <c r="C134" s="417" t="s">
        <v>2057</v>
      </c>
      <c r="D134" s="417" t="s">
        <v>2058</v>
      </c>
      <c r="E134" s="417" t="s">
        <v>2059</v>
      </c>
      <c r="F134" s="413">
        <v>157</v>
      </c>
    </row>
    <row r="135" spans="1:6" ht="12.75" customHeight="1">
      <c r="A135" s="413" t="str">
        <f>IF(Fld_Menu_FR="x",Codes!$D135,IF(Fld_Menu_EN="x",Codes!$C135,IF(Fld_Menu_DE="x",Codes!$E135,"N/A")))</f>
        <v>Liechtenstein</v>
      </c>
      <c r="B135" s="416" t="s">
        <v>2060</v>
      </c>
      <c r="C135" s="417" t="s">
        <v>2061</v>
      </c>
      <c r="D135" s="417" t="s">
        <v>2061</v>
      </c>
      <c r="E135" s="417" t="s">
        <v>2061</v>
      </c>
      <c r="F135" s="413">
        <v>158</v>
      </c>
    </row>
    <row r="136" spans="1:6" ht="12.75" customHeight="1">
      <c r="A136" s="413" t="str">
        <f>IF(Fld_Menu_FR="x",Codes!$D136,IF(Fld_Menu_EN="x",Codes!$C136,IF(Fld_Menu_DE="x",Codes!$E136,"N/A")))</f>
        <v>Sri Lanka</v>
      </c>
      <c r="B136" s="416" t="s">
        <v>2062</v>
      </c>
      <c r="C136" s="417" t="s">
        <v>2063</v>
      </c>
      <c r="D136" s="417" t="s">
        <v>2063</v>
      </c>
      <c r="E136" s="417" t="s">
        <v>2063</v>
      </c>
      <c r="F136" s="413">
        <v>159</v>
      </c>
    </row>
    <row r="137" spans="1:6" ht="12.75" customHeight="1">
      <c r="A137" s="413" t="str">
        <f>IF(Fld_Menu_FR="x",Codes!$D137,IF(Fld_Menu_EN="x",Codes!$C137,IF(Fld_Menu_DE="x",Codes!$E137,"N/A")))</f>
        <v>Libéria</v>
      </c>
      <c r="B137" s="416" t="s">
        <v>2064</v>
      </c>
      <c r="C137" s="417" t="s">
        <v>2065</v>
      </c>
      <c r="D137" s="417" t="s">
        <v>2066</v>
      </c>
      <c r="E137" s="417" t="s">
        <v>2065</v>
      </c>
      <c r="F137" s="413">
        <v>160</v>
      </c>
    </row>
    <row r="138" spans="1:6" ht="12.75" customHeight="1">
      <c r="A138" s="413" t="str">
        <f>IF(Fld_Menu_FR="x",Codes!$D138,IF(Fld_Menu_EN="x",Codes!$C138,IF(Fld_Menu_DE="x",Codes!$E138,"N/A")))</f>
        <v>Lesotho</v>
      </c>
      <c r="B138" s="416" t="s">
        <v>2067</v>
      </c>
      <c r="C138" s="417" t="s">
        <v>2068</v>
      </c>
      <c r="D138" s="417" t="s">
        <v>2068</v>
      </c>
      <c r="E138" s="417" t="s">
        <v>2068</v>
      </c>
      <c r="F138" s="413">
        <v>161</v>
      </c>
    </row>
    <row r="139" spans="1:6" ht="12.75" customHeight="1">
      <c r="A139" s="413" t="str">
        <f>IF(Fld_Menu_FR="x",Codes!$D139,IF(Fld_Menu_EN="x",Codes!$C139,IF(Fld_Menu_DE="x",Codes!$E139,"N/A")))</f>
        <v>Jamahiriya Libyenne</v>
      </c>
      <c r="B139" s="416" t="s">
        <v>631</v>
      </c>
      <c r="C139" s="417" t="s">
        <v>1948</v>
      </c>
      <c r="D139" s="417" t="s">
        <v>1949</v>
      </c>
      <c r="E139" s="417" t="s">
        <v>1948</v>
      </c>
      <c r="F139" s="413">
        <v>164</v>
      </c>
    </row>
    <row r="140" spans="1:6" ht="12.75" customHeight="1">
      <c r="A140" s="413" t="str">
        <f>IF(Fld_Menu_FR="x",Codes!$D140,IF(Fld_Menu_EN="x",Codes!$C140,IF(Fld_Menu_DE="x",Codes!$E140,"N/A")))</f>
        <v>Maroc</v>
      </c>
      <c r="B140" s="416" t="s">
        <v>1950</v>
      </c>
      <c r="C140" s="417" t="s">
        <v>1951</v>
      </c>
      <c r="D140" s="417" t="s">
        <v>1952</v>
      </c>
      <c r="E140" s="417" t="s">
        <v>1953</v>
      </c>
      <c r="F140" s="413">
        <v>165</v>
      </c>
    </row>
    <row r="141" spans="1:6" ht="12.75" customHeight="1">
      <c r="A141" s="413" t="str">
        <f>IF(Fld_Menu_FR="x",Codes!$D141,IF(Fld_Menu_EN="x",Codes!$C141,IF(Fld_Menu_DE="x",Codes!$E141,"N/A")))</f>
        <v>Monaco</v>
      </c>
      <c r="B141" s="416" t="s">
        <v>1954</v>
      </c>
      <c r="C141" s="417" t="s">
        <v>1955</v>
      </c>
      <c r="D141" s="417" t="s">
        <v>1955</v>
      </c>
      <c r="E141" s="417" t="s">
        <v>1955</v>
      </c>
      <c r="F141" s="413">
        <v>166</v>
      </c>
    </row>
    <row r="142" spans="1:6" ht="12.75" customHeight="1">
      <c r="A142" s="413" t="str">
        <f>IF(Fld_Menu_FR="x",Codes!$D142,IF(Fld_Menu_EN="x",Codes!$C142,IF(Fld_Menu_DE="x",Codes!$E142,"N/A")))</f>
        <v>Moldavie</v>
      </c>
      <c r="B142" s="416" t="s">
        <v>1956</v>
      </c>
      <c r="C142" s="417" t="s">
        <v>1331</v>
      </c>
      <c r="D142" s="417" t="s">
        <v>1957</v>
      </c>
      <c r="E142" s="417" t="s">
        <v>1435</v>
      </c>
      <c r="F142" s="413">
        <v>167</v>
      </c>
    </row>
    <row r="143" spans="1:6" ht="12.75" customHeight="1">
      <c r="A143" s="413" t="str">
        <f>IF(Fld_Menu_FR="x",Codes!$D143,IF(Fld_Menu_EN="x",Codes!$C143,IF(Fld_Menu_DE="x",Codes!$E143,"N/A")))</f>
        <v>Madagascar</v>
      </c>
      <c r="B143" s="416" t="s">
        <v>1958</v>
      </c>
      <c r="C143" s="417" t="s">
        <v>1959</v>
      </c>
      <c r="D143" s="417" t="s">
        <v>1959</v>
      </c>
      <c r="E143" s="417" t="s">
        <v>1960</v>
      </c>
      <c r="F143" s="413">
        <v>168</v>
      </c>
    </row>
    <row r="144" spans="1:6" ht="12.75" customHeight="1">
      <c r="A144" s="413" t="str">
        <f>IF(Fld_Menu_FR="x",Codes!$D144,IF(Fld_Menu_EN="x",Codes!$C144,IF(Fld_Menu_DE="x",Codes!$E144,"N/A")))</f>
        <v>Iles Marshall</v>
      </c>
      <c r="B144" s="416" t="s">
        <v>1961</v>
      </c>
      <c r="C144" s="417" t="s">
        <v>1332</v>
      </c>
      <c r="D144" s="417" t="s">
        <v>1962</v>
      </c>
      <c r="E144" s="417" t="s">
        <v>1963</v>
      </c>
      <c r="F144" s="413">
        <v>169</v>
      </c>
    </row>
    <row r="145" spans="1:6" ht="12.75" customHeight="1">
      <c r="A145" s="413" t="str">
        <f>IF(Fld_Menu_FR="x",Codes!$D145,IF(Fld_Menu_EN="x",Codes!$C145,IF(Fld_Menu_DE="x",Codes!$E145,"N/A")))</f>
        <v>Macédoine (ex République Yougoslave de)</v>
      </c>
      <c r="B145" s="416" t="s">
        <v>1964</v>
      </c>
      <c r="C145" s="417" t="s">
        <v>1333</v>
      </c>
      <c r="D145" s="417" t="s">
        <v>415</v>
      </c>
      <c r="E145" s="417" t="s">
        <v>686</v>
      </c>
      <c r="F145" s="413">
        <v>170</v>
      </c>
    </row>
    <row r="146" spans="1:6" ht="12.75" customHeight="1">
      <c r="A146" s="413" t="str">
        <f>IF(Fld_Menu_FR="x",Codes!$D146,IF(Fld_Menu_EN="x",Codes!$C146,IF(Fld_Menu_DE="x",Codes!$E146,"N/A")))</f>
        <v>Mali</v>
      </c>
      <c r="B146" s="416" t="s">
        <v>687</v>
      </c>
      <c r="C146" s="417" t="s">
        <v>688</v>
      </c>
      <c r="D146" s="417" t="s">
        <v>688</v>
      </c>
      <c r="E146" s="417" t="s">
        <v>688</v>
      </c>
      <c r="F146" s="413">
        <v>171</v>
      </c>
    </row>
    <row r="147" spans="1:6" ht="12.75" customHeight="1">
      <c r="A147" s="413" t="str">
        <f>IF(Fld_Menu_FR="x",Codes!$D147,IF(Fld_Menu_EN="x",Codes!$C147,IF(Fld_Menu_DE="x",Codes!$E147,"N/A")))</f>
        <v>Birmanie</v>
      </c>
      <c r="B147" s="416" t="s">
        <v>689</v>
      </c>
      <c r="C147" s="417" t="s">
        <v>690</v>
      </c>
      <c r="D147" s="417" t="s">
        <v>691</v>
      </c>
      <c r="E147" s="417" t="s">
        <v>690</v>
      </c>
      <c r="F147" s="413">
        <v>172</v>
      </c>
    </row>
    <row r="148" spans="1:6" ht="12.75" customHeight="1">
      <c r="A148" s="413" t="str">
        <f>IF(Fld_Menu_FR="x",Codes!$D148,IF(Fld_Menu_EN="x",Codes!$C148,IF(Fld_Menu_DE="x",Codes!$E148,"N/A")))</f>
        <v>Mongolie</v>
      </c>
      <c r="B148" s="416" t="s">
        <v>692</v>
      </c>
      <c r="C148" s="417" t="s">
        <v>693</v>
      </c>
      <c r="D148" s="417" t="s">
        <v>694</v>
      </c>
      <c r="E148" s="417" t="s">
        <v>695</v>
      </c>
      <c r="F148" s="413">
        <v>173</v>
      </c>
    </row>
    <row r="149" spans="1:6" ht="12.75" customHeight="1">
      <c r="A149" s="413" t="str">
        <f>IF(Fld_Menu_FR="x",Codes!$D149,IF(Fld_Menu_EN="x",Codes!$C149,IF(Fld_Menu_DE="x",Codes!$E149,"N/A")))</f>
        <v>Macao</v>
      </c>
      <c r="B149" s="416" t="s">
        <v>696</v>
      </c>
      <c r="C149" s="417" t="s">
        <v>697</v>
      </c>
      <c r="D149" s="417" t="s">
        <v>698</v>
      </c>
      <c r="E149" s="417" t="s">
        <v>697</v>
      </c>
      <c r="F149" s="413">
        <v>174</v>
      </c>
    </row>
    <row r="150" spans="1:6" ht="12.75" customHeight="1">
      <c r="A150" s="413" t="str">
        <f>IF(Fld_Menu_FR="x",Codes!$D150,IF(Fld_Menu_EN="x",Codes!$C150,IF(Fld_Menu_DE="x",Codes!$E150,"N/A")))</f>
        <v>Mariana Îles du Nord</v>
      </c>
      <c r="B150" s="416" t="s">
        <v>699</v>
      </c>
      <c r="C150" s="417" t="s">
        <v>1439</v>
      </c>
      <c r="D150" s="417" t="s">
        <v>414</v>
      </c>
      <c r="E150" s="417" t="s">
        <v>700</v>
      </c>
      <c r="F150" s="413">
        <v>175</v>
      </c>
    </row>
    <row r="151" spans="1:6" ht="12.75" customHeight="1">
      <c r="A151" s="413" t="str">
        <f>IF(Fld_Menu_FR="x",Codes!$D151,IF(Fld_Menu_EN="x",Codes!$C151,IF(Fld_Menu_DE="x",Codes!$E151,"N/A")))</f>
        <v>Martinique</v>
      </c>
      <c r="B151" s="416" t="s">
        <v>701</v>
      </c>
      <c r="C151" s="417" t="s">
        <v>702</v>
      </c>
      <c r="D151" s="417" t="s">
        <v>702</v>
      </c>
      <c r="E151" s="417" t="s">
        <v>702</v>
      </c>
      <c r="F151" s="413">
        <v>176</v>
      </c>
    </row>
    <row r="152" spans="1:6" ht="12.75" customHeight="1">
      <c r="A152" s="413" t="str">
        <f>IF(Fld_Menu_FR="x",Codes!$D152,IF(Fld_Menu_EN="x",Codes!$C152,IF(Fld_Menu_DE="x",Codes!$E152,"N/A")))</f>
        <v>Mauritanie</v>
      </c>
      <c r="B152" s="416" t="s">
        <v>703</v>
      </c>
      <c r="C152" s="417" t="s">
        <v>704</v>
      </c>
      <c r="D152" s="417" t="s">
        <v>705</v>
      </c>
      <c r="E152" s="417" t="s">
        <v>706</v>
      </c>
      <c r="F152" s="413">
        <v>177</v>
      </c>
    </row>
    <row r="153" spans="1:6" ht="12.75" customHeight="1">
      <c r="A153" s="413" t="str">
        <f>IF(Fld_Menu_FR="x",Codes!$D153,IF(Fld_Menu_EN="x",Codes!$C153,IF(Fld_Menu_DE="x",Codes!$E153,"N/A")))</f>
        <v>Montserrat</v>
      </c>
      <c r="B153" s="416" t="s">
        <v>707</v>
      </c>
      <c r="C153" s="417" t="s">
        <v>708</v>
      </c>
      <c r="D153" s="417" t="s">
        <v>708</v>
      </c>
      <c r="E153" s="417" t="s">
        <v>708</v>
      </c>
      <c r="F153" s="413">
        <v>178</v>
      </c>
    </row>
    <row r="154" spans="1:6" ht="12.75" customHeight="1">
      <c r="A154" s="413" t="str">
        <f>IF(Fld_Menu_FR="x",Codes!$D154,IF(Fld_Menu_EN="x",Codes!$C154,IF(Fld_Menu_DE="x",Codes!$E154,"N/A")))</f>
        <v>Maurice</v>
      </c>
      <c r="B154" s="416" t="s">
        <v>712</v>
      </c>
      <c r="C154" s="417" t="s">
        <v>713</v>
      </c>
      <c r="D154" s="417" t="s">
        <v>714</v>
      </c>
      <c r="E154" s="417" t="s">
        <v>713</v>
      </c>
      <c r="F154" s="413">
        <v>180</v>
      </c>
    </row>
    <row r="155" spans="1:6" ht="12.75" customHeight="1">
      <c r="A155" s="413" t="str">
        <f>IF(Fld_Menu_FR="x",Codes!$D155,IF(Fld_Menu_EN="x",Codes!$C155,IF(Fld_Menu_DE="x",Codes!$E155,"N/A")))</f>
        <v>Maldives</v>
      </c>
      <c r="B155" s="416" t="s">
        <v>715</v>
      </c>
      <c r="C155" s="417" t="s">
        <v>716</v>
      </c>
      <c r="D155" s="417" t="s">
        <v>716</v>
      </c>
      <c r="E155" s="417" t="s">
        <v>716</v>
      </c>
      <c r="F155" s="413">
        <v>181</v>
      </c>
    </row>
    <row r="156" spans="1:6" ht="12.75" customHeight="1">
      <c r="A156" s="413" t="str">
        <f>IF(Fld_Menu_FR="x",Codes!$D156,IF(Fld_Menu_EN="x",Codes!$C156,IF(Fld_Menu_DE="x",Codes!$E156,"N/A")))</f>
        <v>Malawi</v>
      </c>
      <c r="B156" s="416" t="s">
        <v>717</v>
      </c>
      <c r="C156" s="417" t="s">
        <v>718</v>
      </c>
      <c r="D156" s="417" t="s">
        <v>718</v>
      </c>
      <c r="E156" s="417" t="s">
        <v>718</v>
      </c>
      <c r="F156" s="413">
        <v>182</v>
      </c>
    </row>
    <row r="157" spans="1:6" ht="12.75" customHeight="1">
      <c r="A157" s="413" t="str">
        <f>IF(Fld_Menu_FR="x",Codes!$D157,IF(Fld_Menu_EN="x",Codes!$C157,IF(Fld_Menu_DE="x",Codes!$E157,"N/A")))</f>
        <v>Mexique</v>
      </c>
      <c r="B157" s="416" t="s">
        <v>719</v>
      </c>
      <c r="C157" s="417" t="s">
        <v>720</v>
      </c>
      <c r="D157" s="417" t="s">
        <v>721</v>
      </c>
      <c r="E157" s="417" t="s">
        <v>722</v>
      </c>
      <c r="F157" s="413">
        <v>183</v>
      </c>
    </row>
    <row r="158" spans="1:6" ht="12.75" customHeight="1">
      <c r="A158" s="413" t="str">
        <f>IF(Fld_Menu_FR="x",Codes!$D158,IF(Fld_Menu_EN="x",Codes!$C158,IF(Fld_Menu_DE="x",Codes!$E158,"N/A")))</f>
        <v>Malaysie</v>
      </c>
      <c r="B158" s="416" t="s">
        <v>723</v>
      </c>
      <c r="C158" s="417" t="s">
        <v>724</v>
      </c>
      <c r="D158" s="417" t="s">
        <v>725</v>
      </c>
      <c r="E158" s="417" t="s">
        <v>724</v>
      </c>
      <c r="F158" s="413">
        <v>184</v>
      </c>
    </row>
    <row r="159" spans="1:6" ht="12.75" customHeight="1">
      <c r="A159" s="413" t="str">
        <f>IF(Fld_Menu_FR="x",Codes!$D159,IF(Fld_Menu_EN="x",Codes!$C159,IF(Fld_Menu_DE="x",Codes!$E159,"N/A")))</f>
        <v>Mozambique</v>
      </c>
      <c r="B159" s="416" t="s">
        <v>726</v>
      </c>
      <c r="C159" s="417" t="s">
        <v>727</v>
      </c>
      <c r="D159" s="417" t="s">
        <v>727</v>
      </c>
      <c r="E159" s="417" t="s">
        <v>728</v>
      </c>
      <c r="F159" s="413">
        <v>185</v>
      </c>
    </row>
    <row r="160" spans="1:6" ht="12.75" customHeight="1">
      <c r="A160" s="413" t="str">
        <f>IF(Fld_Menu_FR="x",Codes!$D160,IF(Fld_Menu_EN="x",Codes!$C160,IF(Fld_Menu_DE="x",Codes!$E160,"N/A")))</f>
        <v>Namibie</v>
      </c>
      <c r="B160" s="416" t="s">
        <v>729</v>
      </c>
      <c r="C160" s="417" t="s">
        <v>730</v>
      </c>
      <c r="D160" s="417" t="s">
        <v>731</v>
      </c>
      <c r="E160" s="417" t="s">
        <v>730</v>
      </c>
      <c r="F160" s="413">
        <v>186</v>
      </c>
    </row>
    <row r="161" spans="1:6" ht="12.75" customHeight="1">
      <c r="A161" s="413" t="str">
        <f>IF(Fld_Menu_FR="x",Codes!$D161,IF(Fld_Menu_EN="x",Codes!$C161,IF(Fld_Menu_DE="x",Codes!$E161,"N/A")))</f>
        <v>Nouvelle Calédonie</v>
      </c>
      <c r="B161" s="416" t="s">
        <v>732</v>
      </c>
      <c r="C161" s="417" t="s">
        <v>733</v>
      </c>
      <c r="D161" s="417" t="s">
        <v>734</v>
      </c>
      <c r="E161" s="417" t="s">
        <v>735</v>
      </c>
      <c r="F161" s="413">
        <v>187</v>
      </c>
    </row>
    <row r="162" spans="1:6" ht="12.75" customHeight="1">
      <c r="A162" s="413" t="str">
        <f>IF(Fld_Menu_FR="x",Codes!$D162,IF(Fld_Menu_EN="x",Codes!$C162,IF(Fld_Menu_DE="x",Codes!$E162,"N/A")))</f>
        <v>Niger</v>
      </c>
      <c r="B162" s="416" t="s">
        <v>736</v>
      </c>
      <c r="C162" s="417" t="s">
        <v>737</v>
      </c>
      <c r="D162" s="417" t="s">
        <v>737</v>
      </c>
      <c r="E162" s="417" t="s">
        <v>737</v>
      </c>
      <c r="F162" s="413">
        <v>188</v>
      </c>
    </row>
    <row r="163" spans="1:6" ht="12.75" customHeight="1">
      <c r="A163" s="413" t="str">
        <f>IF(Fld_Menu_FR="x",Codes!$D163,IF(Fld_Menu_EN="x",Codes!$C163,IF(Fld_Menu_DE="x",Codes!$E163,"N/A")))</f>
        <v>Iles Norfolk</v>
      </c>
      <c r="B163" s="416" t="s">
        <v>738</v>
      </c>
      <c r="C163" s="417" t="s">
        <v>1440</v>
      </c>
      <c r="D163" s="417" t="s">
        <v>739</v>
      </c>
      <c r="E163" s="417" t="s">
        <v>740</v>
      </c>
      <c r="F163" s="413">
        <v>189</v>
      </c>
    </row>
    <row r="164" spans="1:6" ht="12.75" customHeight="1">
      <c r="A164" s="413" t="str">
        <f>IF(Fld_Menu_FR="x",Codes!$D164,IF(Fld_Menu_EN="x",Codes!$C164,IF(Fld_Menu_DE="x",Codes!$E164,"N/A")))</f>
        <v>Nigéria</v>
      </c>
      <c r="B164" s="416" t="s">
        <v>741</v>
      </c>
      <c r="C164" s="417" t="s">
        <v>742</v>
      </c>
      <c r="D164" s="417" t="s">
        <v>743</v>
      </c>
      <c r="E164" s="417" t="s">
        <v>742</v>
      </c>
      <c r="F164" s="413">
        <v>190</v>
      </c>
    </row>
    <row r="165" spans="1:6" ht="12.75" customHeight="1">
      <c r="A165" s="413" t="str">
        <f>IF(Fld_Menu_FR="x",Codes!$D165,IF(Fld_Menu_EN="x",Codes!$C165,IF(Fld_Menu_DE="x",Codes!$E165,"N/A")))</f>
        <v>Nicaragua</v>
      </c>
      <c r="B165" s="416" t="s">
        <v>744</v>
      </c>
      <c r="C165" s="417" t="s">
        <v>745</v>
      </c>
      <c r="D165" s="417" t="s">
        <v>745</v>
      </c>
      <c r="E165" s="417" t="s">
        <v>745</v>
      </c>
      <c r="F165" s="413">
        <v>191</v>
      </c>
    </row>
    <row r="166" spans="1:6" ht="12.75" customHeight="1">
      <c r="A166" s="413" t="str">
        <f>IF(Fld_Menu_FR="x",Codes!$D166,IF(Fld_Menu_EN="x",Codes!$C166,IF(Fld_Menu_DE="x",Codes!$E166,"N/A")))</f>
        <v>Népal</v>
      </c>
      <c r="B166" s="416" t="s">
        <v>750</v>
      </c>
      <c r="C166" s="417" t="s">
        <v>751</v>
      </c>
      <c r="D166" s="417" t="s">
        <v>752</v>
      </c>
      <c r="E166" s="417" t="s">
        <v>751</v>
      </c>
      <c r="F166" s="413">
        <v>193</v>
      </c>
    </row>
    <row r="167" spans="1:6" ht="12.75" customHeight="1">
      <c r="A167" s="413" t="str">
        <f>IF(Fld_Menu_FR="x",Codes!$D167,IF(Fld_Menu_EN="x",Codes!$C167,IF(Fld_Menu_DE="x",Codes!$E167,"N/A")))</f>
        <v>Nauru</v>
      </c>
      <c r="B167" s="416" t="s">
        <v>753</v>
      </c>
      <c r="C167" s="417" t="s">
        <v>754</v>
      </c>
      <c r="D167" s="417" t="s">
        <v>754</v>
      </c>
      <c r="E167" s="417" t="s">
        <v>754</v>
      </c>
      <c r="F167" s="413">
        <v>194</v>
      </c>
    </row>
    <row r="168" spans="1:6" ht="12.75" customHeight="1">
      <c r="A168" s="413" t="str">
        <f>IF(Fld_Menu_FR="x",Codes!$D168,IF(Fld_Menu_EN="x",Codes!$C168,IF(Fld_Menu_DE="x",Codes!$E168,"N/A")))</f>
        <v>Nauru</v>
      </c>
      <c r="B168" s="416" t="s">
        <v>755</v>
      </c>
      <c r="C168" s="417" t="s">
        <v>756</v>
      </c>
      <c r="D168" s="417" t="s">
        <v>754</v>
      </c>
      <c r="E168" s="417" t="s">
        <v>754</v>
      </c>
      <c r="F168" s="413">
        <v>195</v>
      </c>
    </row>
    <row r="169" spans="1:6" ht="12.75" customHeight="1">
      <c r="A169" s="413" t="str">
        <f>IF(Fld_Menu_FR="x",Codes!$D169,IF(Fld_Menu_EN="x",Codes!$C169,IF(Fld_Menu_DE="x",Codes!$E169,"N/A")))</f>
        <v>Nouvelle Zélande</v>
      </c>
      <c r="B169" s="416" t="s">
        <v>757</v>
      </c>
      <c r="C169" s="417" t="s">
        <v>758</v>
      </c>
      <c r="D169" s="417" t="s">
        <v>759</v>
      </c>
      <c r="E169" s="417" t="s">
        <v>760</v>
      </c>
      <c r="F169" s="413">
        <v>196</v>
      </c>
    </row>
    <row r="170" spans="1:6" ht="12.75" customHeight="1">
      <c r="A170" s="413" t="str">
        <f>IF(Fld_Menu_FR="x",Codes!$D170,IF(Fld_Menu_EN="x",Codes!$C170,IF(Fld_Menu_DE="x",Codes!$E170,"N/A")))</f>
        <v>Oman</v>
      </c>
      <c r="B170" s="416" t="s">
        <v>761</v>
      </c>
      <c r="C170" s="417" t="s">
        <v>762</v>
      </c>
      <c r="D170" s="417" t="s">
        <v>762</v>
      </c>
      <c r="E170" s="417" t="s">
        <v>762</v>
      </c>
      <c r="F170" s="413">
        <v>197</v>
      </c>
    </row>
    <row r="171" spans="1:6" ht="12.75" customHeight="1">
      <c r="A171" s="413" t="str">
        <f>IF(Fld_Menu_FR="x",Codes!$D171,IF(Fld_Menu_EN="x",Codes!$C171,IF(Fld_Menu_DE="x",Codes!$E171,"N/A")))</f>
        <v>Panama</v>
      </c>
      <c r="B171" s="416" t="s">
        <v>763</v>
      </c>
      <c r="C171" s="417" t="s">
        <v>764</v>
      </c>
      <c r="D171" s="417" t="s">
        <v>764</v>
      </c>
      <c r="E171" s="417" t="s">
        <v>764</v>
      </c>
      <c r="F171" s="413">
        <v>198</v>
      </c>
    </row>
    <row r="172" spans="1:6" ht="12.75" customHeight="1">
      <c r="A172" s="413" t="str">
        <f>IF(Fld_Menu_FR="x",Codes!$D172,IF(Fld_Menu_EN="x",Codes!$C172,IF(Fld_Menu_DE="x",Codes!$E172,"N/A")))</f>
        <v>Pérou</v>
      </c>
      <c r="B172" s="416" t="s">
        <v>765</v>
      </c>
      <c r="C172" s="417" t="s">
        <v>766</v>
      </c>
      <c r="D172" s="417" t="s">
        <v>1592</v>
      </c>
      <c r="E172" s="417" t="s">
        <v>766</v>
      </c>
      <c r="F172" s="413">
        <v>199</v>
      </c>
    </row>
    <row r="173" spans="1:6" ht="12.75" customHeight="1">
      <c r="A173" s="413" t="str">
        <f>IF(Fld_Menu_FR="x",Codes!$D173,IF(Fld_Menu_EN="x",Codes!$C173,IF(Fld_Menu_DE="x",Codes!$E173,"N/A")))</f>
        <v>Polynésie Française</v>
      </c>
      <c r="B173" s="416" t="s">
        <v>1593</v>
      </c>
      <c r="C173" s="417" t="s">
        <v>1594</v>
      </c>
      <c r="D173" s="417" t="s">
        <v>413</v>
      </c>
      <c r="E173" s="417" t="s">
        <v>1595</v>
      </c>
      <c r="F173" s="413">
        <v>200</v>
      </c>
    </row>
    <row r="174" spans="1:6" ht="12.75" customHeight="1">
      <c r="A174" s="413" t="str">
        <f>IF(Fld_Menu_FR="x",Codes!$D174,IF(Fld_Menu_EN="x",Codes!$C174,IF(Fld_Menu_DE="x",Codes!$E174,"N/A")))</f>
        <v>Papouasie Nouvelle Guinée</v>
      </c>
      <c r="B174" s="416" t="s">
        <v>1596</v>
      </c>
      <c r="C174" s="417" t="s">
        <v>1597</v>
      </c>
      <c r="D174" s="417" t="s">
        <v>1598</v>
      </c>
      <c r="E174" s="417" t="s">
        <v>1599</v>
      </c>
      <c r="F174" s="413">
        <v>201</v>
      </c>
    </row>
    <row r="175" spans="1:6" ht="12.75" customHeight="1">
      <c r="A175" s="413" t="str">
        <f>IF(Fld_Menu_FR="x",Codes!$D175,IF(Fld_Menu_EN="x",Codes!$C175,IF(Fld_Menu_DE="x",Codes!$E175,"N/A")))</f>
        <v>Philipines</v>
      </c>
      <c r="B175" s="416" t="s">
        <v>1600</v>
      </c>
      <c r="C175" s="417" t="s">
        <v>1601</v>
      </c>
      <c r="D175" s="417" t="s">
        <v>1601</v>
      </c>
      <c r="E175" s="417" t="s">
        <v>1602</v>
      </c>
      <c r="F175" s="413">
        <v>202</v>
      </c>
    </row>
    <row r="176" spans="1:6" ht="12.75" customHeight="1">
      <c r="A176" s="413" t="str">
        <f>IF(Fld_Menu_FR="x",Codes!$D176,IF(Fld_Menu_EN="x",Codes!$C176,IF(Fld_Menu_DE="x",Codes!$E176,"N/A")))</f>
        <v>Pakistan</v>
      </c>
      <c r="B176" s="416" t="s">
        <v>1603</v>
      </c>
      <c r="C176" s="417" t="s">
        <v>1604</v>
      </c>
      <c r="D176" s="417" t="s">
        <v>1604</v>
      </c>
      <c r="E176" s="417" t="s">
        <v>1604</v>
      </c>
      <c r="F176" s="413">
        <v>203</v>
      </c>
    </row>
    <row r="177" spans="1:6" ht="12.75" customHeight="1">
      <c r="A177" s="413" t="str">
        <f>IF(Fld_Menu_FR="x",Codes!$D177,IF(Fld_Menu_EN="x",Codes!$C177,IF(Fld_Menu_DE="x",Codes!$E177,"N/A")))</f>
        <v>St. Pierre et Miquelon</v>
      </c>
      <c r="B177" s="416" t="s">
        <v>1609</v>
      </c>
      <c r="C177" s="417" t="s">
        <v>1610</v>
      </c>
      <c r="D177" s="417" t="s">
        <v>1611</v>
      </c>
      <c r="E177" s="417" t="s">
        <v>1612</v>
      </c>
      <c r="F177" s="413">
        <v>205</v>
      </c>
    </row>
    <row r="178" spans="1:6" ht="12.75" customHeight="1">
      <c r="A178" s="413" t="str">
        <f>IF(Fld_Menu_FR="x",Codes!$D178,IF(Fld_Menu_EN="x",Codes!$C178,IF(Fld_Menu_DE="x",Codes!$E178,"N/A")))</f>
        <v>Pitcairn</v>
      </c>
      <c r="B178" s="416" t="s">
        <v>1613</v>
      </c>
      <c r="C178" s="417" t="s">
        <v>1614</v>
      </c>
      <c r="D178" s="417" t="s">
        <v>1614</v>
      </c>
      <c r="E178" s="417" t="s">
        <v>1614</v>
      </c>
      <c r="F178" s="413">
        <v>206</v>
      </c>
    </row>
    <row r="179" spans="1:6" ht="12.75" customHeight="1">
      <c r="A179" s="413" t="str">
        <f>IF(Fld_Menu_FR="x",Codes!$D179,IF(Fld_Menu_EN="x",Codes!$C179,IF(Fld_Menu_DE="x",Codes!$E179,"N/A")))</f>
        <v>Puerto Rico</v>
      </c>
      <c r="B179" s="416" t="s">
        <v>1615</v>
      </c>
      <c r="C179" s="417" t="s">
        <v>1176</v>
      </c>
      <c r="D179" s="417" t="s">
        <v>1176</v>
      </c>
      <c r="E179" s="417" t="s">
        <v>1176</v>
      </c>
      <c r="F179" s="413">
        <v>207</v>
      </c>
    </row>
    <row r="180" spans="1:6" ht="12.75" customHeight="1">
      <c r="A180" s="413" t="str">
        <f>IF(Fld_Menu_FR="x",Codes!$D180,IF(Fld_Menu_EN="x",Codes!$C180,IF(Fld_Menu_DE="x",Codes!$E180,"N/A")))</f>
        <v>Palau</v>
      </c>
      <c r="B180" s="416" t="s">
        <v>1177</v>
      </c>
      <c r="C180" s="417" t="s">
        <v>1178</v>
      </c>
      <c r="D180" s="417" t="s">
        <v>1178</v>
      </c>
      <c r="E180" s="417" t="s">
        <v>1178</v>
      </c>
      <c r="F180" s="413">
        <v>208</v>
      </c>
    </row>
    <row r="181" spans="1:6" ht="12.75" customHeight="1">
      <c r="A181" s="413" t="str">
        <f>IF(Fld_Menu_FR="x",Codes!$D181,IF(Fld_Menu_EN="x",Codes!$C181,IF(Fld_Menu_DE="x",Codes!$E181,"N/A")))</f>
        <v>Paraguay</v>
      </c>
      <c r="B181" s="416" t="s">
        <v>1179</v>
      </c>
      <c r="C181" s="417" t="s">
        <v>1180</v>
      </c>
      <c r="D181" s="417" t="s">
        <v>1180</v>
      </c>
      <c r="E181" s="417" t="s">
        <v>1180</v>
      </c>
      <c r="F181" s="413">
        <v>209</v>
      </c>
    </row>
    <row r="182" spans="1:6" ht="12.75" customHeight="1">
      <c r="A182" s="413" t="str">
        <f>IF(Fld_Menu_FR="x",Codes!$D182,IF(Fld_Menu_EN="x",Codes!$C182,IF(Fld_Menu_DE="x",Codes!$E182,"N/A")))</f>
        <v>Quatar</v>
      </c>
      <c r="B182" s="416" t="s">
        <v>1181</v>
      </c>
      <c r="C182" s="417" t="s">
        <v>1182</v>
      </c>
      <c r="D182" s="417" t="s">
        <v>1182</v>
      </c>
      <c r="E182" s="417" t="s">
        <v>1182</v>
      </c>
      <c r="F182" s="413">
        <v>210</v>
      </c>
    </row>
    <row r="183" spans="1:6" ht="12.75" customHeight="1">
      <c r="A183" s="413" t="str">
        <f>IF(Fld_Menu_FR="x",Codes!$D183,IF(Fld_Menu_EN="x",Codes!$C183,IF(Fld_Menu_DE="x",Codes!$E183,"N/A")))</f>
        <v>Réunion</v>
      </c>
      <c r="B183" s="416" t="s">
        <v>1183</v>
      </c>
      <c r="C183" s="417" t="s">
        <v>1184</v>
      </c>
      <c r="D183" s="417" t="s">
        <v>1185</v>
      </c>
      <c r="E183" s="417" t="s">
        <v>1184</v>
      </c>
      <c r="F183" s="413">
        <v>211</v>
      </c>
    </row>
    <row r="184" spans="1:6" ht="12.75" customHeight="1">
      <c r="A184" s="413" t="str">
        <f>IF(Fld_Menu_FR="x",Codes!$D184,IF(Fld_Menu_EN="x",Codes!$C184,IF(Fld_Menu_DE="x",Codes!$E184,"N/A")))</f>
        <v>Russie</v>
      </c>
      <c r="B184" s="416" t="s">
        <v>1190</v>
      </c>
      <c r="C184" s="417" t="s">
        <v>1441</v>
      </c>
      <c r="D184" s="417" t="s">
        <v>1191</v>
      </c>
      <c r="E184" s="417" t="s">
        <v>1436</v>
      </c>
      <c r="F184" s="413">
        <v>213</v>
      </c>
    </row>
    <row r="185" spans="1:6" ht="12.75" customHeight="1">
      <c r="A185" s="413" t="str">
        <f>IF(Fld_Menu_FR="x",Codes!$D185,IF(Fld_Menu_EN="x",Codes!$C185,IF(Fld_Menu_DE="x",Codes!$E185,"N/A")))</f>
        <v>Rwanda</v>
      </c>
      <c r="B185" s="416" t="s">
        <v>1192</v>
      </c>
      <c r="C185" s="417" t="s">
        <v>1193</v>
      </c>
      <c r="D185" s="417" t="s">
        <v>1193</v>
      </c>
      <c r="E185" s="417" t="s">
        <v>1194</v>
      </c>
      <c r="F185" s="413">
        <v>214</v>
      </c>
    </row>
    <row r="186" spans="1:6" ht="12.75" customHeight="1">
      <c r="A186" s="413" t="str">
        <f>IF(Fld_Menu_FR="x",Codes!$D186,IF(Fld_Menu_EN="x",Codes!$C186,IF(Fld_Menu_DE="x",Codes!$E186,"N/A")))</f>
        <v>Arabie Saoudite</v>
      </c>
      <c r="B186" s="416" t="s">
        <v>1195</v>
      </c>
      <c r="C186" s="417" t="s">
        <v>1196</v>
      </c>
      <c r="D186" s="417" t="s">
        <v>1197</v>
      </c>
      <c r="E186" s="417" t="s">
        <v>1198</v>
      </c>
      <c r="F186" s="413">
        <v>215</v>
      </c>
    </row>
    <row r="187" spans="1:6" ht="12.75" customHeight="1">
      <c r="A187" s="413" t="str">
        <f>IF(Fld_Menu_FR="x",Codes!$D187,IF(Fld_Menu_EN="x",Codes!$C187,IF(Fld_Menu_DE="x",Codes!$E187,"N/A")))</f>
        <v>Iles Salomon</v>
      </c>
      <c r="B187" s="416" t="s">
        <v>1199</v>
      </c>
      <c r="C187" s="417" t="s">
        <v>1442</v>
      </c>
      <c r="D187" s="417" t="s">
        <v>1200</v>
      </c>
      <c r="E187" s="417" t="s">
        <v>1201</v>
      </c>
      <c r="F187" s="413">
        <v>216</v>
      </c>
    </row>
    <row r="188" spans="1:6" ht="12.75" customHeight="1">
      <c r="A188" s="413" t="str">
        <f>IF(Fld_Menu_FR="x",Codes!$D188,IF(Fld_Menu_EN="x",Codes!$C188,IF(Fld_Menu_DE="x",Codes!$E188,"N/A")))</f>
        <v>Seychelles</v>
      </c>
      <c r="B188" s="416" t="s">
        <v>1202</v>
      </c>
      <c r="C188" s="417" t="s">
        <v>1203</v>
      </c>
      <c r="D188" s="417" t="s">
        <v>1203</v>
      </c>
      <c r="E188" s="417" t="s">
        <v>1204</v>
      </c>
      <c r="F188" s="413">
        <v>217</v>
      </c>
    </row>
    <row r="189" spans="1:6" ht="12.75" customHeight="1">
      <c r="A189" s="413" t="str">
        <f>IF(Fld_Menu_FR="x",Codes!$D189,IF(Fld_Menu_EN="x",Codes!$C189,IF(Fld_Menu_DE="x",Codes!$E189,"N/A")))</f>
        <v>Soudan</v>
      </c>
      <c r="B189" s="416" t="s">
        <v>1205</v>
      </c>
      <c r="C189" s="417" t="s">
        <v>1206</v>
      </c>
      <c r="D189" s="417" t="s">
        <v>1207</v>
      </c>
      <c r="E189" s="417" t="s">
        <v>1206</v>
      </c>
      <c r="F189" s="413">
        <v>218</v>
      </c>
    </row>
    <row r="190" spans="1:6" ht="12.75" customHeight="1">
      <c r="A190" s="413" t="str">
        <f>IF(Fld_Menu_FR="x",Codes!$D190,IF(Fld_Menu_EN="x",Codes!$C190,IF(Fld_Menu_DE="x",Codes!$E190,"N/A")))</f>
        <v>Singapoure</v>
      </c>
      <c r="B190" s="416" t="s">
        <v>1208</v>
      </c>
      <c r="C190" s="417" t="s">
        <v>1209</v>
      </c>
      <c r="D190" s="417" t="s">
        <v>1210</v>
      </c>
      <c r="E190" s="417" t="s">
        <v>1211</v>
      </c>
      <c r="F190" s="413">
        <v>219</v>
      </c>
    </row>
    <row r="191" spans="1:6" ht="12.75" customHeight="1">
      <c r="A191" s="413" t="str">
        <f>IF(Fld_Menu_FR="x",Codes!$D191,IF(Fld_Menu_EN="x",Codes!$C191,IF(Fld_Menu_DE="x",Codes!$E191,"N/A")))</f>
        <v>Ste. Hélène</v>
      </c>
      <c r="B191" s="416" t="s">
        <v>1212</v>
      </c>
      <c r="C191" s="417" t="s">
        <v>1213</v>
      </c>
      <c r="D191" s="417" t="s">
        <v>1214</v>
      </c>
      <c r="E191" s="417" t="s">
        <v>1215</v>
      </c>
      <c r="F191" s="413">
        <v>220</v>
      </c>
    </row>
    <row r="192" spans="1:6" ht="12.75" customHeight="1">
      <c r="A192" s="413" t="str">
        <f>IF(Fld_Menu_FR="x",Codes!$D192,IF(Fld_Menu_EN="x",Codes!$C192,IF(Fld_Menu_DE="x",Codes!$E192,"N/A")))</f>
        <v>Iles Svalbard et Jan Mayen</v>
      </c>
      <c r="B192" s="416" t="s">
        <v>1220</v>
      </c>
      <c r="C192" s="417" t="s">
        <v>1443</v>
      </c>
      <c r="D192" s="417" t="s">
        <v>1221</v>
      </c>
      <c r="E192" s="417" t="s">
        <v>1437</v>
      </c>
      <c r="F192" s="413">
        <v>222</v>
      </c>
    </row>
    <row r="193" spans="1:6" ht="12.75" customHeight="1">
      <c r="A193" s="413" t="str">
        <f>IF(Fld_Menu_FR="x",Codes!$D193,IF(Fld_Menu_EN="x",Codes!$C193,IF(Fld_Menu_DE="x",Codes!$E193,"N/A")))</f>
        <v>Sierra Leone</v>
      </c>
      <c r="B193" s="416" t="s">
        <v>1225</v>
      </c>
      <c r="C193" s="417" t="s">
        <v>1226</v>
      </c>
      <c r="D193" s="417" t="s">
        <v>1226</v>
      </c>
      <c r="E193" s="417" t="s">
        <v>1226</v>
      </c>
      <c r="F193" s="413">
        <v>224</v>
      </c>
    </row>
    <row r="194" spans="1:6" ht="12.75" customHeight="1">
      <c r="A194" s="413" t="str">
        <f>IF(Fld_Menu_FR="x",Codes!$D194,IF(Fld_Menu_EN="x",Codes!$C194,IF(Fld_Menu_DE="x",Codes!$E194,"N/A")))</f>
        <v>Saint Marin</v>
      </c>
      <c r="B194" s="416" t="s">
        <v>1227</v>
      </c>
      <c r="C194" s="417" t="s">
        <v>1228</v>
      </c>
      <c r="D194" s="417" t="s">
        <v>1229</v>
      </c>
      <c r="E194" s="417" t="s">
        <v>1228</v>
      </c>
      <c r="F194" s="413">
        <v>225</v>
      </c>
    </row>
    <row r="195" spans="1:6" ht="12.75" customHeight="1">
      <c r="A195" s="413" t="str">
        <f>IF(Fld_Menu_FR="x",Codes!$D195,IF(Fld_Menu_EN="x",Codes!$C195,IF(Fld_Menu_DE="x",Codes!$E195,"N/A")))</f>
        <v>Sénégal</v>
      </c>
      <c r="B195" s="416" t="s">
        <v>1230</v>
      </c>
      <c r="C195" s="417" t="s">
        <v>1231</v>
      </c>
      <c r="D195" s="417" t="s">
        <v>1232</v>
      </c>
      <c r="E195" s="417" t="s">
        <v>1231</v>
      </c>
      <c r="F195" s="413">
        <v>226</v>
      </c>
    </row>
    <row r="196" spans="1:6" ht="12.75" customHeight="1">
      <c r="A196" s="413" t="str">
        <f>IF(Fld_Menu_FR="x",Codes!$D196,IF(Fld_Menu_EN="x",Codes!$C196,IF(Fld_Menu_DE="x",Codes!$E196,"N/A")))</f>
        <v>Somalie</v>
      </c>
      <c r="B196" s="416" t="s">
        <v>1233</v>
      </c>
      <c r="C196" s="417" t="s">
        <v>1234</v>
      </c>
      <c r="D196" s="417" t="s">
        <v>1235</v>
      </c>
      <c r="E196" s="417" t="s">
        <v>1234</v>
      </c>
      <c r="F196" s="413">
        <v>227</v>
      </c>
    </row>
    <row r="197" spans="1:6" ht="12.75" customHeight="1">
      <c r="A197" s="413" t="str">
        <f>IF(Fld_Menu_FR="x",Codes!$D197,IF(Fld_Menu_EN="x",Codes!$C197,IF(Fld_Menu_DE="x",Codes!$E197,"N/A")))</f>
        <v>Suriname</v>
      </c>
      <c r="B197" s="416" t="s">
        <v>1236</v>
      </c>
      <c r="C197" s="417" t="s">
        <v>1237</v>
      </c>
      <c r="D197" s="417" t="s">
        <v>1237</v>
      </c>
      <c r="E197" s="417" t="s">
        <v>1237</v>
      </c>
      <c r="F197" s="413">
        <v>228</v>
      </c>
    </row>
    <row r="198" spans="1:6" ht="12.75" customHeight="1">
      <c r="A198" s="413" t="str">
        <f>IF(Fld_Menu_FR="x",Codes!$D198,IF(Fld_Menu_EN="x",Codes!$C198,IF(Fld_Menu_DE="x",Codes!$E198,"N/A")))</f>
        <v>Sao Tome et Principe</v>
      </c>
      <c r="B198" s="416" t="s">
        <v>1238</v>
      </c>
      <c r="C198" s="417" t="s">
        <v>1445</v>
      </c>
      <c r="D198" s="417" t="s">
        <v>1239</v>
      </c>
      <c r="E198" s="417" t="s">
        <v>1240</v>
      </c>
      <c r="F198" s="413">
        <v>229</v>
      </c>
    </row>
    <row r="199" spans="1:6" ht="12.75" customHeight="1">
      <c r="A199" s="413" t="str">
        <f>IF(Fld_Menu_FR="x",Codes!$D199,IF(Fld_Menu_EN="x",Codes!$C199,IF(Fld_Menu_DE="x",Codes!$E199,"N/A")))</f>
        <v>Salvador</v>
      </c>
      <c r="B199" s="416" t="s">
        <v>1241</v>
      </c>
      <c r="C199" s="417" t="s">
        <v>1242</v>
      </c>
      <c r="D199" s="417" t="s">
        <v>1243</v>
      </c>
      <c r="E199" s="417" t="s">
        <v>1244</v>
      </c>
      <c r="F199" s="413">
        <v>230</v>
      </c>
    </row>
    <row r="200" spans="1:6" ht="12.75" customHeight="1">
      <c r="A200" s="413" t="str">
        <f>IF(Fld_Menu_FR="x",Codes!$D200,IF(Fld_Menu_EN="x",Codes!$C200,IF(Fld_Menu_DE="x",Codes!$E200,"N/A")))</f>
        <v>Syrie (République Arabe de)</v>
      </c>
      <c r="B200" s="416" t="s">
        <v>1245</v>
      </c>
      <c r="C200" s="417" t="s">
        <v>1446</v>
      </c>
      <c r="D200" s="417" t="s">
        <v>412</v>
      </c>
      <c r="E200" s="417" t="s">
        <v>1438</v>
      </c>
      <c r="F200" s="413">
        <v>231</v>
      </c>
    </row>
    <row r="201" spans="1:6" ht="12.75" customHeight="1">
      <c r="A201" s="413" t="str">
        <f>IF(Fld_Menu_FR="x",Codes!$D201,IF(Fld_Menu_EN="x",Codes!$C201,IF(Fld_Menu_DE="x",Codes!$E201,"N/A")))</f>
        <v>Swazilande</v>
      </c>
      <c r="B201" s="416" t="s">
        <v>1246</v>
      </c>
      <c r="C201" s="417" t="s">
        <v>1247</v>
      </c>
      <c r="D201" s="417" t="s">
        <v>1248</v>
      </c>
      <c r="E201" s="417" t="s">
        <v>1247</v>
      </c>
      <c r="F201" s="413">
        <v>232</v>
      </c>
    </row>
    <row r="202" spans="1:6" ht="12.75" customHeight="1">
      <c r="A202" s="413" t="str">
        <f>IF(Fld_Menu_FR="x",Codes!$D202,IF(Fld_Menu_EN="x",Codes!$C202,IF(Fld_Menu_DE="x",Codes!$E202,"N/A")))</f>
        <v>Iles Turques et Caïcos</v>
      </c>
      <c r="B202" s="416" t="s">
        <v>1249</v>
      </c>
      <c r="C202" s="417" t="s">
        <v>1447</v>
      </c>
      <c r="D202" s="417" t="s">
        <v>411</v>
      </c>
      <c r="E202" s="417" t="s">
        <v>1250</v>
      </c>
      <c r="F202" s="413">
        <v>233</v>
      </c>
    </row>
    <row r="203" spans="1:6" ht="12.75" customHeight="1">
      <c r="A203" s="413" t="str">
        <f>IF(Fld_Menu_FR="x",Codes!$D203,IF(Fld_Menu_EN="x",Codes!$C203,IF(Fld_Menu_DE="x",Codes!$E203,"N/A")))</f>
        <v>Tchad</v>
      </c>
      <c r="B203" s="416" t="s">
        <v>1251</v>
      </c>
      <c r="C203" s="417" t="s">
        <v>1252</v>
      </c>
      <c r="D203" s="417" t="s">
        <v>1253</v>
      </c>
      <c r="E203" s="417" t="s">
        <v>1254</v>
      </c>
      <c r="F203" s="413">
        <v>234</v>
      </c>
    </row>
    <row r="204" spans="1:6" ht="12.75" customHeight="1">
      <c r="A204" s="413" t="str">
        <f>IF(Fld_Menu_FR="x",Codes!$D204,IF(Fld_Menu_EN="x",Codes!$C204,IF(Fld_Menu_DE="x",Codes!$E204,"N/A")))</f>
        <v>Territoires Français du Sud</v>
      </c>
      <c r="B204" s="416" t="s">
        <v>1255</v>
      </c>
      <c r="C204" s="417" t="s">
        <v>1448</v>
      </c>
      <c r="D204" s="417" t="s">
        <v>410</v>
      </c>
      <c r="E204" s="417" t="s">
        <v>397</v>
      </c>
      <c r="F204" s="413">
        <v>235</v>
      </c>
    </row>
    <row r="205" spans="1:6" ht="12.75" customHeight="1">
      <c r="A205" s="413" t="str">
        <f>IF(Fld_Menu_FR="x",Codes!$D205,IF(Fld_Menu_EN="x",Codes!$C205,IF(Fld_Menu_DE="x",Codes!$E205,"N/A")))</f>
        <v>Togo</v>
      </c>
      <c r="B205" s="416" t="s">
        <v>1256</v>
      </c>
      <c r="C205" s="417" t="s">
        <v>1257</v>
      </c>
      <c r="D205" s="417" t="s">
        <v>1257</v>
      </c>
      <c r="E205" s="417" t="s">
        <v>1257</v>
      </c>
      <c r="F205" s="413">
        <v>236</v>
      </c>
    </row>
    <row r="206" spans="1:6" ht="12.75" customHeight="1">
      <c r="A206" s="413" t="str">
        <f>IF(Fld_Menu_FR="x",Codes!$D206,IF(Fld_Menu_EN="x",Codes!$C206,IF(Fld_Menu_DE="x",Codes!$E206,"N/A")))</f>
        <v>Thaïlande</v>
      </c>
      <c r="B206" s="416" t="s">
        <v>1258</v>
      </c>
      <c r="C206" s="417" t="s">
        <v>1259</v>
      </c>
      <c r="D206" s="417" t="s">
        <v>1260</v>
      </c>
      <c r="E206" s="417" t="s">
        <v>1259</v>
      </c>
      <c r="F206" s="413">
        <v>237</v>
      </c>
    </row>
    <row r="207" spans="1:6" ht="12.75" customHeight="1">
      <c r="A207" s="413" t="str">
        <f>IF(Fld_Menu_FR="x",Codes!$D207,IF(Fld_Menu_EN="x",Codes!$C207,IF(Fld_Menu_DE="x",Codes!$E207,"N/A")))</f>
        <v>Tadjikistan</v>
      </c>
      <c r="B207" s="416" t="s">
        <v>1261</v>
      </c>
      <c r="C207" s="417" t="s">
        <v>1262</v>
      </c>
      <c r="D207" s="417" t="s">
        <v>1263</v>
      </c>
      <c r="E207" s="417" t="s">
        <v>1262</v>
      </c>
      <c r="F207" s="413">
        <v>238</v>
      </c>
    </row>
    <row r="208" spans="1:6" ht="12.75" customHeight="1">
      <c r="A208" s="413" t="str">
        <f>IF(Fld_Menu_FR="x",Codes!$D208,IF(Fld_Menu_EN="x",Codes!$C208,IF(Fld_Menu_DE="x",Codes!$E208,"N/A")))</f>
        <v>Tokelau</v>
      </c>
      <c r="B208" s="416" t="s">
        <v>1264</v>
      </c>
      <c r="C208" s="417" t="s">
        <v>1025</v>
      </c>
      <c r="D208" s="417" t="s">
        <v>1025</v>
      </c>
      <c r="E208" s="417" t="s">
        <v>1025</v>
      </c>
      <c r="F208" s="413">
        <v>239</v>
      </c>
    </row>
    <row r="209" spans="1:6" ht="12.75" customHeight="1">
      <c r="A209" s="413" t="str">
        <f>IF(Fld_Menu_FR="x",Codes!$D209,IF(Fld_Menu_EN="x",Codes!$C209,IF(Fld_Menu_DE="x",Codes!$E209,"N/A")))</f>
        <v>Turkménistan</v>
      </c>
      <c r="B209" s="416" t="s">
        <v>1026</v>
      </c>
      <c r="C209" s="417" t="s">
        <v>1027</v>
      </c>
      <c r="D209" s="417" t="s">
        <v>1028</v>
      </c>
      <c r="E209" s="417" t="s">
        <v>1027</v>
      </c>
      <c r="F209" s="413">
        <v>240</v>
      </c>
    </row>
    <row r="210" spans="1:6" ht="12.75" customHeight="1">
      <c r="A210" s="413" t="str">
        <f>IF(Fld_Menu_FR="x",Codes!$D210,IF(Fld_Menu_EN="x",Codes!$C210,IF(Fld_Menu_DE="x",Codes!$E210,"N/A")))</f>
        <v>Tunisie</v>
      </c>
      <c r="B210" s="416" t="s">
        <v>1029</v>
      </c>
      <c r="C210" s="417" t="s">
        <v>1030</v>
      </c>
      <c r="D210" s="417" t="s">
        <v>1031</v>
      </c>
      <c r="E210" s="417" t="s">
        <v>1032</v>
      </c>
      <c r="F210" s="413">
        <v>241</v>
      </c>
    </row>
    <row r="211" spans="1:6" ht="12.75" customHeight="1">
      <c r="A211" s="413" t="str">
        <f>IF(Fld_Menu_FR="x",Codes!$D211,IF(Fld_Menu_EN="x",Codes!$C211,IF(Fld_Menu_DE="x",Codes!$E211,"N/A")))</f>
        <v>Tonga</v>
      </c>
      <c r="B211" s="416" t="s">
        <v>1033</v>
      </c>
      <c r="C211" s="417" t="s">
        <v>1034</v>
      </c>
      <c r="D211" s="417" t="s">
        <v>1034</v>
      </c>
      <c r="E211" s="417" t="s">
        <v>1034</v>
      </c>
      <c r="F211" s="413">
        <v>242</v>
      </c>
    </row>
    <row r="212" spans="1:6" ht="12.75" customHeight="1">
      <c r="A212" s="413" t="str">
        <f>IF(Fld_Menu_FR="x",Codes!$D212,IF(Fld_Menu_EN="x",Codes!$C212,IF(Fld_Menu_DE="x",Codes!$E212,"N/A")))</f>
        <v>Trinité et Tobago</v>
      </c>
      <c r="B212" s="416" t="s">
        <v>1038</v>
      </c>
      <c r="C212" s="417" t="s">
        <v>1947</v>
      </c>
      <c r="D212" s="417" t="s">
        <v>2103</v>
      </c>
      <c r="E212" s="417" t="s">
        <v>2104</v>
      </c>
      <c r="F212" s="413">
        <v>244</v>
      </c>
    </row>
    <row r="213" spans="1:6" ht="12.75" customHeight="1">
      <c r="A213" s="413" t="str">
        <f>IF(Fld_Menu_FR="x",Codes!$D213,IF(Fld_Menu_EN="x",Codes!$C213,IF(Fld_Menu_DE="x",Codes!$E213,"N/A")))</f>
        <v>Tuvalu</v>
      </c>
      <c r="B213" s="416" t="s">
        <v>2105</v>
      </c>
      <c r="C213" s="417" t="s">
        <v>2106</v>
      </c>
      <c r="D213" s="417" t="s">
        <v>2106</v>
      </c>
      <c r="E213" s="417" t="s">
        <v>2106</v>
      </c>
      <c r="F213" s="413">
        <v>245</v>
      </c>
    </row>
    <row r="214" spans="1:6" ht="12.75" customHeight="1">
      <c r="A214" s="413" t="str">
        <f>IF(Fld_Menu_FR="x",Codes!$D214,IF(Fld_Menu_EN="x",Codes!$C214,IF(Fld_Menu_DE="x",Codes!$E214,"N/A")))</f>
        <v>Taïwan, Province de Chine</v>
      </c>
      <c r="B214" s="416" t="s">
        <v>2107</v>
      </c>
      <c r="C214" s="417" t="s">
        <v>1449</v>
      </c>
      <c r="D214" s="417" t="s">
        <v>409</v>
      </c>
      <c r="E214" s="417" t="s">
        <v>398</v>
      </c>
      <c r="F214" s="413">
        <v>246</v>
      </c>
    </row>
    <row r="215" spans="1:6" ht="12.75" customHeight="1">
      <c r="A215" s="413" t="str">
        <f>IF(Fld_Menu_FR="x",Codes!$D215,IF(Fld_Menu_EN="x",Codes!$C215,IF(Fld_Menu_DE="x",Codes!$E215,"N/A")))</f>
        <v>Tanzanie, République Unie de</v>
      </c>
      <c r="B215" s="416" t="s">
        <v>2108</v>
      </c>
      <c r="C215" s="417" t="s">
        <v>1450</v>
      </c>
      <c r="D215" s="417" t="s">
        <v>408</v>
      </c>
      <c r="E215" s="417" t="s">
        <v>399</v>
      </c>
      <c r="F215" s="413">
        <v>247</v>
      </c>
    </row>
    <row r="216" spans="1:6" ht="12.75" customHeight="1">
      <c r="A216" s="413" t="str">
        <f>IF(Fld_Menu_FR="x",Codes!$D216,IF(Fld_Menu_EN="x",Codes!$C216,IF(Fld_Menu_DE="x",Codes!$E216,"N/A")))</f>
        <v>Ukraine</v>
      </c>
      <c r="B216" s="416" t="s">
        <v>2109</v>
      </c>
      <c r="C216" s="417" t="s">
        <v>2110</v>
      </c>
      <c r="D216" s="417" t="s">
        <v>2110</v>
      </c>
      <c r="E216" s="417" t="s">
        <v>2110</v>
      </c>
      <c r="F216" s="413">
        <v>248</v>
      </c>
    </row>
    <row r="217" spans="1:6" ht="12.75" customHeight="1">
      <c r="A217" s="413" t="str">
        <f>IF(Fld_Menu_FR="x",Codes!$D217,IF(Fld_Menu_EN="x",Codes!$C217,IF(Fld_Menu_DE="x",Codes!$E217,"N/A")))</f>
        <v>Ouganda</v>
      </c>
      <c r="B217" s="416" t="s">
        <v>2111</v>
      </c>
      <c r="C217" s="417" t="s">
        <v>2112</v>
      </c>
      <c r="D217" s="417" t="s">
        <v>2113</v>
      </c>
      <c r="E217" s="417" t="s">
        <v>2112</v>
      </c>
      <c r="F217" s="413">
        <v>249</v>
      </c>
    </row>
    <row r="218" spans="1:6" ht="12.75" customHeight="1">
      <c r="A218" s="413" t="str">
        <f>IF(Fld_Menu_FR="x",Codes!$D218,IF(Fld_Menu_EN="x",Codes!$C218,IF(Fld_Menu_DE="x",Codes!$E218,"N/A")))</f>
        <v>Iles Périphériques Mineures Américaines des Etats-Unis</v>
      </c>
      <c r="B218" s="416" t="s">
        <v>2114</v>
      </c>
      <c r="C218" s="417" t="s">
        <v>1451</v>
      </c>
      <c r="D218" s="417" t="s">
        <v>407</v>
      </c>
      <c r="E218" s="417" t="s">
        <v>400</v>
      </c>
      <c r="F218" s="413">
        <v>250</v>
      </c>
    </row>
    <row r="219" spans="1:6" ht="12.75" customHeight="1">
      <c r="A219" s="413" t="str">
        <f>IF(Fld_Menu_FR="x",Codes!$D219,IF(Fld_Menu_EN="x",Codes!$C219,IF(Fld_Menu_DE="x",Codes!$E219,"N/A")))</f>
        <v>Etats Unis</v>
      </c>
      <c r="B219" s="416" t="s">
        <v>2115</v>
      </c>
      <c r="C219" s="417" t="s">
        <v>2116</v>
      </c>
      <c r="D219" s="417" t="s">
        <v>2117</v>
      </c>
      <c r="E219" s="417" t="s">
        <v>401</v>
      </c>
      <c r="F219" s="413">
        <v>251</v>
      </c>
    </row>
    <row r="220" spans="1:6" ht="12.75" customHeight="1">
      <c r="A220" s="413" t="str">
        <f>IF(Fld_Menu_FR="x",Codes!$D220,IF(Fld_Menu_EN="x",Codes!$C220,IF(Fld_Menu_DE="x",Codes!$E220,"N/A")))</f>
        <v>Uruguay</v>
      </c>
      <c r="B220" s="416" t="s">
        <v>2118</v>
      </c>
      <c r="C220" s="417" t="s">
        <v>2119</v>
      </c>
      <c r="D220" s="417" t="s">
        <v>2119</v>
      </c>
      <c r="E220" s="417" t="s">
        <v>2119</v>
      </c>
      <c r="F220" s="413">
        <v>252</v>
      </c>
    </row>
    <row r="221" spans="1:6" ht="12.75" customHeight="1">
      <c r="A221" s="413" t="str">
        <f>IF(Fld_Menu_FR="x",Codes!$D221,IF(Fld_Menu_EN="x",Codes!$C221,IF(Fld_Menu_DE="x",Codes!$E221,"N/A")))</f>
        <v>Ouzbekistan</v>
      </c>
      <c r="B221" s="416" t="s">
        <v>2120</v>
      </c>
      <c r="C221" s="417" t="s">
        <v>2121</v>
      </c>
      <c r="D221" s="417" t="s">
        <v>2122</v>
      </c>
      <c r="E221" s="417" t="s">
        <v>2123</v>
      </c>
      <c r="F221" s="413">
        <v>253</v>
      </c>
    </row>
    <row r="222" spans="1:6" ht="12.75" customHeight="1">
      <c r="A222" s="413" t="str">
        <f>IF(Fld_Menu_FR="x",Codes!$D222,IF(Fld_Menu_EN="x",Codes!$C222,IF(Fld_Menu_DE="x",Codes!$E222,"N/A")))</f>
        <v>Saint Vincent et Grenadines</v>
      </c>
      <c r="B222" s="416" t="s">
        <v>2124</v>
      </c>
      <c r="C222" s="417" t="s">
        <v>2125</v>
      </c>
      <c r="D222" s="417" t="s">
        <v>2126</v>
      </c>
      <c r="E222" s="417" t="s">
        <v>2127</v>
      </c>
      <c r="F222" s="413">
        <v>254</v>
      </c>
    </row>
    <row r="223" spans="1:6" ht="12.75" customHeight="1">
      <c r="A223" s="413" t="str">
        <f>IF(Fld_Menu_FR="x",Codes!$D223,IF(Fld_Menu_EN="x",Codes!$C223,IF(Fld_Menu_DE="x",Codes!$E223,"N/A")))</f>
        <v>Vénézuela</v>
      </c>
      <c r="B223" s="416" t="s">
        <v>2128</v>
      </c>
      <c r="C223" s="417" t="s">
        <v>2129</v>
      </c>
      <c r="D223" s="417" t="s">
        <v>2130</v>
      </c>
      <c r="E223" s="417" t="s">
        <v>2129</v>
      </c>
      <c r="F223" s="413">
        <v>255</v>
      </c>
    </row>
    <row r="224" spans="1:6" ht="12.75" customHeight="1">
      <c r="A224" s="413" t="str">
        <f>IF(Fld_Menu_FR="x",Codes!$D224,IF(Fld_Menu_EN="x",Codes!$C224,IF(Fld_Menu_DE="x",Codes!$E224,"N/A")))</f>
        <v>Iles Vierges (anglaises)</v>
      </c>
      <c r="B224" s="416" t="s">
        <v>2131</v>
      </c>
      <c r="C224" s="417" t="s">
        <v>1452</v>
      </c>
      <c r="D224" s="417" t="s">
        <v>2132</v>
      </c>
      <c r="E224" s="417" t="s">
        <v>402</v>
      </c>
      <c r="F224" s="413">
        <v>256</v>
      </c>
    </row>
    <row r="225" spans="1:6" ht="12.75" customHeight="1">
      <c r="A225" s="413" t="str">
        <f>IF(Fld_Menu_FR="x",Codes!$D225,IF(Fld_Menu_EN="x",Codes!$C225,IF(Fld_Menu_DE="x",Codes!$E225,"N/A")))</f>
        <v>Iles Vierges (US)</v>
      </c>
      <c r="B225" s="416" t="s">
        <v>2133</v>
      </c>
      <c r="C225" s="417" t="s">
        <v>1453</v>
      </c>
      <c r="D225" s="417" t="s">
        <v>2134</v>
      </c>
      <c r="E225" s="417" t="s">
        <v>403</v>
      </c>
      <c r="F225" s="413">
        <v>257</v>
      </c>
    </row>
    <row r="226" spans="1:6" ht="12.75" customHeight="1">
      <c r="A226" s="413" t="str">
        <f>IF(Fld_Menu_FR="x",Codes!$D226,IF(Fld_Menu_EN="x",Codes!$C226,IF(Fld_Menu_DE="x",Codes!$E226,"N/A")))</f>
        <v>Viet Nam</v>
      </c>
      <c r="B226" s="416" t="s">
        <v>2135</v>
      </c>
      <c r="C226" s="417" t="s">
        <v>2136</v>
      </c>
      <c r="D226" s="417" t="s">
        <v>2136</v>
      </c>
      <c r="E226" s="417" t="s">
        <v>2137</v>
      </c>
      <c r="F226" s="413">
        <v>258</v>
      </c>
    </row>
    <row r="227" spans="1:6" ht="12.75" customHeight="1">
      <c r="A227" s="413" t="str">
        <f>IF(Fld_Menu_FR="x",Codes!$D227,IF(Fld_Menu_EN="x",Codes!$C227,IF(Fld_Menu_DE="x",Codes!$E227,"N/A")))</f>
        <v>Vanuatu</v>
      </c>
      <c r="B227" s="416" t="s">
        <v>2138</v>
      </c>
      <c r="C227" s="417" t="s">
        <v>2139</v>
      </c>
      <c r="D227" s="417" t="s">
        <v>2139</v>
      </c>
      <c r="E227" s="417" t="s">
        <v>2139</v>
      </c>
      <c r="F227" s="413">
        <v>259</v>
      </c>
    </row>
    <row r="228" spans="1:6" ht="12.75" customHeight="1">
      <c r="A228" s="413" t="str">
        <f>IF(Fld_Menu_FR="x",Codes!$D228,IF(Fld_Menu_EN="x",Codes!$C228,IF(Fld_Menu_DE="x",Codes!$E228,"N/A")))</f>
        <v>Iles Wallis et Futuna</v>
      </c>
      <c r="B228" s="416" t="s">
        <v>2140</v>
      </c>
      <c r="C228" s="417" t="s">
        <v>1454</v>
      </c>
      <c r="D228" s="417" t="s">
        <v>2141</v>
      </c>
      <c r="E228" s="417" t="s">
        <v>404</v>
      </c>
      <c r="F228" s="413">
        <v>260</v>
      </c>
    </row>
    <row r="229" spans="1:6" ht="12.75" customHeight="1">
      <c r="A229" s="413" t="str">
        <f>IF(Fld_Menu_FR="x",Codes!$D229,IF(Fld_Menu_EN="x",Codes!$C229,IF(Fld_Menu_DE="x",Codes!$E229,"N/A")))</f>
        <v>Samoa Occidentales</v>
      </c>
      <c r="B229" s="416" t="s">
        <v>2142</v>
      </c>
      <c r="C229" s="417" t="s">
        <v>2143</v>
      </c>
      <c r="D229" s="417" t="s">
        <v>406</v>
      </c>
      <c r="E229" s="417" t="s">
        <v>405</v>
      </c>
      <c r="F229" s="413">
        <v>261</v>
      </c>
    </row>
    <row r="230" spans="1:6" ht="12.75" customHeight="1">
      <c r="A230" s="413" t="str">
        <f>IF(Fld_Menu_FR="x",Codes!$D230,IF(Fld_Menu_EN="x",Codes!$C230,IF(Fld_Menu_DE="x",Codes!$E230,"N/A")))</f>
        <v>Yemen</v>
      </c>
      <c r="B230" s="416" t="s">
        <v>2144</v>
      </c>
      <c r="C230" s="417" t="s">
        <v>2145</v>
      </c>
      <c r="D230" s="417" t="s">
        <v>2145</v>
      </c>
      <c r="E230" s="417" t="s">
        <v>2145</v>
      </c>
      <c r="F230" s="413">
        <v>262</v>
      </c>
    </row>
    <row r="231" spans="1:6" ht="12.75" customHeight="1">
      <c r="A231" s="413" t="str">
        <f>IF(Fld_Menu_FR="x",Codes!$D231,IF(Fld_Menu_EN="x",Codes!$C231,IF(Fld_Menu_DE="x",Codes!$E231,"N/A")))</f>
        <v>Mayotte</v>
      </c>
      <c r="B231" s="416" t="s">
        <v>2146</v>
      </c>
      <c r="C231" s="417" t="s">
        <v>2147</v>
      </c>
      <c r="D231" s="417" t="s">
        <v>2147</v>
      </c>
      <c r="E231" s="417" t="s">
        <v>2147</v>
      </c>
      <c r="F231" s="413">
        <v>263</v>
      </c>
    </row>
    <row r="232" spans="1:6" ht="12.75" customHeight="1">
      <c r="A232" s="413" t="str">
        <f>IF(Fld_Menu_FR="x",Codes!$D232,IF(Fld_Menu_EN="x",Codes!$C232,IF(Fld_Menu_DE="x",Codes!$E232,"N/A")))</f>
        <v>Yougoslavie</v>
      </c>
      <c r="B232" s="416" t="s">
        <v>2148</v>
      </c>
      <c r="C232" s="417" t="s">
        <v>2149</v>
      </c>
      <c r="D232" s="417" t="s">
        <v>2150</v>
      </c>
      <c r="E232" s="417" t="s">
        <v>2151</v>
      </c>
      <c r="F232" s="413">
        <v>264</v>
      </c>
    </row>
    <row r="233" spans="1:6" ht="12.75" customHeight="1">
      <c r="A233" s="413" t="str">
        <f>IF(Fld_Menu_FR="x",Codes!$D233,IF(Fld_Menu_EN="x",Codes!$C233,IF(Fld_Menu_DE="x",Codes!$E233,"N/A")))</f>
        <v>Afrique de Sud</v>
      </c>
      <c r="B233" s="416" t="s">
        <v>2152</v>
      </c>
      <c r="C233" s="417" t="s">
        <v>2153</v>
      </c>
      <c r="D233" s="417" t="s">
        <v>2154</v>
      </c>
      <c r="E233" s="417" t="s">
        <v>2155</v>
      </c>
      <c r="F233" s="413">
        <v>265</v>
      </c>
    </row>
    <row r="234" spans="1:6" ht="12.75" customHeight="1">
      <c r="A234" s="413" t="str">
        <f>IF(Fld_Menu_FR="x",Codes!$D234,IF(Fld_Menu_EN="x",Codes!$C234,IF(Fld_Menu_DE="x",Codes!$E234,"N/A")))</f>
        <v>Zambie</v>
      </c>
      <c r="B234" s="416" t="s">
        <v>2156</v>
      </c>
      <c r="C234" s="417" t="s">
        <v>2157</v>
      </c>
      <c r="D234" s="417" t="s">
        <v>2158</v>
      </c>
      <c r="E234" s="417" t="s">
        <v>2159</v>
      </c>
      <c r="F234" s="413">
        <v>266</v>
      </c>
    </row>
    <row r="235" spans="1:6" ht="12.75" customHeight="1">
      <c r="A235" s="413" t="str">
        <f>IF(Fld_Menu_FR="x",Codes!$D235,IF(Fld_Menu_EN="x",Codes!$C235,IF(Fld_Menu_DE="x",Codes!$E235,"N/A")))</f>
        <v>Zaïre</v>
      </c>
      <c r="B235" s="416" t="s">
        <v>2160</v>
      </c>
      <c r="C235" s="417" t="s">
        <v>2161</v>
      </c>
      <c r="D235" s="417" t="s">
        <v>2161</v>
      </c>
      <c r="E235" s="417" t="s">
        <v>2161</v>
      </c>
      <c r="F235" s="413">
        <v>267</v>
      </c>
    </row>
    <row r="236" spans="1:6" ht="12.75">
      <c r="A236" s="413" t="str">
        <f>IF(Fld_Menu_FR="x",Codes!$D236,IF(Fld_Menu_EN="x",Codes!$C236,IF(Fld_Menu_DE="x",Codes!$E236,"N/A")))</f>
        <v>Zimbabwe</v>
      </c>
      <c r="B236" s="416" t="s">
        <v>2162</v>
      </c>
      <c r="C236" s="417" t="s">
        <v>2163</v>
      </c>
      <c r="D236" s="417" t="s">
        <v>2163</v>
      </c>
      <c r="E236" s="417" t="s">
        <v>2163</v>
      </c>
      <c r="F236" s="413">
        <v>268</v>
      </c>
    </row>
    <row r="237" spans="2:4" ht="12.75" customHeight="1">
      <c r="B237" s="419"/>
      <c r="D237" s="420"/>
    </row>
    <row r="238" spans="2:4" ht="12.75" customHeight="1">
      <c r="B238" s="419"/>
      <c r="D238" s="420"/>
    </row>
    <row r="239" spans="1:5" ht="12.75" customHeight="1">
      <c r="A239" s="411"/>
      <c r="B239" s="421"/>
      <c r="C239" s="412" t="s">
        <v>2164</v>
      </c>
      <c r="D239" s="412" t="s">
        <v>2165</v>
      </c>
      <c r="E239" s="412" t="s">
        <v>2166</v>
      </c>
    </row>
    <row r="240" spans="1:5" ht="12.75" customHeight="1">
      <c r="A240" s="413" t="str">
        <f>IF(Fld_Menu_FR="x",Codes!$D240,IF(Fld_Menu_EN="x",Codes!$C240,IF(Fld_Menu_DE="x",Codes!$E240,"N/A")))</f>
        <v>Dott.</v>
      </c>
      <c r="B240" s="419"/>
      <c r="C240" s="417" t="s">
        <v>2167</v>
      </c>
      <c r="D240" s="417" t="s">
        <v>2167</v>
      </c>
      <c r="E240" s="417" t="s">
        <v>2167</v>
      </c>
    </row>
    <row r="241" spans="1:5" ht="12.75" customHeight="1">
      <c r="A241" s="413" t="str">
        <f>IF(Fld_Menu_FR="x",Codes!$D241,IF(Fld_Menu_EN="x",Codes!$C241,IF(Fld_Menu_DE="x",Codes!$E241,"N/A")))</f>
        <v>Dott.ssa</v>
      </c>
      <c r="B241" s="419"/>
      <c r="C241" s="417" t="s">
        <v>2168</v>
      </c>
      <c r="D241" s="417" t="s">
        <v>2168</v>
      </c>
      <c r="E241" s="417" t="s">
        <v>2168</v>
      </c>
    </row>
    <row r="242" spans="1:5" ht="12.75">
      <c r="A242" s="413" t="str">
        <f>IF(Fld_Menu_FR="x",Codes!$D242,IF(Fld_Menu_EN="x",Codes!$C242,IF(Fld_Menu_DE="x",Codes!$E242,"N/A")))</f>
        <v>Dr.</v>
      </c>
      <c r="C242" s="417" t="s">
        <v>2169</v>
      </c>
      <c r="D242" s="417" t="s">
        <v>2169</v>
      </c>
      <c r="E242" s="417" t="s">
        <v>2169</v>
      </c>
    </row>
    <row r="243" spans="1:5" ht="12.75">
      <c r="A243" s="413" t="str">
        <f>IF(Fld_Menu_FR="x",Codes!$D243,IF(Fld_Menu_EN="x",Codes!$C243,IF(Fld_Menu_DE="x",Codes!$E243,"N/A")))</f>
        <v>Dr. Dra.</v>
      </c>
      <c r="C243" s="417" t="s">
        <v>2170</v>
      </c>
      <c r="D243" s="417" t="s">
        <v>2170</v>
      </c>
      <c r="E243" s="417" t="s">
        <v>2170</v>
      </c>
    </row>
    <row r="244" spans="1:5" ht="12.75">
      <c r="A244" s="413" t="str">
        <f>IF(Fld_Menu_FR="x",Codes!$D244,IF(Fld_Menu_EN="x",Codes!$C244,IF(Fld_Menu_DE="x",Codes!$E244,"N/A")))</f>
        <v>Exma. Senhora</v>
      </c>
      <c r="C244" s="417" t="s">
        <v>0</v>
      </c>
      <c r="D244" s="417" t="s">
        <v>0</v>
      </c>
      <c r="E244" s="417" t="s">
        <v>0</v>
      </c>
    </row>
    <row r="245" spans="1:5" ht="12.75">
      <c r="A245" s="413" t="str">
        <f>IF(Fld_Menu_FR="x",Codes!$D245,IF(Fld_Menu_EN="x",Codes!$C245,IF(Fld_Menu_DE="x",Codes!$E245,"N/A")))</f>
        <v>Exmo. Senhor</v>
      </c>
      <c r="C245" s="417" t="s">
        <v>1</v>
      </c>
      <c r="D245" s="417" t="s">
        <v>1</v>
      </c>
      <c r="E245" s="417" t="s">
        <v>1</v>
      </c>
    </row>
    <row r="246" spans="1:5" ht="12.75">
      <c r="A246" s="413" t="str">
        <f>IF(Fld_Menu_FR="x",Codes!$D246,IF(Fld_Menu_EN="x",Codes!$C246,IF(Fld_Menu_DE="x",Codes!$E246,"N/A")))</f>
        <v>Frau</v>
      </c>
      <c r="C246" s="417" t="s">
        <v>2</v>
      </c>
      <c r="D246" s="417" t="s">
        <v>2</v>
      </c>
      <c r="E246" s="417" t="s">
        <v>2</v>
      </c>
    </row>
    <row r="247" spans="1:5" ht="12.75">
      <c r="A247" s="413" t="str">
        <f>IF(Fld_Menu_FR="x",Codes!$D247,IF(Fld_Menu_EN="x",Codes!$C247,IF(Fld_Menu_DE="x",Codes!$E247,"N/A")))</f>
        <v>Fru</v>
      </c>
      <c r="C247" s="417" t="s">
        <v>3</v>
      </c>
      <c r="D247" s="417" t="s">
        <v>3</v>
      </c>
      <c r="E247" s="417" t="s">
        <v>3</v>
      </c>
    </row>
    <row r="248" spans="1:5" ht="12.75">
      <c r="A248" s="413" t="str">
        <f>IF(Fld_Menu_FR="x",Codes!$D248,IF(Fld_Menu_EN="x",Codes!$C248,IF(Fld_Menu_DE="x",Codes!$E248,"N/A")))</f>
        <v>Herr</v>
      </c>
      <c r="C248" s="417" t="s">
        <v>4</v>
      </c>
      <c r="D248" s="417" t="s">
        <v>4</v>
      </c>
      <c r="E248" s="417" t="s">
        <v>4</v>
      </c>
    </row>
    <row r="249" spans="1:5" ht="12.75">
      <c r="A249" s="413" t="str">
        <f>IF(Fld_Menu_FR="x",Codes!$D249,IF(Fld_Menu_EN="x",Codes!$C249,IF(Fld_Menu_DE="x",Codes!$E249,"N/A")))</f>
        <v>M.</v>
      </c>
      <c r="C249" s="417" t="s">
        <v>5</v>
      </c>
      <c r="D249" s="417" t="s">
        <v>5</v>
      </c>
      <c r="E249" s="417" t="s">
        <v>5</v>
      </c>
    </row>
    <row r="250" spans="1:5" ht="12.75">
      <c r="A250" s="413" t="str">
        <f>IF(Fld_Menu_FR="x",Codes!$D250,IF(Fld_Menu_EN="x",Codes!$C250,IF(Fld_Menu_DE="x",Codes!$E250,"N/A")))</f>
        <v>Madame</v>
      </c>
      <c r="C250" s="417" t="s">
        <v>6</v>
      </c>
      <c r="D250" s="417" t="s">
        <v>6</v>
      </c>
      <c r="E250" s="417" t="s">
        <v>6</v>
      </c>
    </row>
    <row r="251" spans="1:5" ht="12.75">
      <c r="A251" s="413" t="str">
        <f>IF(Fld_Menu_FR="x",Codes!$D251,IF(Fld_Menu_EN="x",Codes!$C251,IF(Fld_Menu_DE="x",Codes!$E251,"N/A")))</f>
        <v>Mevrouw</v>
      </c>
      <c r="C251" s="417" t="s">
        <v>7</v>
      </c>
      <c r="D251" s="417" t="s">
        <v>7</v>
      </c>
      <c r="E251" s="417" t="s">
        <v>7</v>
      </c>
    </row>
    <row r="252" spans="1:5" ht="12.75">
      <c r="A252" s="413" t="str">
        <f>IF(Fld_Menu_FR="x",Codes!$D252,IF(Fld_Menu_EN="x",Codes!$C252,IF(Fld_Menu_DE="x",Codes!$E252,"N/A")))</f>
        <v>Mijnheer</v>
      </c>
      <c r="C252" s="417" t="s">
        <v>8</v>
      </c>
      <c r="D252" s="417" t="s">
        <v>8</v>
      </c>
      <c r="E252" s="417" t="s">
        <v>8</v>
      </c>
    </row>
    <row r="253" spans="1:5" ht="12.75">
      <c r="A253" s="413" t="str">
        <f>IF(Fld_Menu_FR="x",Codes!$D253,IF(Fld_Menu_EN="x",Codes!$C253,IF(Fld_Menu_DE="x",Codes!$E253,"N/A")))</f>
        <v>Mme</v>
      </c>
      <c r="C253" s="417" t="s">
        <v>1150</v>
      </c>
      <c r="D253" s="417" t="s">
        <v>1150</v>
      </c>
      <c r="E253" s="417" t="s">
        <v>1150</v>
      </c>
    </row>
    <row r="254" spans="1:5" ht="12.75">
      <c r="A254" s="413" t="str">
        <f>IF(Fld_Menu_FR="x",Codes!$D254,IF(Fld_Menu_EN="x",Codes!$C254,IF(Fld_Menu_DE="x",Codes!$E254,"N/A")))</f>
        <v>Monsieur</v>
      </c>
      <c r="C254" s="417" t="s">
        <v>605</v>
      </c>
      <c r="D254" s="417" t="s">
        <v>605</v>
      </c>
      <c r="E254" s="417" t="s">
        <v>605</v>
      </c>
    </row>
    <row r="255" spans="1:5" ht="12.75">
      <c r="A255" s="413" t="str">
        <f>IF(Fld_Menu_FR="x",Codes!$D255,IF(Fld_Menu_EN="x",Codes!$C255,IF(Fld_Menu_DE="x",Codes!$E255,"N/A")))</f>
        <v>Mr.</v>
      </c>
      <c r="C255" s="417" t="s">
        <v>1151</v>
      </c>
      <c r="D255" s="417" t="s">
        <v>1151</v>
      </c>
      <c r="E255" s="417" t="s">
        <v>1151</v>
      </c>
    </row>
    <row r="256" spans="1:5" ht="12.75">
      <c r="A256" s="413" t="str">
        <f>IF(Fld_Menu_FR="x",Codes!$D256,IF(Fld_Menu_EN="x",Codes!$C256,IF(Fld_Menu_DE="x",Codes!$E256,"N/A")))</f>
        <v>Ms.</v>
      </c>
      <c r="C256" s="417" t="s">
        <v>1152</v>
      </c>
      <c r="D256" s="417" t="s">
        <v>1152</v>
      </c>
      <c r="E256" s="417" t="s">
        <v>1152</v>
      </c>
    </row>
    <row r="257" spans="1:5" ht="12.75">
      <c r="A257" s="413" t="str">
        <f>IF(Fld_Menu_FR="x",Codes!$D257,IF(Fld_Menu_EN="x",Codes!$C257,IF(Fld_Menu_DE="x",Codes!$E257,"N/A")))</f>
        <v>Pr. Dra.</v>
      </c>
      <c r="C257" s="417" t="s">
        <v>1153</v>
      </c>
      <c r="D257" s="417" t="s">
        <v>1153</v>
      </c>
      <c r="E257" s="417" t="s">
        <v>1153</v>
      </c>
    </row>
    <row r="258" spans="1:5" ht="12.75">
      <c r="A258" s="413" t="str">
        <f>IF(Fld_Menu_FR="x",Codes!$D258,IF(Fld_Menu_EN="x",Codes!$C258,IF(Fld_Menu_DE="x",Codes!$E258,"N/A")))</f>
        <v>Prof.</v>
      </c>
      <c r="C258" s="417" t="s">
        <v>1154</v>
      </c>
      <c r="D258" s="417" t="s">
        <v>1154</v>
      </c>
      <c r="E258" s="417" t="s">
        <v>1154</v>
      </c>
    </row>
    <row r="259" spans="1:5" ht="12.75">
      <c r="A259" s="413" t="str">
        <f>IF(Fld_Menu_FR="x",Codes!$D259,IF(Fld_Menu_EN="x",Codes!$C259,IF(Fld_Menu_DE="x",Codes!$E259,"N/A")))</f>
        <v>Prof.ssa</v>
      </c>
      <c r="C259" s="417" t="s">
        <v>1155</v>
      </c>
      <c r="D259" s="417" t="s">
        <v>1155</v>
      </c>
      <c r="E259" s="417" t="s">
        <v>1155</v>
      </c>
    </row>
    <row r="260" spans="1:5" ht="12.75">
      <c r="A260" s="413" t="str">
        <f>IF(Fld_Menu_FR="x",Codes!$D260,IF(Fld_Menu_EN="x",Codes!$C260,IF(Fld_Menu_DE="x",Codes!$E260,"N/A")))</f>
        <v>Professor</v>
      </c>
      <c r="C260" s="417" t="s">
        <v>1156</v>
      </c>
      <c r="D260" s="417" t="s">
        <v>1156</v>
      </c>
      <c r="E260" s="417" t="s">
        <v>1156</v>
      </c>
    </row>
    <row r="261" spans="1:5" ht="12.75">
      <c r="A261" s="413" t="str">
        <f>IF(Fld_Menu_FR="x",Codes!$D261,IF(Fld_Menu_EN="x",Codes!$C261,IF(Fld_Menu_DE="x",Codes!$E261,"N/A")))</f>
        <v>Professora</v>
      </c>
      <c r="C261" s="417" t="s">
        <v>1157</v>
      </c>
      <c r="D261" s="417" t="s">
        <v>1157</v>
      </c>
      <c r="E261" s="417" t="s">
        <v>1157</v>
      </c>
    </row>
    <row r="262" spans="1:5" ht="12.75">
      <c r="A262" s="413" t="str">
        <f>IF(Fld_Menu_FR="x",Codes!$D262,IF(Fld_Menu_EN="x",Codes!$C262,IF(Fld_Menu_DE="x",Codes!$E262,"N/A")))</f>
        <v>Sig.</v>
      </c>
      <c r="C262" s="417" t="s">
        <v>1158</v>
      </c>
      <c r="D262" s="417" t="s">
        <v>1158</v>
      </c>
      <c r="E262" s="417" t="s">
        <v>1158</v>
      </c>
    </row>
    <row r="263" spans="1:5" ht="12.75">
      <c r="A263" s="413" t="str">
        <f>IF(Fld_Menu_FR="x",Codes!$D263,IF(Fld_Menu_EN="x",Codes!$C263,IF(Fld_Menu_DE="x",Codes!$E263,"N/A")))</f>
        <v>Sig.ra</v>
      </c>
      <c r="C263" s="417" t="s">
        <v>1159</v>
      </c>
      <c r="D263" s="417" t="s">
        <v>1159</v>
      </c>
      <c r="E263" s="417" t="s">
        <v>1159</v>
      </c>
    </row>
    <row r="264" spans="1:5" ht="12.75">
      <c r="A264" s="413" t="str">
        <f>IF(Fld_Menu_FR="x",Codes!$D264,IF(Fld_Menu_EN="x",Codes!$C264,IF(Fld_Menu_DE="x",Codes!$E264,"N/A")))</f>
        <v>Sr.</v>
      </c>
      <c r="C264" s="417" t="s">
        <v>1160</v>
      </c>
      <c r="D264" s="417" t="s">
        <v>1160</v>
      </c>
      <c r="E264" s="417" t="s">
        <v>1160</v>
      </c>
    </row>
    <row r="265" spans="1:5" ht="12.75">
      <c r="A265" s="413" t="str">
        <f>IF(Fld_Menu_FR="x",Codes!$D265,IF(Fld_Menu_EN="x",Codes!$C265,IF(Fld_Menu_DE="x",Codes!$E265,"N/A")))</f>
        <v>Sra.</v>
      </c>
      <c r="C265" s="417" t="s">
        <v>1161</v>
      </c>
      <c r="D265" s="417" t="s">
        <v>1161</v>
      </c>
      <c r="E265" s="417" t="s">
        <v>1161</v>
      </c>
    </row>
    <row r="266" spans="3:5" ht="12.75">
      <c r="C266" s="417"/>
      <c r="E266" s="417"/>
    </row>
    <row r="267" spans="3:5" ht="12.75">
      <c r="C267" s="417"/>
      <c r="E267" s="417"/>
    </row>
    <row r="268" spans="3:5" ht="12.75">
      <c r="C268" s="417"/>
      <c r="E268" s="417"/>
    </row>
    <row r="269" spans="3:5" ht="12.75">
      <c r="C269" s="417"/>
      <c r="E269" s="417"/>
    </row>
    <row r="270" spans="3:5" ht="12.75">
      <c r="C270" s="417"/>
      <c r="E270" s="417"/>
    </row>
    <row r="271" spans="3:5" ht="12.75">
      <c r="C271" s="417"/>
      <c r="E271" s="417"/>
    </row>
    <row r="272" spans="3:5" ht="12.75">
      <c r="C272" s="417"/>
      <c r="E272" s="417"/>
    </row>
    <row r="273" spans="3:5" ht="12.75">
      <c r="C273" s="417"/>
      <c r="E273" s="417"/>
    </row>
    <row r="274" spans="3:5" ht="12.75">
      <c r="C274" s="417"/>
      <c r="E274" s="417"/>
    </row>
    <row r="275" spans="3:5" ht="12.75">
      <c r="C275" s="417"/>
      <c r="E275" s="417"/>
    </row>
    <row r="277" spans="1:5" ht="12.75">
      <c r="A277" s="411"/>
      <c r="B277" s="423"/>
      <c r="C277" s="412" t="s">
        <v>1165</v>
      </c>
      <c r="D277" s="412" t="s">
        <v>1166</v>
      </c>
      <c r="E277" s="412" t="s">
        <v>1167</v>
      </c>
    </row>
    <row r="278" spans="1:5" ht="12.75">
      <c r="A278" s="413" t="str">
        <f>IF(Fld_Menu_FR="x",Codes!$D278,IF(Fld_Menu_EN="x",Codes!$C278,IF(Fld_Menu_DE="x",Codes!$E278,"N/A")))</f>
        <v>Masculin</v>
      </c>
      <c r="B278" s="422" t="s">
        <v>822</v>
      </c>
      <c r="C278" s="417" t="s">
        <v>427</v>
      </c>
      <c r="D278" s="417" t="s">
        <v>429</v>
      </c>
      <c r="E278" s="417" t="s">
        <v>431</v>
      </c>
    </row>
    <row r="279" spans="1:5" ht="12.75">
      <c r="A279" s="413" t="str">
        <f>IF(Fld_Menu_FR="x",Codes!$D279,IF(Fld_Menu_EN="x",Codes!$C279,IF(Fld_Menu_DE="x",Codes!$E279,"N/A")))</f>
        <v>Féminin</v>
      </c>
      <c r="B279" s="422" t="s">
        <v>823</v>
      </c>
      <c r="C279" s="417" t="s">
        <v>428</v>
      </c>
      <c r="D279" s="417" t="s">
        <v>430</v>
      </c>
      <c r="E279" s="417" t="s">
        <v>432</v>
      </c>
    </row>
    <row r="281" spans="3:5" ht="12.75">
      <c r="C281" s="417"/>
      <c r="D281" s="417"/>
      <c r="E281" s="417"/>
    </row>
    <row r="283" spans="1:5" ht="12.75">
      <c r="A283" s="411"/>
      <c r="B283" s="412" t="s">
        <v>1169</v>
      </c>
      <c r="C283" s="424" t="s">
        <v>1170</v>
      </c>
      <c r="D283" s="424" t="s">
        <v>1171</v>
      </c>
      <c r="E283" s="424" t="s">
        <v>1172</v>
      </c>
    </row>
    <row r="284" spans="1:5" ht="12.75" customHeight="1">
      <c r="A284" s="413" t="str">
        <f>IF(Fld_Menu_FR="x",Codes!$D284,IF(Fld_Menu_EN="x",Codes!$C284,IF(Fld_Menu_DE="x",Codes!$E284,"N/A")))</f>
        <v>Organisation Non Gouvernementale</v>
      </c>
      <c r="B284" s="425" t="s">
        <v>1173</v>
      </c>
      <c r="C284" s="426" t="s">
        <v>433</v>
      </c>
      <c r="D284" s="427" t="s">
        <v>1833</v>
      </c>
      <c r="E284" s="426" t="s">
        <v>1665</v>
      </c>
    </row>
    <row r="285" spans="1:5" ht="12.75" customHeight="1">
      <c r="A285" s="413" t="str">
        <f>IF(Fld_Menu_FR="x",Codes!$D285,IF(Fld_Menu_EN="x",Codes!$C285,IF(Fld_Menu_DE="x",Codes!$E285,"N/A")))</f>
        <v>Organisation Européenne Non Gouvernementale</v>
      </c>
      <c r="B285" s="425" t="s">
        <v>1304</v>
      </c>
      <c r="C285" s="426" t="s">
        <v>434</v>
      </c>
      <c r="D285" s="427" t="s">
        <v>1834</v>
      </c>
      <c r="E285" s="426" t="s">
        <v>1666</v>
      </c>
    </row>
    <row r="286" spans="1:5" ht="12.75" customHeight="1">
      <c r="A286" s="413" t="str">
        <f>IF(Fld_Menu_FR="x",Codes!$D286,IF(Fld_Menu_EN="x",Codes!$C286,IF(Fld_Menu_DE="x",Codes!$E286,"N/A")))</f>
        <v>Organisation patronale</v>
      </c>
      <c r="B286" s="425" t="s">
        <v>1305</v>
      </c>
      <c r="C286" s="426" t="s">
        <v>435</v>
      </c>
      <c r="D286" s="427" t="s">
        <v>1832</v>
      </c>
      <c r="E286" s="426" t="s">
        <v>1667</v>
      </c>
    </row>
    <row r="287" spans="1:5" ht="12.75" customHeight="1">
      <c r="A287" s="413" t="str">
        <f>IF(Fld_Menu_FR="x",Codes!$D287,IF(Fld_Menu_EN="x",Codes!$C287,IF(Fld_Menu_DE="x",Codes!$E287,"N/A")))</f>
        <v>Organisation syndicale</v>
      </c>
      <c r="B287" s="425" t="s">
        <v>1306</v>
      </c>
      <c r="C287" s="426" t="s">
        <v>436</v>
      </c>
      <c r="D287" s="427" t="s">
        <v>1831</v>
      </c>
      <c r="E287" s="426" t="s">
        <v>1668</v>
      </c>
    </row>
    <row r="288" spans="1:5" ht="12.75" customHeight="1">
      <c r="A288" s="413" t="str">
        <f>IF(Fld_Menu_FR="x",Codes!$D288,IF(Fld_Menu_EN="x",Codes!$C288,IF(Fld_Menu_DE="x",Codes!$E288,"N/A")))</f>
        <v>Société publique</v>
      </c>
      <c r="B288" s="425" t="s">
        <v>1307</v>
      </c>
      <c r="C288" s="426" t="s">
        <v>437</v>
      </c>
      <c r="D288" s="426" t="s">
        <v>1830</v>
      </c>
      <c r="E288" s="426" t="s">
        <v>1841</v>
      </c>
    </row>
    <row r="289" spans="1:5" ht="12.75" customHeight="1">
      <c r="A289" s="413" t="str">
        <f>IF(Fld_Menu_FR="x",Codes!$D289,IF(Fld_Menu_EN="x",Codes!$C289,IF(Fld_Menu_DE="x",Codes!$E289,"N/A")))</f>
        <v>Société privée à but lucratif</v>
      </c>
      <c r="B289" s="425" t="s">
        <v>1806</v>
      </c>
      <c r="C289" s="427" t="s">
        <v>1817</v>
      </c>
      <c r="D289" s="426" t="s">
        <v>1829</v>
      </c>
      <c r="E289" s="426" t="s">
        <v>1840</v>
      </c>
    </row>
    <row r="290" spans="1:5" ht="12.75" customHeight="1">
      <c r="A290" s="413" t="str">
        <f>IF(Fld_Menu_FR="x",Codes!$D290,IF(Fld_Menu_EN="x",Codes!$C290,IF(Fld_Menu_DE="x",Codes!$E290,"N/A")))</f>
        <v>Société privée à but non lucratif</v>
      </c>
      <c r="B290" s="425" t="s">
        <v>606</v>
      </c>
      <c r="C290" s="427" t="s">
        <v>1818</v>
      </c>
      <c r="D290" s="426" t="s">
        <v>1828</v>
      </c>
      <c r="E290" s="426" t="s">
        <v>1839</v>
      </c>
    </row>
    <row r="291" spans="1:5" ht="12.75" customHeight="1">
      <c r="A291" s="413" t="str">
        <f>IF(Fld_Menu_FR="x",Codes!$D291,IF(Fld_Menu_EN="x",Codes!$C291,IF(Fld_Menu_DE="x",Codes!$E291,"N/A")))</f>
        <v>Autorité régionale</v>
      </c>
      <c r="B291" s="425" t="s">
        <v>1308</v>
      </c>
      <c r="C291" s="427" t="s">
        <v>1819</v>
      </c>
      <c r="D291" s="426" t="s">
        <v>1935</v>
      </c>
      <c r="E291" s="426" t="s">
        <v>1838</v>
      </c>
    </row>
    <row r="292" spans="1:5" ht="12.75" customHeight="1">
      <c r="A292" s="413" t="str">
        <f>IF(Fld_Menu_FR="x",Codes!$D292,IF(Fld_Menu_EN="x",Codes!$C292,IF(Fld_Menu_DE="x",Codes!$E292,"N/A")))</f>
        <v>Autorité nationale</v>
      </c>
      <c r="B292" s="425" t="s">
        <v>1309</v>
      </c>
      <c r="C292" s="427" t="s">
        <v>1820</v>
      </c>
      <c r="D292" s="426" t="s">
        <v>1936</v>
      </c>
      <c r="E292" s="426" t="s">
        <v>1837</v>
      </c>
    </row>
    <row r="293" spans="1:5" ht="12.75" customHeight="1">
      <c r="A293" s="413" t="str">
        <f>IF(Fld_Menu_FR="x",Codes!$D293,IF(Fld_Menu_EN="x",Codes!$C293,IF(Fld_Menu_DE="x",Codes!$E293,"N/A")))</f>
        <v>Autorité locale</v>
      </c>
      <c r="B293" s="425" t="s">
        <v>1805</v>
      </c>
      <c r="C293" s="427" t="s">
        <v>1821</v>
      </c>
      <c r="D293" s="426" t="s">
        <v>1622</v>
      </c>
      <c r="E293" s="426" t="s">
        <v>1836</v>
      </c>
    </row>
    <row r="294" spans="1:5" ht="12.75" customHeight="1">
      <c r="A294" s="413" t="str">
        <f>IF(Fld_Menu_FR="x",Codes!$D294,IF(Fld_Menu_EN="x",Codes!$C294,IF(Fld_Menu_DE="x",Codes!$E294,"N/A")))</f>
        <v>Organisation internationale</v>
      </c>
      <c r="B294" s="425" t="s">
        <v>1310</v>
      </c>
      <c r="C294" s="426" t="s">
        <v>1822</v>
      </c>
      <c r="D294" s="426" t="s">
        <v>1827</v>
      </c>
      <c r="E294" s="426" t="s">
        <v>1835</v>
      </c>
    </row>
    <row r="295" spans="1:5" ht="12.75" customHeight="1">
      <c r="A295" s="413" t="str">
        <f>IF(Fld_Menu_FR="x",Codes!$D295,IF(Fld_Menu_EN="x",Codes!$C295,IF(Fld_Menu_DE="x",Codes!$E295,"N/A")))</f>
        <v>Institution financière</v>
      </c>
      <c r="B295" s="425" t="s">
        <v>1804</v>
      </c>
      <c r="C295" s="428" t="s">
        <v>1823</v>
      </c>
      <c r="D295" s="428" t="s">
        <v>1623</v>
      </c>
      <c r="E295" s="428" t="s">
        <v>1678</v>
      </c>
    </row>
    <row r="296" spans="1:5" ht="12.75" customHeight="1">
      <c r="A296" s="413" t="str">
        <f>IF(Fld_Menu_FR="x",Codes!$D296,IF(Fld_Menu_EN="x",Codes!$C296,IF(Fld_Menu_DE="x",Codes!$E296,"N/A")))</f>
        <v>Chambre de commerce/d'industrie/métier….</v>
      </c>
      <c r="B296" s="425" t="s">
        <v>1803</v>
      </c>
      <c r="C296" s="428" t="s">
        <v>1824</v>
      </c>
      <c r="D296" s="428" t="s">
        <v>1792</v>
      </c>
      <c r="E296" s="428" t="s">
        <v>1669</v>
      </c>
    </row>
    <row r="297" spans="1:5" ht="12.75" customHeight="1">
      <c r="A297" s="413" t="str">
        <f>IF(Fld_Menu_FR="x",Codes!$D297,IF(Fld_Menu_EN="x",Codes!$C297,IF(Fld_Menu_DE="x",Codes!$E297,"N/A")))</f>
        <v>Organisme d'enseignement/de formation</v>
      </c>
      <c r="B297" s="425" t="s">
        <v>1802</v>
      </c>
      <c r="C297" s="428" t="s">
        <v>1825</v>
      </c>
      <c r="D297" s="428" t="s">
        <v>1624</v>
      </c>
      <c r="E297" s="428" t="s">
        <v>1670</v>
      </c>
    </row>
    <row r="298" spans="1:5" ht="12.75" customHeight="1">
      <c r="A298" s="413" t="str">
        <f>IF(Fld_Menu_FR="x",Codes!$D298,IF(Fld_Menu_EN="x",Codes!$C298,IF(Fld_Menu_DE="x",Codes!$E298,"N/A")))</f>
        <v>Université</v>
      </c>
      <c r="B298" s="425" t="s">
        <v>1801</v>
      </c>
      <c r="C298" s="428" t="s">
        <v>1625</v>
      </c>
      <c r="D298" s="428" t="s">
        <v>1626</v>
      </c>
      <c r="E298" s="428" t="s">
        <v>1671</v>
      </c>
    </row>
    <row r="299" spans="1:5" ht="12.75" customHeight="1">
      <c r="A299" s="413" t="str">
        <f>IF(Fld_Menu_FR="x",Codes!$D299,IF(Fld_Menu_EN="x",Codes!$C299,IF(Fld_Menu_DE="x",Codes!$E299,"N/A")))</f>
        <v>Institut de recherche</v>
      </c>
      <c r="B299" s="425" t="s">
        <v>1800</v>
      </c>
      <c r="C299" s="426" t="s">
        <v>1826</v>
      </c>
      <c r="D299" s="426" t="s">
        <v>1793</v>
      </c>
      <c r="E299" s="426" t="s">
        <v>1794</v>
      </c>
    </row>
    <row r="300" spans="1:5" ht="12.75" customHeight="1">
      <c r="A300" s="413" t="str">
        <f>IF(Fld_Menu_FR="x",Codes!$D300,IF(Fld_Menu_EN="x",Codes!$C300,IF(Fld_Menu_DE="x",Codes!$E300,"N/A")))</f>
        <v>Autres</v>
      </c>
      <c r="B300" s="425" t="s">
        <v>1799</v>
      </c>
      <c r="C300" s="426" t="s">
        <v>1345</v>
      </c>
      <c r="D300" s="426" t="s">
        <v>541</v>
      </c>
      <c r="E300" s="426" t="s">
        <v>473</v>
      </c>
    </row>
    <row r="301" spans="1:5" ht="12.75" customHeight="1">
      <c r="A301" s="413" t="str">
        <f>IF(Fld_Menu_FR="x",Codes!$D301,IF(Fld_Menu_EN="x",Codes!$C301,IF(Fld_Menu_DE="x",Codes!$E301,"N/A")))</f>
        <v>A compléter si nécessaire</v>
      </c>
      <c r="B301" s="417"/>
      <c r="C301" s="429" t="s">
        <v>1162</v>
      </c>
      <c r="D301" s="413" t="s">
        <v>1163</v>
      </c>
      <c r="E301" s="429" t="s">
        <v>1164</v>
      </c>
    </row>
    <row r="302" spans="1:5" ht="12.75" customHeight="1">
      <c r="A302" s="413" t="str">
        <f>IF(Fld_Menu_FR="x",Codes!$D302,IF(Fld_Menu_EN="x",Codes!$C302,IF(Fld_Menu_DE="x",Codes!$E302,"N/A")))</f>
        <v>A compléter si nécessaire</v>
      </c>
      <c r="B302" s="417"/>
      <c r="C302" s="417" t="s">
        <v>1162</v>
      </c>
      <c r="D302" s="413" t="s">
        <v>1163</v>
      </c>
      <c r="E302" s="417" t="s">
        <v>1164</v>
      </c>
    </row>
    <row r="303" spans="1:5" ht="12.75" customHeight="1">
      <c r="A303" s="413" t="str">
        <f>IF(Fld_Menu_FR="x",Codes!$D303,IF(Fld_Menu_EN="x",Codes!$C303,IF(Fld_Menu_DE="x",Codes!$E303,"N/A")))</f>
        <v>A compléter si nécessaire</v>
      </c>
      <c r="B303" s="417"/>
      <c r="C303" s="417" t="s">
        <v>1162</v>
      </c>
      <c r="D303" s="413" t="s">
        <v>1163</v>
      </c>
      <c r="E303" s="417" t="s">
        <v>1164</v>
      </c>
    </row>
    <row r="304" spans="1:5" ht="12.75" customHeight="1">
      <c r="A304" s="413" t="str">
        <f>IF(Fld_Menu_FR="x",Codes!$D304,IF(Fld_Menu_EN="x",Codes!$C304,IF(Fld_Menu_DE="x",Codes!$E304,"N/A")))</f>
        <v>A compléter si nécessaire</v>
      </c>
      <c r="B304" s="417"/>
      <c r="C304" s="417" t="s">
        <v>1162</v>
      </c>
      <c r="D304" s="413" t="s">
        <v>1163</v>
      </c>
      <c r="E304" s="417" t="s">
        <v>1164</v>
      </c>
    </row>
    <row r="305" spans="1:5" ht="12.75" customHeight="1">
      <c r="A305" s="413" t="str">
        <f>IF(Fld_Menu_FR="x",Codes!$D305,IF(Fld_Menu_EN="x",Codes!$C305,IF(Fld_Menu_DE="x",Codes!$E305,"N/A")))</f>
        <v>A compléter si nécessaire</v>
      </c>
      <c r="B305" s="417"/>
      <c r="C305" s="417" t="s">
        <v>1162</v>
      </c>
      <c r="D305" s="413" t="s">
        <v>1163</v>
      </c>
      <c r="E305" s="417" t="s">
        <v>1164</v>
      </c>
    </row>
    <row r="306" spans="1:5" ht="12.75" customHeight="1">
      <c r="A306" s="413" t="str">
        <f>IF(Fld_Menu_FR="x",Codes!$D306,IF(Fld_Menu_EN="x",Codes!$C306,IF(Fld_Menu_DE="x",Codes!$E306,"N/A")))</f>
        <v>A compléter si nécessaire</v>
      </c>
      <c r="B306" s="417"/>
      <c r="C306" s="417" t="s">
        <v>1162</v>
      </c>
      <c r="D306" s="413" t="s">
        <v>1163</v>
      </c>
      <c r="E306" s="417" t="s">
        <v>1164</v>
      </c>
    </row>
    <row r="307" spans="1:5" ht="12.75">
      <c r="A307" s="413" t="str">
        <f>IF(Fld_Menu_FR="x",Codes!$D307,IF(Fld_Menu_EN="x",Codes!$C307,IF(Fld_Menu_DE="x",Codes!$E307,"N/A")))</f>
        <v>A compléter si nécessaire</v>
      </c>
      <c r="C307" s="417" t="s">
        <v>1162</v>
      </c>
      <c r="D307" s="413" t="s">
        <v>1163</v>
      </c>
      <c r="E307" s="417" t="s">
        <v>1164</v>
      </c>
    </row>
    <row r="308" spans="1:5" ht="12.75">
      <c r="A308" s="413" t="str">
        <f>IF(Fld_Menu_FR="x",Codes!$D308,IF(Fld_Menu_EN="x",Codes!$C308,IF(Fld_Menu_DE="x",Codes!$E308,"N/A")))</f>
        <v>A compléter si nécessaire</v>
      </c>
      <c r="C308" s="417" t="s">
        <v>1162</v>
      </c>
      <c r="D308" s="413" t="s">
        <v>1163</v>
      </c>
      <c r="E308" s="417" t="s">
        <v>1164</v>
      </c>
    </row>
    <row r="309" spans="1:5" ht="12.75">
      <c r="A309" s="413" t="str">
        <f>IF(Fld_Menu_FR="x",Codes!$D309,IF(Fld_Menu_EN="x",Codes!$C309,IF(Fld_Menu_DE="x",Codes!$E309,"N/A")))</f>
        <v>A compléter si nécessaire</v>
      </c>
      <c r="C309" s="417" t="s">
        <v>1162</v>
      </c>
      <c r="D309" s="413" t="s">
        <v>1163</v>
      </c>
      <c r="E309" s="417" t="s">
        <v>1164</v>
      </c>
    </row>
    <row r="310" spans="1:5" ht="12.75">
      <c r="A310" s="413" t="str">
        <f>IF(Fld_Menu_FR="x",Codes!$D310,IF(Fld_Menu_EN="x",Codes!$C310,IF(Fld_Menu_DE="x",Codes!$E310,"N/A")))</f>
        <v>A compléter si nécessaire</v>
      </c>
      <c r="C310" s="417" t="s">
        <v>1162</v>
      </c>
      <c r="D310" s="413" t="s">
        <v>1163</v>
      </c>
      <c r="E310" s="417" t="s">
        <v>1164</v>
      </c>
    </row>
    <row r="311" spans="1:5" ht="12.75">
      <c r="A311" s="413" t="str">
        <f>IF(Fld_Menu_FR="x",Codes!$D311,IF(Fld_Menu_EN="x",Codes!$C311,IF(Fld_Menu_DE="x",Codes!$E311,"N/A")))</f>
        <v>A compléter si nécessaire</v>
      </c>
      <c r="C311" s="417" t="s">
        <v>1162</v>
      </c>
      <c r="D311" s="413" t="s">
        <v>1163</v>
      </c>
      <c r="E311" s="417" t="s">
        <v>1164</v>
      </c>
    </row>
    <row r="312" spans="1:5" ht="12.75">
      <c r="A312" s="413" t="str">
        <f>IF(Fld_Menu_FR="x",Codes!$D312,IF(Fld_Menu_EN="x",Codes!$C312,IF(Fld_Menu_DE="x",Codes!$E312,"N/A")))</f>
        <v>A compléter si nécessaire</v>
      </c>
      <c r="C312" s="417" t="s">
        <v>1162</v>
      </c>
      <c r="D312" s="413" t="s">
        <v>1163</v>
      </c>
      <c r="E312" s="417" t="s">
        <v>1164</v>
      </c>
    </row>
    <row r="313" spans="1:5" ht="12.75">
      <c r="A313" s="413" t="str">
        <f>IF(Fld_Menu_FR="x",Codes!$D313,IF(Fld_Menu_EN="x",Codes!$C313,IF(Fld_Menu_DE="x",Codes!$E313,"N/A")))</f>
        <v>A compléter si nécessaire</v>
      </c>
      <c r="C313" s="417" t="s">
        <v>1162</v>
      </c>
      <c r="D313" s="413" t="s">
        <v>1163</v>
      </c>
      <c r="E313" s="417" t="s">
        <v>1164</v>
      </c>
    </row>
    <row r="314" spans="1:5" ht="12.75">
      <c r="A314" s="413" t="str">
        <f>IF(Fld_Menu_FR="x",Codes!$D314,IF(Fld_Menu_EN="x",Codes!$C314,IF(Fld_Menu_DE="x",Codes!$E314,"N/A")))</f>
        <v>A compléter si nécessaire</v>
      </c>
      <c r="C314" s="417" t="s">
        <v>1162</v>
      </c>
      <c r="D314" s="413" t="s">
        <v>1163</v>
      </c>
      <c r="E314" s="417" t="s">
        <v>1164</v>
      </c>
    </row>
    <row r="315" spans="1:5" ht="12.75">
      <c r="A315" s="413" t="str">
        <f>IF(Fld_Menu_FR="x",Codes!$D315,IF(Fld_Menu_EN="x",Codes!$C315,IF(Fld_Menu_DE="x",Codes!$E315,"N/A")))</f>
        <v>A compléter si nécessaire</v>
      </c>
      <c r="C315" s="417" t="s">
        <v>1162</v>
      </c>
      <c r="D315" s="413" t="s">
        <v>1163</v>
      </c>
      <c r="E315" s="417" t="s">
        <v>1164</v>
      </c>
    </row>
    <row r="316" spans="1:5" ht="12.75">
      <c r="A316" s="413" t="str">
        <f>IF(Fld_Menu_FR="x",Codes!$D316,IF(Fld_Menu_EN="x",Codes!$C316,IF(Fld_Menu_DE="x",Codes!$E316,"N/A")))</f>
        <v>A compléter si nécessaire</v>
      </c>
      <c r="C316" s="417" t="s">
        <v>1162</v>
      </c>
      <c r="D316" s="413" t="s">
        <v>1163</v>
      </c>
      <c r="E316" s="417" t="s">
        <v>1164</v>
      </c>
    </row>
    <row r="317" spans="1:5" ht="12.75">
      <c r="A317" s="413" t="str">
        <f>IF(Fld_Menu_FR="x",Codes!$D317,IF(Fld_Menu_EN="x",Codes!$C317,IF(Fld_Menu_DE="x",Codes!$E317,"N/A")))</f>
        <v>A compléter si nécessaire</v>
      </c>
      <c r="C317" s="417" t="s">
        <v>1162</v>
      </c>
      <c r="D317" s="413" t="s">
        <v>1163</v>
      </c>
      <c r="E317" s="417" t="s">
        <v>1164</v>
      </c>
    </row>
    <row r="318" spans="1:5" ht="12.75">
      <c r="A318" s="413" t="str">
        <f>IF(Fld_Menu_FR="x",Codes!$D318,IF(Fld_Menu_EN="x",Codes!$C318,IF(Fld_Menu_DE="x",Codes!$E318,"N/A")))</f>
        <v>A compléter si nécessaire</v>
      </c>
      <c r="C318" s="417" t="s">
        <v>1162</v>
      </c>
      <c r="D318" s="413" t="s">
        <v>1163</v>
      </c>
      <c r="E318" s="417" t="s">
        <v>1164</v>
      </c>
    </row>
    <row r="319" spans="1:5" ht="12.75">
      <c r="A319" s="413" t="str">
        <f>IF(Fld_Menu_FR="x",Codes!$D319,IF(Fld_Menu_EN="x",Codes!$C319,IF(Fld_Menu_DE="x",Codes!$E319,"N/A")))</f>
        <v>A compléter si nécessaire</v>
      </c>
      <c r="C319" s="417" t="s">
        <v>1162</v>
      </c>
      <c r="D319" s="413" t="s">
        <v>1163</v>
      </c>
      <c r="E319" s="417" t="s">
        <v>1164</v>
      </c>
    </row>
    <row r="320" spans="1:5" ht="12.75">
      <c r="A320" s="413" t="str">
        <f>IF(Fld_Menu_FR="x",Codes!$D320,IF(Fld_Menu_EN="x",Codes!$C320,IF(Fld_Menu_DE="x",Codes!$E320,"N/A")))</f>
        <v>A compléter si nécessaire</v>
      </c>
      <c r="C320" s="417" t="s">
        <v>1162</v>
      </c>
      <c r="D320" s="413" t="s">
        <v>1163</v>
      </c>
      <c r="E320" s="417" t="s">
        <v>1164</v>
      </c>
    </row>
    <row r="321" spans="1:5" ht="12.75">
      <c r="A321" s="413" t="str">
        <f>IF(Fld_Menu_FR="x",Codes!$D321,IF(Fld_Menu_EN="x",Codes!$C321,IF(Fld_Menu_DE="x",Codes!$E321,"N/A")))</f>
        <v>A compléter si nécessaire</v>
      </c>
      <c r="C321" s="417" t="s">
        <v>1162</v>
      </c>
      <c r="D321" s="413" t="s">
        <v>1163</v>
      </c>
      <c r="E321" s="417" t="s">
        <v>1164</v>
      </c>
    </row>
    <row r="322" spans="1:5" ht="12.75">
      <c r="A322" s="413" t="str">
        <f>IF(Fld_Menu_FR="x",Codes!$D322,IF(Fld_Menu_EN="x",Codes!$C322,IF(Fld_Menu_DE="x",Codes!$E322,"N/A")))</f>
        <v>A compléter si nécessaire</v>
      </c>
      <c r="C322" s="417" t="s">
        <v>1162</v>
      </c>
      <c r="D322" s="413" t="s">
        <v>1163</v>
      </c>
      <c r="E322" s="417" t="s">
        <v>1164</v>
      </c>
    </row>
    <row r="323" spans="1:5" ht="12.75">
      <c r="A323" s="413" t="str">
        <f>IF(Fld_Menu_FR="x",Codes!$D323,IF(Fld_Menu_EN="x",Codes!$C323,IF(Fld_Menu_DE="x",Codes!$E323,"N/A")))</f>
        <v>A compléter si nécessaire</v>
      </c>
      <c r="C323" s="417" t="s">
        <v>1162</v>
      </c>
      <c r="D323" s="413" t="s">
        <v>1163</v>
      </c>
      <c r="E323" s="417" t="s">
        <v>1164</v>
      </c>
    </row>
    <row r="324" spans="1:5" ht="12.75">
      <c r="A324" s="413" t="str">
        <f>IF(Fld_Menu_FR="x",Codes!$D324,IF(Fld_Menu_EN="x",Codes!$C324,IF(Fld_Menu_DE="x",Codes!$E324,"N/A")))</f>
        <v>A compléter si nécessaire</v>
      </c>
      <c r="C324" s="417" t="s">
        <v>1162</v>
      </c>
      <c r="D324" s="413" t="s">
        <v>1163</v>
      </c>
      <c r="E324" s="417" t="s">
        <v>1164</v>
      </c>
    </row>
    <row r="325" spans="1:5" ht="12.75">
      <c r="A325" s="413" t="str">
        <f>IF(Fld_Menu_FR="x",Codes!$D325,IF(Fld_Menu_EN="x",Codes!$C325,IF(Fld_Menu_DE="x",Codes!$E325,"N/A")))</f>
        <v>A compléter si nécessaire</v>
      </c>
      <c r="C325" s="417" t="s">
        <v>1162</v>
      </c>
      <c r="D325" s="413" t="s">
        <v>1163</v>
      </c>
      <c r="E325" s="417" t="s">
        <v>1164</v>
      </c>
    </row>
    <row r="326" spans="1:5" ht="12.75">
      <c r="A326" s="413" t="str">
        <f>IF(Fld_Menu_FR="x",Codes!$D326,IF(Fld_Menu_EN="x",Codes!$C326,IF(Fld_Menu_DE="x",Codes!$E326,"N/A")))</f>
        <v>A compléter si nécessaire</v>
      </c>
      <c r="C326" s="417" t="s">
        <v>1162</v>
      </c>
      <c r="D326" s="413" t="s">
        <v>1163</v>
      </c>
      <c r="E326" s="417" t="s">
        <v>1164</v>
      </c>
    </row>
    <row r="328" spans="1:5" ht="12.75">
      <c r="A328" s="411"/>
      <c r="B328" s="412" t="s">
        <v>1311</v>
      </c>
      <c r="C328" s="412" t="s">
        <v>1312</v>
      </c>
      <c r="D328" s="412" t="s">
        <v>1313</v>
      </c>
      <c r="E328" s="412" t="s">
        <v>2097</v>
      </c>
    </row>
    <row r="329" spans="1:5" ht="12.75">
      <c r="A329" s="413" t="str">
        <f>IF(Fld_Menu_FR="x",Codes!$D329,IF(Fld_Menu_EN="x",Codes!$C329,IF(Fld_Menu_DE="x",Codes!$E329,"N/A")))</f>
        <v>Espagnol</v>
      </c>
      <c r="B329" s="417" t="s">
        <v>2098</v>
      </c>
      <c r="C329" s="417" t="s">
        <v>1850</v>
      </c>
      <c r="D329" s="417" t="s">
        <v>986</v>
      </c>
      <c r="E329" s="417" t="s">
        <v>1842</v>
      </c>
    </row>
    <row r="330" spans="1:5" ht="12.75">
      <c r="A330" s="413" t="str">
        <f>IF(Fld_Menu_FR="x",Codes!$D330,IF(Fld_Menu_EN="x",Codes!$C330,IF(Fld_Menu_DE="x",Codes!$E330,"N/A")))</f>
        <v>Français</v>
      </c>
      <c r="B330" s="417" t="s">
        <v>231</v>
      </c>
      <c r="C330" s="417" t="s">
        <v>565</v>
      </c>
      <c r="D330" s="417" t="s">
        <v>1470</v>
      </c>
      <c r="E330" s="417" t="s">
        <v>1525</v>
      </c>
    </row>
    <row r="331" spans="1:5" ht="12.75">
      <c r="A331" s="413" t="str">
        <f>IF(Fld_Menu_FR="x",Codes!$D331,IF(Fld_Menu_EN="x",Codes!$C331,IF(Fld_Menu_DE="x",Codes!$E331,"N/A")))</f>
        <v>Grec</v>
      </c>
      <c r="B331" s="417" t="s">
        <v>2099</v>
      </c>
      <c r="C331" s="417" t="s">
        <v>982</v>
      </c>
      <c r="D331" s="417" t="s">
        <v>983</v>
      </c>
      <c r="E331" s="417" t="s">
        <v>1843</v>
      </c>
    </row>
    <row r="332" spans="1:5" ht="12.75">
      <c r="A332" s="413" t="str">
        <f>IF(Fld_Menu_FR="x",Codes!$D332,IF(Fld_Menu_EN="x",Codes!$C332,IF(Fld_Menu_DE="x",Codes!$E332,"N/A")))</f>
        <v>Italien</v>
      </c>
      <c r="B332" s="417" t="s">
        <v>2100</v>
      </c>
      <c r="C332" s="417" t="s">
        <v>993</v>
      </c>
      <c r="D332" s="417" t="s">
        <v>486</v>
      </c>
      <c r="E332" s="417" t="s">
        <v>1844</v>
      </c>
    </row>
    <row r="333" spans="1:5" ht="12.75">
      <c r="A333" s="413" t="str">
        <f>IF(Fld_Menu_FR="x",Codes!$D333,IF(Fld_Menu_EN="x",Codes!$C333,IF(Fld_Menu_DE="x",Codes!$E333,"N/A")))</f>
        <v>Néerlandais</v>
      </c>
      <c r="B333" s="417" t="s">
        <v>490</v>
      </c>
      <c r="C333" s="417" t="s">
        <v>1851</v>
      </c>
      <c r="D333" s="417" t="s">
        <v>1055</v>
      </c>
      <c r="E333" s="417" t="s">
        <v>1004</v>
      </c>
    </row>
    <row r="334" spans="1:5" ht="12.75">
      <c r="A334" s="413" t="str">
        <f>IF(Fld_Menu_FR="x",Codes!$D334,IF(Fld_Menu_EN="x",Codes!$C334,IF(Fld_Menu_DE="x",Codes!$E334,"N/A")))</f>
        <v>Portugais</v>
      </c>
      <c r="B334" s="417" t="s">
        <v>2101</v>
      </c>
      <c r="C334" s="417" t="s">
        <v>150</v>
      </c>
      <c r="D334" s="417" t="s">
        <v>151</v>
      </c>
      <c r="E334" s="417" t="s">
        <v>1845</v>
      </c>
    </row>
    <row r="335" spans="1:5" ht="12.75">
      <c r="A335" s="413" t="str">
        <f>IF(Fld_Menu_FR="x",Codes!$D335,IF(Fld_Menu_EN="x",Codes!$C335,IF(Fld_Menu_DE="x",Codes!$E335,"N/A")))</f>
        <v>Suédois</v>
      </c>
      <c r="B335" s="417" t="s">
        <v>1241</v>
      </c>
      <c r="C335" s="417" t="s">
        <v>1852</v>
      </c>
      <c r="D335" s="417" t="s">
        <v>157</v>
      </c>
      <c r="E335" s="417" t="s">
        <v>1846</v>
      </c>
    </row>
    <row r="336" spans="1:5" ht="12.75">
      <c r="A336" s="413" t="str">
        <f>IF(Fld_Menu_FR="x",Codes!$D336,IF(Fld_Menu_EN="x",Codes!$C336,IF(Fld_Menu_DE="x",Codes!$E336,"N/A")))</f>
        <v>Finnois</v>
      </c>
      <c r="B336" s="417" t="s">
        <v>1512</v>
      </c>
      <c r="C336" s="417" t="s">
        <v>1853</v>
      </c>
      <c r="D336" s="417" t="s">
        <v>1849</v>
      </c>
      <c r="E336" s="417" t="s">
        <v>1847</v>
      </c>
    </row>
    <row r="337" spans="1:5" ht="12.75">
      <c r="A337" s="413" t="str">
        <f>IF(Fld_Menu_FR="x",Codes!$D337,IF(Fld_Menu_EN="x",Codes!$C337,IF(Fld_Menu_DE="x",Codes!$E337,"N/A")))</f>
        <v>Danois</v>
      </c>
      <c r="B337" s="417" t="s">
        <v>1513</v>
      </c>
      <c r="C337" s="417" t="s">
        <v>1854</v>
      </c>
      <c r="D337" s="417" t="s">
        <v>979</v>
      </c>
      <c r="E337" s="417" t="s">
        <v>1848</v>
      </c>
    </row>
    <row r="338" spans="1:5" ht="12.75">
      <c r="A338" s="413" t="str">
        <f>IF(Fld_Menu_FR="x",Codes!$D338,IF(Fld_Menu_EN="x",Codes!$C338,IF(Fld_Menu_DE="x",Codes!$E338,"N/A")))</f>
        <v>Allemand</v>
      </c>
      <c r="B338" s="417" t="s">
        <v>229</v>
      </c>
      <c r="C338" s="417" t="s">
        <v>564</v>
      </c>
      <c r="D338" s="417" t="s">
        <v>824</v>
      </c>
      <c r="E338" s="417" t="s">
        <v>1468</v>
      </c>
    </row>
    <row r="339" spans="1:5" ht="12.75">
      <c r="A339" s="413" t="str">
        <f>IF(Fld_Menu_FR="x",Codes!$D339,IF(Fld_Menu_EN="x",Codes!$C339,IF(Fld_Menu_DE="x",Codes!$E339,"N/A")))</f>
        <v>Anglais</v>
      </c>
      <c r="B339" s="417" t="s">
        <v>230</v>
      </c>
      <c r="C339" s="417" t="s">
        <v>1469</v>
      </c>
      <c r="D339" s="417" t="s">
        <v>825</v>
      </c>
      <c r="E339" s="417" t="s">
        <v>1045</v>
      </c>
    </row>
    <row r="341" spans="1:5" ht="12.75">
      <c r="A341" s="411"/>
      <c r="B341" s="423"/>
      <c r="C341" s="424" t="s">
        <v>1363</v>
      </c>
      <c r="D341" s="424" t="s">
        <v>1364</v>
      </c>
      <c r="E341" s="424" t="s">
        <v>1365</v>
      </c>
    </row>
    <row r="342" spans="1:5" ht="12.75">
      <c r="A342" s="413" t="str">
        <f>IF(Fld_Menu_FR="x",Codes!$D342,IF(Fld_Menu_EN="x",Codes!$C342,IF(Fld_Menu_DE="x",Codes!$E342,"N/A")))</f>
        <v>Organisme public</v>
      </c>
      <c r="C342" s="426" t="s">
        <v>1855</v>
      </c>
      <c r="D342" s="426" t="s">
        <v>1627</v>
      </c>
      <c r="E342" s="426" t="s">
        <v>1858</v>
      </c>
    </row>
    <row r="343" spans="1:5" ht="26.25">
      <c r="A343" s="413" t="str">
        <f>IF(Fld_Menu_FR="x",Codes!$D343,IF(Fld_Menu_EN="x",Codes!$C343,IF(Fld_Menu_DE="x",Codes!$E343,"N/A")))</f>
        <v>Organisme privé sans but lucratif (notamment ONG)</v>
      </c>
      <c r="C343" s="426" t="s">
        <v>1005</v>
      </c>
      <c r="D343" s="426" t="s">
        <v>1628</v>
      </c>
      <c r="E343" s="426" t="s">
        <v>1859</v>
      </c>
    </row>
    <row r="344" spans="1:5" ht="12.75">
      <c r="A344" s="413" t="str">
        <f>IF(Fld_Menu_FR="x",Codes!$D344,IF(Fld_Menu_EN="x",Codes!$C344,IF(Fld_Menu_DE="x",Codes!$E344,"N/A")))</f>
        <v>Organisme parapublic</v>
      </c>
      <c r="C344" s="428" t="s">
        <v>1860</v>
      </c>
      <c r="D344" s="428" t="s">
        <v>1629</v>
      </c>
      <c r="E344" s="428" t="s">
        <v>1797</v>
      </c>
    </row>
    <row r="345" spans="1:5" ht="12.75">
      <c r="A345" s="413" t="str">
        <f>IF(Fld_Menu_FR="x",Codes!$D345,IF(Fld_Menu_EN="x",Codes!$C345,IF(Fld_Menu_DE="x",Codes!$E345,"N/A")))</f>
        <v>Confédération</v>
      </c>
      <c r="C345" s="428" t="s">
        <v>1856</v>
      </c>
      <c r="D345" s="428" t="s">
        <v>1857</v>
      </c>
      <c r="E345" s="428" t="s">
        <v>1795</v>
      </c>
    </row>
    <row r="346" spans="1:5" ht="12.75">
      <c r="A346" s="413" t="str">
        <f>IF(Fld_Menu_FR="x",Codes!$D346,IF(Fld_Menu_EN="x",Codes!$C346,IF(Fld_Menu_DE="x",Codes!$E346,"N/A")))</f>
        <v>Coopérative</v>
      </c>
      <c r="C346" s="428" t="s">
        <v>1633</v>
      </c>
      <c r="D346" s="428" t="s">
        <v>1630</v>
      </c>
      <c r="E346" s="428" t="s">
        <v>1672</v>
      </c>
    </row>
    <row r="347" spans="1:5" ht="12.75">
      <c r="A347" s="413" t="str">
        <f>IF(Fld_Menu_FR="x",Codes!$D347,IF(Fld_Menu_EN="x",Codes!$C347,IF(Fld_Menu_DE="x",Codes!$E347,"N/A")))</f>
        <v>Privé</v>
      </c>
      <c r="C347" s="428" t="s">
        <v>1634</v>
      </c>
      <c r="D347" s="428" t="s">
        <v>1631</v>
      </c>
      <c r="E347" s="428" t="s">
        <v>1634</v>
      </c>
    </row>
    <row r="348" spans="1:5" ht="12.75">
      <c r="A348" s="413" t="str">
        <f>IF(Fld_Menu_FR="x",Codes!$D348,IF(Fld_Menu_EN="x",Codes!$C348,IF(Fld_Menu_DE="x",Codes!$E348,"N/A")))</f>
        <v>Sans statut juridique</v>
      </c>
      <c r="C348" s="428" t="s">
        <v>1796</v>
      </c>
      <c r="D348" s="428" t="s">
        <v>1632</v>
      </c>
      <c r="E348" s="428" t="s">
        <v>1673</v>
      </c>
    </row>
    <row r="349" spans="1:5" ht="12.75">
      <c r="A349" s="413" t="str">
        <f>IF(Fld_Menu_FR="x",Codes!$D349,IF(Fld_Menu_EN="x",Codes!$C349,IF(Fld_Menu_DE="x",Codes!$E349,"N/A")))</f>
        <v>A compléter si nécessaire</v>
      </c>
      <c r="C349" s="429" t="s">
        <v>1162</v>
      </c>
      <c r="D349" s="413" t="s">
        <v>1163</v>
      </c>
      <c r="E349" s="429" t="s">
        <v>1164</v>
      </c>
    </row>
    <row r="350" spans="1:5" ht="12.75">
      <c r="A350" s="413" t="str">
        <f>IF(Fld_Menu_FR="x",Codes!$D350,IF(Fld_Menu_EN="x",Codes!$C350,IF(Fld_Menu_DE="x",Codes!$E350,"N/A")))</f>
        <v>A compléter si nécessaire</v>
      </c>
      <c r="C350" s="417" t="s">
        <v>1162</v>
      </c>
      <c r="D350" s="413" t="s">
        <v>1163</v>
      </c>
      <c r="E350" s="417" t="s">
        <v>1164</v>
      </c>
    </row>
    <row r="351" spans="1:5" ht="12.75">
      <c r="A351" s="413" t="str">
        <f>IF(Fld_Menu_FR="x",Codes!$D351,IF(Fld_Menu_EN="x",Codes!$C351,IF(Fld_Menu_DE="x",Codes!$E351,"N/A")))</f>
        <v>A compléter si nécessaire</v>
      </c>
      <c r="C351" s="417" t="s">
        <v>1162</v>
      </c>
      <c r="D351" s="413" t="s">
        <v>1163</v>
      </c>
      <c r="E351" s="417" t="s">
        <v>1164</v>
      </c>
    </row>
    <row r="352" spans="1:5" ht="12.75">
      <c r="A352" s="413" t="str">
        <f>IF(Fld_Menu_FR="x",Codes!$D352,IF(Fld_Menu_EN="x",Codes!$C352,IF(Fld_Menu_DE="x",Codes!$E352,"N/A")))</f>
        <v>A compléter si nécessaire</v>
      </c>
      <c r="C352" s="417" t="s">
        <v>1162</v>
      </c>
      <c r="D352" s="413" t="s">
        <v>1163</v>
      </c>
      <c r="E352" s="417" t="s">
        <v>1164</v>
      </c>
    </row>
    <row r="353" spans="1:5" ht="12.75">
      <c r="A353" s="413" t="str">
        <f>IF(Fld_Menu_FR="x",Codes!$D353,IF(Fld_Menu_EN="x",Codes!$C353,IF(Fld_Menu_DE="x",Codes!$E353,"N/A")))</f>
        <v>A compléter si nécessaire</v>
      </c>
      <c r="C353" s="417" t="s">
        <v>1162</v>
      </c>
      <c r="D353" s="413" t="s">
        <v>1163</v>
      </c>
      <c r="E353" s="417" t="s">
        <v>1164</v>
      </c>
    </row>
    <row r="354" spans="1:5" ht="12.75">
      <c r="A354" s="413" t="str">
        <f>IF(Fld_Menu_FR="x",Codes!$D354,IF(Fld_Menu_EN="x",Codes!$C354,IF(Fld_Menu_DE="x",Codes!$E354,"N/A")))</f>
        <v>A compléter si nécessaire</v>
      </c>
      <c r="C354" s="417" t="s">
        <v>1162</v>
      </c>
      <c r="D354" s="413" t="s">
        <v>1163</v>
      </c>
      <c r="E354" s="417" t="s">
        <v>1164</v>
      </c>
    </row>
    <row r="355" spans="1:5" ht="12.75">
      <c r="A355" s="413" t="str">
        <f>IF(Fld_Menu_FR="x",Codes!$D355,IF(Fld_Menu_EN="x",Codes!$C355,IF(Fld_Menu_DE="x",Codes!$E355,"N/A")))</f>
        <v>A compléter si nécessaire</v>
      </c>
      <c r="C355" s="417" t="s">
        <v>1162</v>
      </c>
      <c r="D355" s="413" t="s">
        <v>1163</v>
      </c>
      <c r="E355" s="417" t="s">
        <v>1164</v>
      </c>
    </row>
    <row r="356" spans="1:5" ht="12.75">
      <c r="A356" s="413" t="str">
        <f>IF(Fld_Menu_FR="x",Codes!$D356,IF(Fld_Menu_EN="x",Codes!$C356,IF(Fld_Menu_DE="x",Codes!$E356,"N/A")))</f>
        <v>A compléter si nécessaire</v>
      </c>
      <c r="C356" s="417" t="s">
        <v>1162</v>
      </c>
      <c r="D356" s="413" t="s">
        <v>1163</v>
      </c>
      <c r="E356" s="417" t="s">
        <v>1164</v>
      </c>
    </row>
    <row r="357" spans="1:5" ht="12.75">
      <c r="A357" s="413" t="str">
        <f>IF(Fld_Menu_FR="x",Codes!$D357,IF(Fld_Menu_EN="x",Codes!$C357,IF(Fld_Menu_DE="x",Codes!$E357,"N/A")))</f>
        <v>A compléter si nécessaire</v>
      </c>
      <c r="C357" s="417" t="s">
        <v>1162</v>
      </c>
      <c r="D357" s="413" t="s">
        <v>1163</v>
      </c>
      <c r="E357" s="417" t="s">
        <v>1164</v>
      </c>
    </row>
    <row r="358" spans="1:5" ht="12.75">
      <c r="A358" s="413" t="str">
        <f>IF(Fld_Menu_FR="x",Codes!$D358,IF(Fld_Menu_EN="x",Codes!$C358,IF(Fld_Menu_DE="x",Codes!$E358,"N/A")))</f>
        <v>A compléter si nécessaire</v>
      </c>
      <c r="C358" s="417" t="s">
        <v>1162</v>
      </c>
      <c r="D358" s="413" t="s">
        <v>1163</v>
      </c>
      <c r="E358" s="417" t="s">
        <v>1164</v>
      </c>
    </row>
    <row r="359" spans="1:5" ht="12.75">
      <c r="A359" s="413" t="str">
        <f>IF(Fld_Menu_FR="x",Codes!$D359,IF(Fld_Menu_EN="x",Codes!$C359,IF(Fld_Menu_DE="x",Codes!$E359,"N/A")))</f>
        <v>A compléter si nécessaire</v>
      </c>
      <c r="C359" s="417" t="s">
        <v>1162</v>
      </c>
      <c r="D359" s="413" t="s">
        <v>1163</v>
      </c>
      <c r="E359" s="417" t="s">
        <v>1164</v>
      </c>
    </row>
    <row r="360" spans="1:5" ht="12.75">
      <c r="A360" s="413" t="str">
        <f>IF(Fld_Menu_FR="x",Codes!$D360,IF(Fld_Menu_EN="x",Codes!$C360,IF(Fld_Menu_DE="x",Codes!$E360,"N/A")))</f>
        <v>A compléter si nécessaire</v>
      </c>
      <c r="C360" s="417" t="s">
        <v>1162</v>
      </c>
      <c r="D360" s="413" t="s">
        <v>1163</v>
      </c>
      <c r="E360" s="417" t="s">
        <v>1164</v>
      </c>
    </row>
    <row r="361" spans="1:5" ht="12.75">
      <c r="A361" s="413" t="str">
        <f>IF(Fld_Menu_FR="x",Codes!$D361,IF(Fld_Menu_EN="x",Codes!$C361,IF(Fld_Menu_DE="x",Codes!$E361,"N/A")))</f>
        <v>A compléter si nécessaire</v>
      </c>
      <c r="C361" s="417" t="s">
        <v>1162</v>
      </c>
      <c r="D361" s="413" t="s">
        <v>1163</v>
      </c>
      <c r="E361" s="417" t="s">
        <v>1164</v>
      </c>
    </row>
    <row r="362" spans="1:5" ht="12.75">
      <c r="A362" s="413" t="str">
        <f>IF(Fld_Menu_FR="x",Codes!$D362,IF(Fld_Menu_EN="x",Codes!$C362,IF(Fld_Menu_DE="x",Codes!$E362,"N/A")))</f>
        <v>A compléter si nécessaire</v>
      </c>
      <c r="C362" s="417" t="s">
        <v>1162</v>
      </c>
      <c r="D362" s="413" t="s">
        <v>1163</v>
      </c>
      <c r="E362" s="417" t="s">
        <v>1164</v>
      </c>
    </row>
    <row r="363" spans="1:5" ht="12.75">
      <c r="A363" s="413" t="str">
        <f>IF(Fld_Menu_FR="x",Codes!$D363,IF(Fld_Menu_EN="x",Codes!$C363,IF(Fld_Menu_DE="x",Codes!$E363,"N/A")))</f>
        <v>A compléter si nécessaire</v>
      </c>
      <c r="C363" s="417" t="s">
        <v>1162</v>
      </c>
      <c r="D363" s="413" t="s">
        <v>1163</v>
      </c>
      <c r="E363" s="417" t="s">
        <v>1164</v>
      </c>
    </row>
    <row r="365" spans="1:5" ht="12.75">
      <c r="A365" s="411"/>
      <c r="B365" s="412" t="s">
        <v>1366</v>
      </c>
      <c r="C365" s="424" t="s">
        <v>1367</v>
      </c>
      <c r="D365" s="424" t="s">
        <v>1368</v>
      </c>
      <c r="E365" s="424" t="s">
        <v>863</v>
      </c>
    </row>
    <row r="366" spans="1:5" ht="12.75">
      <c r="A366" s="413" t="str">
        <f>IF(Fld_Menu_FR="x",Codes!$D366,IF(Fld_Menu_EN="x",Codes!$C366,IF(Fld_Menu_DE="x",Codes!$E366,"N/A")))</f>
        <v>Gestionnaire de projet</v>
      </c>
      <c r="B366" s="430" t="s">
        <v>864</v>
      </c>
      <c r="C366" s="426" t="s">
        <v>1863</v>
      </c>
      <c r="D366" s="426" t="s">
        <v>1875</v>
      </c>
      <c r="E366" s="426" t="s">
        <v>951</v>
      </c>
    </row>
    <row r="367" spans="1:5" ht="12.75">
      <c r="A367" s="413" t="str">
        <f>IF(Fld_Menu_FR="x",Codes!$D367,IF(Fld_Menu_EN="x",Codes!$C367,IF(Fld_Menu_DE="x",Codes!$E367,"N/A")))</f>
        <v>Conseiller</v>
      </c>
      <c r="B367" s="430" t="s">
        <v>962</v>
      </c>
      <c r="C367" s="426" t="s">
        <v>1864</v>
      </c>
      <c r="D367" s="426" t="s">
        <v>1876</v>
      </c>
      <c r="E367" s="426" t="s">
        <v>1635</v>
      </c>
    </row>
    <row r="368" spans="1:5" ht="12.75">
      <c r="A368" s="413" t="str">
        <f>IF(Fld_Menu_FR="x",Codes!$D368,IF(Fld_Menu_EN="x",Codes!$C368,IF(Fld_Menu_DE="x",Codes!$E368,"N/A")))</f>
        <v>Consultant</v>
      </c>
      <c r="B368" s="430" t="s">
        <v>963</v>
      </c>
      <c r="C368" s="426" t="s">
        <v>1865</v>
      </c>
      <c r="D368" s="426" t="s">
        <v>1865</v>
      </c>
      <c r="E368" s="426" t="s">
        <v>1635</v>
      </c>
    </row>
    <row r="369" spans="1:5" ht="12.75">
      <c r="A369" s="413" t="str">
        <f>IF(Fld_Menu_FR="x",Codes!$D369,IF(Fld_Menu_EN="x",Codes!$C369,IF(Fld_Menu_DE="x",Codes!$E369,"N/A")))</f>
        <v>Président</v>
      </c>
      <c r="B369" s="430" t="s">
        <v>964</v>
      </c>
      <c r="C369" s="426" t="s">
        <v>1866</v>
      </c>
      <c r="D369" s="426" t="s">
        <v>1877</v>
      </c>
      <c r="E369" s="426" t="s">
        <v>1636</v>
      </c>
    </row>
    <row r="370" spans="1:5" ht="12.75">
      <c r="A370" s="413" t="str">
        <f>IF(Fld_Menu_FR="x",Codes!$D370,IF(Fld_Menu_EN="x",Codes!$C370,IF(Fld_Menu_DE="x",Codes!$E370,"N/A")))</f>
        <v>Secrétaire</v>
      </c>
      <c r="B370" s="430" t="s">
        <v>965</v>
      </c>
      <c r="C370" s="426" t="s">
        <v>1867</v>
      </c>
      <c r="D370" s="426" t="s">
        <v>1878</v>
      </c>
      <c r="E370" s="426" t="s">
        <v>1674</v>
      </c>
    </row>
    <row r="371" spans="1:5" ht="12.75">
      <c r="A371" s="413" t="str">
        <f>IF(Fld_Menu_FR="x",Codes!$D371,IF(Fld_Menu_EN="x",Codes!$C371,IF(Fld_Menu_DE="x",Codes!$E371,"N/A")))</f>
        <v>Secrétaire Général</v>
      </c>
      <c r="B371" s="430" t="s">
        <v>966</v>
      </c>
      <c r="C371" s="426" t="s">
        <v>1868</v>
      </c>
      <c r="D371" s="426" t="s">
        <v>1879</v>
      </c>
      <c r="E371" s="426" t="s">
        <v>1675</v>
      </c>
    </row>
    <row r="372" spans="1:5" ht="12.75">
      <c r="A372" s="413" t="str">
        <f>IF(Fld_Menu_FR="x",Codes!$D372,IF(Fld_Menu_EN="x",Codes!$C372,IF(Fld_Menu_DE="x",Codes!$E372,"N/A")))</f>
        <v>Vice-Président</v>
      </c>
      <c r="B372" s="430" t="s">
        <v>967</v>
      </c>
      <c r="C372" s="426" t="s">
        <v>1869</v>
      </c>
      <c r="D372" s="426" t="s">
        <v>1880</v>
      </c>
      <c r="E372" s="426" t="s">
        <v>594</v>
      </c>
    </row>
    <row r="373" spans="1:5" ht="12.75">
      <c r="A373" s="413" t="str">
        <f>IF(Fld_Menu_FR="x",Codes!$D373,IF(Fld_Menu_EN="x",Codes!$C373,IF(Fld_Menu_DE="x",Codes!$E373,"N/A")))</f>
        <v>Coordinateur</v>
      </c>
      <c r="B373" s="430" t="s">
        <v>968</v>
      </c>
      <c r="C373" s="426" t="s">
        <v>1870</v>
      </c>
      <c r="D373" s="426" t="s">
        <v>587</v>
      </c>
      <c r="E373" s="426" t="s">
        <v>1637</v>
      </c>
    </row>
    <row r="374" spans="1:5" ht="12.75">
      <c r="A374" s="413" t="str">
        <f>IF(Fld_Menu_FR="x",Codes!$D374,IF(Fld_Menu_EN="x",Codes!$C374,IF(Fld_Menu_DE="x",Codes!$E374,"N/A")))</f>
        <v>Directeur</v>
      </c>
      <c r="B374" s="430" t="s">
        <v>969</v>
      </c>
      <c r="C374" s="426" t="s">
        <v>1871</v>
      </c>
      <c r="D374" s="426" t="s">
        <v>588</v>
      </c>
      <c r="E374" s="426" t="s">
        <v>1639</v>
      </c>
    </row>
    <row r="375" spans="1:5" ht="12.75">
      <c r="A375" s="413" t="str">
        <f>IF(Fld_Menu_FR="x",Codes!$D375,IF(Fld_Menu_EN="x",Codes!$C375,IF(Fld_Menu_DE="x",Codes!$E375,"N/A")))</f>
        <v>Chef d'Unité</v>
      </c>
      <c r="B375" s="430" t="s">
        <v>970</v>
      </c>
      <c r="C375" s="426" t="s">
        <v>1872</v>
      </c>
      <c r="D375" s="426" t="s">
        <v>589</v>
      </c>
      <c r="E375" s="426" t="s">
        <v>1676</v>
      </c>
    </row>
    <row r="376" spans="1:5" ht="12.75">
      <c r="A376" s="413" t="str">
        <f>IF(Fld_Menu_FR="x",Codes!$D376,IF(Fld_Menu_EN="x",Codes!$C376,IF(Fld_Menu_DE="x",Codes!$E376,"N/A")))</f>
        <v>Employé</v>
      </c>
      <c r="B376" s="431" t="s">
        <v>1638</v>
      </c>
      <c r="C376" s="428" t="s">
        <v>1873</v>
      </c>
      <c r="D376" s="428" t="s">
        <v>590</v>
      </c>
      <c r="E376" s="428" t="s">
        <v>1677</v>
      </c>
    </row>
    <row r="377" spans="1:5" ht="12.75">
      <c r="A377" s="413" t="str">
        <f>IF(Fld_Menu_FR="x",Codes!$D377,IF(Fld_Menu_EN="x",Codes!$C377,IF(Fld_Menu_DE="x",Codes!$E377,"N/A")))</f>
        <v>Intérimaire</v>
      </c>
      <c r="B377" s="431" t="s">
        <v>1798</v>
      </c>
      <c r="C377" s="428" t="s">
        <v>1874</v>
      </c>
      <c r="D377" s="428" t="s">
        <v>591</v>
      </c>
      <c r="E377" s="428" t="s">
        <v>593</v>
      </c>
    </row>
    <row r="378" spans="1:5" ht="12.75">
      <c r="A378" s="413" t="str">
        <f>IF(Fld_Menu_FR="x",Codes!$D378,IF(Fld_Menu_EN="x",Codes!$C378,IF(Fld_Menu_DE="x",Codes!$E378,"N/A")))</f>
        <v>Autre</v>
      </c>
      <c r="B378" s="431" t="s">
        <v>1799</v>
      </c>
      <c r="C378" s="428" t="s">
        <v>2012</v>
      </c>
      <c r="D378" s="428" t="s">
        <v>592</v>
      </c>
      <c r="E378" s="428" t="s">
        <v>473</v>
      </c>
    </row>
    <row r="379" spans="1:5" ht="12.75">
      <c r="A379" s="413" t="str">
        <f>IF(Fld_Menu_FR="x",Codes!$D379,IF(Fld_Menu_EN="x",Codes!$C379,IF(Fld_Menu_DE="x",Codes!$E379,"N/A")))</f>
        <v>A compléter si nécessaire</v>
      </c>
      <c r="C379" s="429" t="s">
        <v>1162</v>
      </c>
      <c r="D379" s="413" t="s">
        <v>1163</v>
      </c>
      <c r="E379" s="429" t="s">
        <v>1164</v>
      </c>
    </row>
    <row r="380" spans="1:5" ht="12.75">
      <c r="A380" s="413" t="str">
        <f>IF(Fld_Menu_FR="x",Codes!$D380,IF(Fld_Menu_EN="x",Codes!$C380,IF(Fld_Menu_DE="x",Codes!$E380,"N/A")))</f>
        <v>A compléter si nécessaire</v>
      </c>
      <c r="C380" s="417" t="s">
        <v>1162</v>
      </c>
      <c r="D380" s="413" t="s">
        <v>1163</v>
      </c>
      <c r="E380" s="417" t="s">
        <v>1164</v>
      </c>
    </row>
    <row r="381" spans="1:5" ht="12.75">
      <c r="A381" s="413" t="str">
        <f>IF(Fld_Menu_FR="x",Codes!$D381,IF(Fld_Menu_EN="x",Codes!$C381,IF(Fld_Menu_DE="x",Codes!$E381,"N/A")))</f>
        <v>A compléter si nécessaire</v>
      </c>
      <c r="C381" s="417" t="s">
        <v>1162</v>
      </c>
      <c r="D381" s="413" t="s">
        <v>1163</v>
      </c>
      <c r="E381" s="417" t="s">
        <v>1164</v>
      </c>
    </row>
    <row r="382" spans="1:5" ht="12.75">
      <c r="A382" s="413" t="str">
        <f>IF(Fld_Menu_FR="x",Codes!$D382,IF(Fld_Menu_EN="x",Codes!$C382,IF(Fld_Menu_DE="x",Codes!$E382,"N/A")))</f>
        <v>A compléter si nécessaire</v>
      </c>
      <c r="C382" s="417" t="s">
        <v>1162</v>
      </c>
      <c r="D382" s="413" t="s">
        <v>1163</v>
      </c>
      <c r="E382" s="417" t="s">
        <v>1164</v>
      </c>
    </row>
    <row r="383" spans="1:5" ht="12.75">
      <c r="A383" s="413" t="str">
        <f>IF(Fld_Menu_FR="x",Codes!$D383,IF(Fld_Menu_EN="x",Codes!$C383,IF(Fld_Menu_DE="x",Codes!$E383,"N/A")))</f>
        <v>A compléter si nécessaire</v>
      </c>
      <c r="C383" s="417" t="s">
        <v>1162</v>
      </c>
      <c r="D383" s="413" t="s">
        <v>1163</v>
      </c>
      <c r="E383" s="417" t="s">
        <v>1164</v>
      </c>
    </row>
    <row r="384" spans="1:5" ht="12.75">
      <c r="A384" s="413" t="str">
        <f>IF(Fld_Menu_FR="x",Codes!$D384,IF(Fld_Menu_EN="x",Codes!$C384,IF(Fld_Menu_DE="x",Codes!$E384,"N/A")))</f>
        <v>A compléter si nécessaire</v>
      </c>
      <c r="C384" s="417" t="s">
        <v>1162</v>
      </c>
      <c r="D384" s="413" t="s">
        <v>1163</v>
      </c>
      <c r="E384" s="417" t="s">
        <v>1164</v>
      </c>
    </row>
    <row r="385" spans="1:5" ht="12.75">
      <c r="A385" s="413" t="str">
        <f>IF(Fld_Menu_FR="x",Codes!$D385,IF(Fld_Menu_EN="x",Codes!$C385,IF(Fld_Menu_DE="x",Codes!$E385,"N/A")))</f>
        <v>A compléter si nécessaire</v>
      </c>
      <c r="C385" s="417" t="s">
        <v>1162</v>
      </c>
      <c r="D385" s="413" t="s">
        <v>1163</v>
      </c>
      <c r="E385" s="417" t="s">
        <v>1164</v>
      </c>
    </row>
    <row r="386" spans="1:5" ht="12.75">
      <c r="A386" s="413" t="str">
        <f>IF(Fld_Menu_FR="x",Codes!$D386,IF(Fld_Menu_EN="x",Codes!$C386,IF(Fld_Menu_DE="x",Codes!$E386,"N/A")))</f>
        <v>A compléter si nécessaire</v>
      </c>
      <c r="C386" s="417" t="s">
        <v>1162</v>
      </c>
      <c r="D386" s="413" t="s">
        <v>1163</v>
      </c>
      <c r="E386" s="417" t="s">
        <v>1164</v>
      </c>
    </row>
    <row r="387" spans="1:5" ht="12.75">
      <c r="A387" s="413" t="str">
        <f>IF(Fld_Menu_FR="x",Codes!$D387,IF(Fld_Menu_EN="x",Codes!$C387,IF(Fld_Menu_DE="x",Codes!$E387,"N/A")))</f>
        <v>A compléter si nécessaire</v>
      </c>
      <c r="C387" s="417" t="s">
        <v>1162</v>
      </c>
      <c r="D387" s="413" t="s">
        <v>1163</v>
      </c>
      <c r="E387" s="417" t="s">
        <v>1164</v>
      </c>
    </row>
    <row r="388" spans="1:5" ht="12.75">
      <c r="A388" s="413" t="str">
        <f>IF(Fld_Menu_FR="x",Codes!$D388,IF(Fld_Menu_EN="x",Codes!$C388,IF(Fld_Menu_DE="x",Codes!$E388,"N/A")))</f>
        <v>A compléter si nécessaire</v>
      </c>
      <c r="C388" s="417" t="s">
        <v>1162</v>
      </c>
      <c r="D388" s="413" t="s">
        <v>1163</v>
      </c>
      <c r="E388" s="417" t="s">
        <v>1164</v>
      </c>
    </row>
    <row r="389" spans="1:5" ht="12.75">
      <c r="A389" s="413" t="str">
        <f>IF(Fld_Menu_FR="x",Codes!$D389,IF(Fld_Menu_EN="x",Codes!$C389,IF(Fld_Menu_DE="x",Codes!$E389,"N/A")))</f>
        <v>A compléter si nécessaire</v>
      </c>
      <c r="C389" s="417" t="s">
        <v>1162</v>
      </c>
      <c r="D389" s="413" t="s">
        <v>1163</v>
      </c>
      <c r="E389" s="417" t="s">
        <v>1164</v>
      </c>
    </row>
    <row r="390" spans="1:5" ht="12.75">
      <c r="A390" s="413" t="str">
        <f>IF(Fld_Menu_FR="x",Codes!$D390,IF(Fld_Menu_EN="x",Codes!$C390,IF(Fld_Menu_DE="x",Codes!$E390,"N/A")))</f>
        <v>A compléter si nécessaire</v>
      </c>
      <c r="C390" s="417" t="s">
        <v>1162</v>
      </c>
      <c r="D390" s="413" t="s">
        <v>1163</v>
      </c>
      <c r="E390" s="417" t="s">
        <v>1164</v>
      </c>
    </row>
    <row r="391" spans="1:5" ht="12.75">
      <c r="A391" s="413" t="str">
        <f>IF(Fld_Menu_FR="x",Codes!$D391,IF(Fld_Menu_EN="x",Codes!$C391,IF(Fld_Menu_DE="x",Codes!$E391,"N/A")))</f>
        <v>A compléter si nécessaire</v>
      </c>
      <c r="C391" s="417" t="s">
        <v>1162</v>
      </c>
      <c r="D391" s="413" t="s">
        <v>1163</v>
      </c>
      <c r="E391" s="417" t="s">
        <v>1164</v>
      </c>
    </row>
    <row r="392" spans="1:5" ht="12.75">
      <c r="A392" s="413" t="str">
        <f>IF(Fld_Menu_FR="x",Codes!$D392,IF(Fld_Menu_EN="x",Codes!$C392,IF(Fld_Menu_DE="x",Codes!$E392,"N/A")))</f>
        <v>A compléter si nécessaire</v>
      </c>
      <c r="C392" s="417" t="s">
        <v>1162</v>
      </c>
      <c r="D392" s="413" t="s">
        <v>1163</v>
      </c>
      <c r="E392" s="417" t="s">
        <v>1164</v>
      </c>
    </row>
    <row r="393" spans="1:5" ht="12.75">
      <c r="A393" s="413" t="str">
        <f>IF(Fld_Menu_FR="x",Codes!$D393,IF(Fld_Menu_EN="x",Codes!$C393,IF(Fld_Menu_DE="x",Codes!$E393,"N/A")))</f>
        <v>A compléter si nécessaire</v>
      </c>
      <c r="C393" s="417" t="s">
        <v>1162</v>
      </c>
      <c r="D393" s="413" t="s">
        <v>1163</v>
      </c>
      <c r="E393" s="417" t="s">
        <v>1164</v>
      </c>
    </row>
    <row r="394" spans="1:5" ht="12.75">
      <c r="A394" s="413" t="str">
        <f>IF(Fld_Menu_FR="x",Codes!$D394,IF(Fld_Menu_EN="x",Codes!$C394,IF(Fld_Menu_DE="x",Codes!$E394,"N/A")))</f>
        <v>A compléter si nécessaire</v>
      </c>
      <c r="C394" s="417" t="s">
        <v>1162</v>
      </c>
      <c r="D394" s="413" t="s">
        <v>1163</v>
      </c>
      <c r="E394" s="417" t="s">
        <v>1164</v>
      </c>
    </row>
    <row r="395" spans="1:5" ht="12.75">
      <c r="A395" s="413" t="str">
        <f>IF(Fld_Menu_FR="x",Codes!$D395,IF(Fld_Menu_EN="x",Codes!$C395,IF(Fld_Menu_DE="x",Codes!$E395,"N/A")))</f>
        <v>A compléter si nécessaire</v>
      </c>
      <c r="C395" s="417" t="s">
        <v>1162</v>
      </c>
      <c r="D395" s="413" t="s">
        <v>1163</v>
      </c>
      <c r="E395" s="417" t="s">
        <v>1164</v>
      </c>
    </row>
    <row r="396" spans="1:5" ht="12.75">
      <c r="A396" s="413" t="str">
        <f>IF(Fld_Menu_FR="x",Codes!$D396,IF(Fld_Menu_EN="x",Codes!$C396,IF(Fld_Menu_DE="x",Codes!$E396,"N/A")))</f>
        <v>A compléter si nécessaire</v>
      </c>
      <c r="C396" s="417" t="s">
        <v>1162</v>
      </c>
      <c r="D396" s="413" t="s">
        <v>1163</v>
      </c>
      <c r="E396" s="417" t="s">
        <v>1164</v>
      </c>
    </row>
    <row r="397" spans="1:5" ht="12.75">
      <c r="A397" s="413" t="str">
        <f>IF(Fld_Menu_FR="x",Codes!$D397,IF(Fld_Menu_EN="x",Codes!$C397,IF(Fld_Menu_DE="x",Codes!$E397,"N/A")))</f>
        <v>A compléter si nécessaire</v>
      </c>
      <c r="C397" s="417" t="s">
        <v>1162</v>
      </c>
      <c r="D397" s="413" t="s">
        <v>1163</v>
      </c>
      <c r="E397" s="417" t="s">
        <v>1164</v>
      </c>
    </row>
    <row r="398" spans="1:5" ht="12.75">
      <c r="A398" s="413" t="str">
        <f>IF(Fld_Menu_FR="x",Codes!$D398,IF(Fld_Menu_EN="x",Codes!$C398,IF(Fld_Menu_DE="x",Codes!$E398,"N/A")))</f>
        <v>A compléter si nécessaire</v>
      </c>
      <c r="C398" s="417" t="s">
        <v>1162</v>
      </c>
      <c r="D398" s="413" t="s">
        <v>1163</v>
      </c>
      <c r="E398" s="417" t="s">
        <v>1164</v>
      </c>
    </row>
    <row r="399" spans="1:5" ht="12.75">
      <c r="A399" s="413" t="str">
        <f>IF(Fld_Menu_FR="x",Codes!$D399,IF(Fld_Menu_EN="x",Codes!$C399,IF(Fld_Menu_DE="x",Codes!$E399,"N/A")))</f>
        <v>A compléter si nécessaire</v>
      </c>
      <c r="C399" s="417" t="s">
        <v>1162</v>
      </c>
      <c r="D399" s="413" t="s">
        <v>1163</v>
      </c>
      <c r="E399" s="417" t="s">
        <v>1164</v>
      </c>
    </row>
    <row r="400" spans="1:5" ht="12.75">
      <c r="A400" s="413" t="str">
        <f>IF(Fld_Menu_FR="x",Codes!$D400,IF(Fld_Menu_EN="x",Codes!$C400,IF(Fld_Menu_DE="x",Codes!$E400,"N/A")))</f>
        <v>A compléter si nécessaire</v>
      </c>
      <c r="C400" s="417" t="s">
        <v>1162</v>
      </c>
      <c r="D400" s="413" t="s">
        <v>1163</v>
      </c>
      <c r="E400" s="417" t="s">
        <v>1164</v>
      </c>
    </row>
    <row r="401" spans="1:5" ht="12.75">
      <c r="A401" s="413" t="str">
        <f>IF(Fld_Menu_FR="x",Codes!$D401,IF(Fld_Menu_EN="x",Codes!$C401,IF(Fld_Menu_DE="x",Codes!$E401,"N/A")))</f>
        <v>A compléter si nécessaire</v>
      </c>
      <c r="C401" s="417" t="s">
        <v>1162</v>
      </c>
      <c r="D401" s="413" t="s">
        <v>1163</v>
      </c>
      <c r="E401" s="417" t="s">
        <v>1164</v>
      </c>
    </row>
    <row r="402" spans="1:5" ht="12.75">
      <c r="A402" s="413" t="str">
        <f>IF(Fld_Menu_FR="x",Codes!$D402,IF(Fld_Menu_EN="x",Codes!$C402,IF(Fld_Menu_DE="x",Codes!$E402,"N/A")))</f>
        <v>A compléter si nécessaire</v>
      </c>
      <c r="C402" s="417" t="s">
        <v>1162</v>
      </c>
      <c r="D402" s="413" t="s">
        <v>1163</v>
      </c>
      <c r="E402" s="417" t="s">
        <v>1164</v>
      </c>
    </row>
    <row r="403" spans="1:5" ht="12.75">
      <c r="A403" s="413" t="str">
        <f>IF(Fld_Menu_FR="x",Codes!$D403,IF(Fld_Menu_EN="x",Codes!$C403,IF(Fld_Menu_DE="x",Codes!$E403,"N/A")))</f>
        <v>A compléter si nécessaire</v>
      </c>
      <c r="C403" s="417" t="s">
        <v>1162</v>
      </c>
      <c r="D403" s="413" t="s">
        <v>1163</v>
      </c>
      <c r="E403" s="417" t="s">
        <v>1164</v>
      </c>
    </row>
    <row r="404" spans="1:5" ht="12.75">
      <c r="A404" s="413" t="str">
        <f>IF(Fld_Menu_FR="x",Codes!$D404,IF(Fld_Menu_EN="x",Codes!$C404,IF(Fld_Menu_DE="x",Codes!$E404,"N/A")))</f>
        <v>A compléter si nécessaire</v>
      </c>
      <c r="C404" s="417" t="s">
        <v>1162</v>
      </c>
      <c r="D404" s="413" t="s">
        <v>1163</v>
      </c>
      <c r="E404" s="417" t="s">
        <v>1164</v>
      </c>
    </row>
    <row r="405" spans="1:5" ht="12.75">
      <c r="A405" s="413" t="str">
        <f>IF(Fld_Menu_FR="x",Codes!$D405,IF(Fld_Menu_EN="x",Codes!$C405,IF(Fld_Menu_DE="x",Codes!$E405,"N/A")))</f>
        <v>A compléter si nécessaire</v>
      </c>
      <c r="C405" s="417" t="s">
        <v>1162</v>
      </c>
      <c r="D405" s="413" t="s">
        <v>1163</v>
      </c>
      <c r="E405" s="417" t="s">
        <v>1164</v>
      </c>
    </row>
    <row r="407" spans="1:5" ht="12.75">
      <c r="A407" s="411"/>
      <c r="B407" s="412" t="s">
        <v>971</v>
      </c>
      <c r="C407" s="412" t="s">
        <v>972</v>
      </c>
      <c r="D407" s="412" t="s">
        <v>973</v>
      </c>
      <c r="E407" s="412" t="s">
        <v>974</v>
      </c>
    </row>
    <row r="408" spans="1:5" ht="12.75">
      <c r="A408" s="413" t="str">
        <f>IF(Fld_Menu_FR="x",Codes!$D408,IF(Fld_Menu_EN="x",Codes!$C408,IF(Fld_Menu_DE="x",Codes!$E408,"N/A")))</f>
        <v>Belge</v>
      </c>
      <c r="B408" s="422" t="s">
        <v>1999</v>
      </c>
      <c r="C408" s="413" t="s">
        <v>975</v>
      </c>
      <c r="D408" s="413" t="s">
        <v>976</v>
      </c>
      <c r="E408" s="432" t="s">
        <v>977</v>
      </c>
    </row>
    <row r="409" spans="1:5" ht="12.75">
      <c r="A409" s="413" t="str">
        <f>IF(Fld_Menu_FR="x",Codes!$D409,IF(Fld_Menu_EN="x",Codes!$C409,IF(Fld_Menu_DE="x",Codes!$E409,"N/A")))</f>
        <v>Danois</v>
      </c>
      <c r="B409" s="422" t="s">
        <v>2001</v>
      </c>
      <c r="C409" s="413" t="s">
        <v>978</v>
      </c>
      <c r="D409" s="413" t="s">
        <v>979</v>
      </c>
      <c r="E409" s="420" t="s">
        <v>980</v>
      </c>
    </row>
    <row r="410" spans="1:5" ht="12.75">
      <c r="A410" s="413" t="str">
        <f>IF(Fld_Menu_FR="x",Codes!$D410,IF(Fld_Menu_EN="x",Codes!$C410,IF(Fld_Menu_DE="x",Codes!$E410,"N/A")))</f>
        <v>Allemand</v>
      </c>
      <c r="B410" s="422" t="s">
        <v>2003</v>
      </c>
      <c r="C410" s="413" t="s">
        <v>564</v>
      </c>
      <c r="D410" s="413" t="s">
        <v>824</v>
      </c>
      <c r="E410" s="420" t="s">
        <v>981</v>
      </c>
    </row>
    <row r="411" spans="1:5" ht="12.75">
      <c r="A411" s="413" t="str">
        <f>IF(Fld_Menu_FR="x",Codes!$D411,IF(Fld_Menu_EN="x",Codes!$C411,IF(Fld_Menu_DE="x",Codes!$E411,"N/A")))</f>
        <v>Grec</v>
      </c>
      <c r="B411" s="422" t="s">
        <v>2006</v>
      </c>
      <c r="C411" s="413" t="s">
        <v>982</v>
      </c>
      <c r="D411" s="413" t="s">
        <v>983</v>
      </c>
      <c r="E411" s="420" t="s">
        <v>984</v>
      </c>
    </row>
    <row r="412" spans="1:5" ht="12.75">
      <c r="A412" s="413" t="str">
        <f>IF(Fld_Menu_FR="x",Codes!$D412,IF(Fld_Menu_EN="x",Codes!$C412,IF(Fld_Menu_DE="x",Codes!$E412,"N/A")))</f>
        <v>Espagnol</v>
      </c>
      <c r="B412" s="422" t="s">
        <v>2009</v>
      </c>
      <c r="C412" s="413" t="s">
        <v>985</v>
      </c>
      <c r="D412" s="413" t="s">
        <v>986</v>
      </c>
      <c r="E412" s="420" t="s">
        <v>987</v>
      </c>
    </row>
    <row r="413" spans="1:5" ht="12.75">
      <c r="A413" s="413" t="str">
        <f>IF(Fld_Menu_FR="x",Codes!$D413,IF(Fld_Menu_EN="x",Codes!$C413,IF(Fld_Menu_DE="x",Codes!$E413,"N/A")))</f>
        <v>Français</v>
      </c>
      <c r="B413" s="422" t="s">
        <v>823</v>
      </c>
      <c r="C413" s="413" t="s">
        <v>988</v>
      </c>
      <c r="D413" s="413" t="s">
        <v>1470</v>
      </c>
      <c r="E413" s="420" t="s">
        <v>989</v>
      </c>
    </row>
    <row r="414" spans="1:5" ht="12.75">
      <c r="A414" s="413" t="str">
        <f>IF(Fld_Menu_FR="x",Codes!$D414,IF(Fld_Menu_EN="x",Codes!$C414,IF(Fld_Menu_DE="x",Codes!$E414,"N/A")))</f>
        <v>Irlandais</v>
      </c>
      <c r="B414" s="422" t="s">
        <v>840</v>
      </c>
      <c r="C414" s="413" t="s">
        <v>990</v>
      </c>
      <c r="D414" s="413" t="s">
        <v>991</v>
      </c>
      <c r="E414" s="420" t="s">
        <v>992</v>
      </c>
    </row>
    <row r="415" spans="1:5" ht="12.75">
      <c r="A415" s="413" t="str">
        <f>IF(Fld_Menu_FR="x",Codes!$D415,IF(Fld_Menu_EN="x",Codes!$C415,IF(Fld_Menu_DE="x",Codes!$E415,"N/A")))</f>
        <v>Italien</v>
      </c>
      <c r="B415" s="422" t="s">
        <v>844</v>
      </c>
      <c r="C415" s="413" t="s">
        <v>993</v>
      </c>
      <c r="D415" s="413" t="s">
        <v>486</v>
      </c>
      <c r="E415" s="420" t="s">
        <v>994</v>
      </c>
    </row>
    <row r="416" spans="1:5" ht="12.75">
      <c r="A416" s="413" t="str">
        <f>IF(Fld_Menu_FR="x",Codes!$D416,IF(Fld_Menu_EN="x",Codes!$C416,IF(Fld_Menu_DE="x",Codes!$E416,"N/A")))</f>
        <v>Luxembourgeois</v>
      </c>
      <c r="B416" s="422" t="s">
        <v>487</v>
      </c>
      <c r="C416" s="413" t="s">
        <v>995</v>
      </c>
      <c r="D416" s="413" t="s">
        <v>996</v>
      </c>
      <c r="E416" s="420" t="s">
        <v>997</v>
      </c>
    </row>
    <row r="417" spans="1:5" ht="12.75">
      <c r="A417" s="413" t="str">
        <f>IF(Fld_Menu_FR="x",Codes!$D417,IF(Fld_Menu_EN="x",Codes!$C417,IF(Fld_Menu_DE="x",Codes!$E417,"N/A")))</f>
        <v>Néerlandais</v>
      </c>
      <c r="B417" s="422" t="s">
        <v>490</v>
      </c>
      <c r="C417" s="413" t="s">
        <v>1054</v>
      </c>
      <c r="D417" s="413" t="s">
        <v>1055</v>
      </c>
      <c r="E417" s="420" t="s">
        <v>1056</v>
      </c>
    </row>
    <row r="418" spans="1:5" ht="12.75">
      <c r="A418" s="413" t="str">
        <f>IF(Fld_Menu_FR="x",Codes!$D418,IF(Fld_Menu_EN="x",Codes!$C418,IF(Fld_Menu_DE="x",Codes!$E418,"N/A")))</f>
        <v>Autrichien</v>
      </c>
      <c r="B418" s="422" t="s">
        <v>494</v>
      </c>
      <c r="C418" s="413" t="s">
        <v>1057</v>
      </c>
      <c r="D418" s="413" t="s">
        <v>148</v>
      </c>
      <c r="E418" s="420" t="s">
        <v>149</v>
      </c>
    </row>
    <row r="419" spans="1:5" ht="12.75">
      <c r="A419" s="413" t="str">
        <f>IF(Fld_Menu_FR="x",Codes!$D419,IF(Fld_Menu_EN="x",Codes!$C419,IF(Fld_Menu_DE="x",Codes!$E419,"N/A")))</f>
        <v>Portugais</v>
      </c>
      <c r="B419" s="422" t="s">
        <v>497</v>
      </c>
      <c r="C419" s="413" t="s">
        <v>150</v>
      </c>
      <c r="D419" s="413" t="s">
        <v>151</v>
      </c>
      <c r="E419" s="420" t="s">
        <v>152</v>
      </c>
    </row>
    <row r="420" spans="1:5" ht="12.75">
      <c r="A420" s="413" t="str">
        <f>IF(Fld_Menu_FR="x",Codes!$D420,IF(Fld_Menu_EN="x",Codes!$C420,IF(Fld_Menu_DE="x",Codes!$E420,"N/A")))</f>
        <v>Finlandais</v>
      </c>
      <c r="B420" s="422" t="s">
        <v>499</v>
      </c>
      <c r="C420" s="413" t="s">
        <v>153</v>
      </c>
      <c r="D420" s="413" t="s">
        <v>154</v>
      </c>
      <c r="E420" s="420" t="s">
        <v>155</v>
      </c>
    </row>
    <row r="421" spans="1:5" ht="12.75">
      <c r="A421" s="413" t="str">
        <f>IF(Fld_Menu_FR="x",Codes!$D421,IF(Fld_Menu_EN="x",Codes!$C421,IF(Fld_Menu_DE="x",Codes!$E421,"N/A")))</f>
        <v>Suédois</v>
      </c>
      <c r="B421" s="422" t="s">
        <v>503</v>
      </c>
      <c r="C421" s="413" t="s">
        <v>156</v>
      </c>
      <c r="D421" s="413" t="s">
        <v>157</v>
      </c>
      <c r="E421" s="420" t="s">
        <v>158</v>
      </c>
    </row>
    <row r="422" spans="1:5" ht="12.75">
      <c r="A422" s="413" t="str">
        <f>IF(Fld_Menu_FR="x",Codes!$D422,IF(Fld_Menu_EN="x",Codes!$C422,IF(Fld_Menu_DE="x",Codes!$E422,"N/A")))</f>
        <v>Anglais</v>
      </c>
      <c r="B422" s="422" t="s">
        <v>507</v>
      </c>
      <c r="C422" s="413" t="s">
        <v>159</v>
      </c>
      <c r="D422" s="413" t="s">
        <v>825</v>
      </c>
      <c r="E422" s="420" t="s">
        <v>160</v>
      </c>
    </row>
    <row r="424" spans="1:5" ht="12.75">
      <c r="A424" s="411"/>
      <c r="B424" s="412" t="s">
        <v>161</v>
      </c>
      <c r="C424" s="424" t="s">
        <v>162</v>
      </c>
      <c r="D424" s="424" t="s">
        <v>163</v>
      </c>
      <c r="E424" s="424" t="s">
        <v>164</v>
      </c>
    </row>
    <row r="425" spans="1:5" ht="12.75">
      <c r="A425" s="413" t="str">
        <f>IF(Fld_Menu_FR="x",Codes!$D425,IF(Fld_Menu_EN="x",Codes!$C425,IF(Fld_Menu_DE="x",Codes!$E425,"N/A")))</f>
        <v>EUR</v>
      </c>
      <c r="C425" s="428" t="s">
        <v>1412</v>
      </c>
      <c r="D425" s="428" t="s">
        <v>1412</v>
      </c>
      <c r="E425" s="428" t="s">
        <v>1412</v>
      </c>
    </row>
    <row r="426" spans="1:5" ht="12.75">
      <c r="A426" s="413" t="str">
        <f>IF(Fld_Menu_FR="x",Codes!$D426,IF(Fld_Menu_EN="x",Codes!$C426,IF(Fld_Menu_DE="x",Codes!$E426,"N/A")))</f>
        <v>ATS</v>
      </c>
      <c r="C426" s="428" t="s">
        <v>1646</v>
      </c>
      <c r="D426" s="428" t="s">
        <v>1646</v>
      </c>
      <c r="E426" s="428" t="s">
        <v>1646</v>
      </c>
    </row>
    <row r="427" spans="1:5" ht="12.75">
      <c r="A427" s="413" t="str">
        <f>IF(Fld_Menu_FR="x",Codes!$D427,IF(Fld_Menu_EN="x",Codes!$C427,IF(Fld_Menu_DE="x",Codes!$E427,"N/A")))</f>
        <v>BEF</v>
      </c>
      <c r="C427" s="428" t="s">
        <v>166</v>
      </c>
      <c r="D427" s="428" t="s">
        <v>166</v>
      </c>
      <c r="E427" s="428" t="s">
        <v>166</v>
      </c>
    </row>
    <row r="428" spans="1:5" ht="12.75">
      <c r="A428" s="413" t="str">
        <f>IF(Fld_Menu_FR="x",Codes!$D428,IF(Fld_Menu_EN="x",Codes!$C428,IF(Fld_Menu_DE="x",Codes!$E428,"N/A")))</f>
        <v>DEM</v>
      </c>
      <c r="C428" s="428" t="s">
        <v>1640</v>
      </c>
      <c r="D428" s="428" t="s">
        <v>1640</v>
      </c>
      <c r="E428" s="428" t="s">
        <v>1640</v>
      </c>
    </row>
    <row r="429" spans="1:5" ht="12.75">
      <c r="A429" s="413" t="str">
        <f>IF(Fld_Menu_FR="x",Codes!$D429,IF(Fld_Menu_EN="x",Codes!$C429,IF(Fld_Menu_DE="x",Codes!$E429,"N/A")))</f>
        <v>DKK</v>
      </c>
      <c r="C429" s="428" t="s">
        <v>1649</v>
      </c>
      <c r="D429" s="428" t="s">
        <v>1649</v>
      </c>
      <c r="E429" s="428" t="s">
        <v>1649</v>
      </c>
    </row>
    <row r="430" spans="1:5" ht="12.75">
      <c r="A430" s="413" t="str">
        <f>IF(Fld_Menu_FR="x",Codes!$D430,IF(Fld_Menu_EN="x",Codes!$C430,IF(Fld_Menu_DE="x",Codes!$E430,"N/A")))</f>
        <v>ESP</v>
      </c>
      <c r="C430" s="428" t="s">
        <v>1642</v>
      </c>
      <c r="D430" s="428" t="s">
        <v>1642</v>
      </c>
      <c r="E430" s="428" t="s">
        <v>1642</v>
      </c>
    </row>
    <row r="431" spans="1:5" ht="12.75">
      <c r="A431" s="413" t="str">
        <f>IF(Fld_Menu_FR="x",Codes!$D431,IF(Fld_Menu_EN="x",Codes!$C431,IF(Fld_Menu_DE="x",Codes!$E431,"N/A")))</f>
        <v>FIM</v>
      </c>
      <c r="C431" s="428" t="s">
        <v>1648</v>
      </c>
      <c r="D431" s="428" t="s">
        <v>1648</v>
      </c>
      <c r="E431" s="428" t="s">
        <v>1648</v>
      </c>
    </row>
    <row r="432" spans="1:5" ht="12.75">
      <c r="A432" s="413" t="str">
        <f>IF(Fld_Menu_FR="x",Codes!$D432,IF(Fld_Menu_EN="x",Codes!$C432,IF(Fld_Menu_DE="x",Codes!$E432,"N/A")))</f>
        <v>FRF</v>
      </c>
      <c r="C432" s="428" t="s">
        <v>167</v>
      </c>
      <c r="D432" s="428" t="s">
        <v>167</v>
      </c>
      <c r="E432" s="428" t="s">
        <v>167</v>
      </c>
    </row>
    <row r="433" spans="1:5" ht="12.75">
      <c r="A433" s="413" t="str">
        <f>IF(Fld_Menu_FR="x",Codes!$D433,IF(Fld_Menu_EN="x",Codes!$C433,IF(Fld_Menu_DE="x",Codes!$E433,"N/A")))</f>
        <v>GBP</v>
      </c>
      <c r="C433" s="428" t="s">
        <v>1651</v>
      </c>
      <c r="D433" s="428" t="s">
        <v>1651</v>
      </c>
      <c r="E433" s="428" t="s">
        <v>1651</v>
      </c>
    </row>
    <row r="434" spans="1:5" ht="12.75">
      <c r="A434" s="413" t="str">
        <f>IF(Fld_Menu_FR="x",Codes!$D434,IF(Fld_Menu_EN="x",Codes!$C434,IF(Fld_Menu_DE="x",Codes!$E434,"N/A")))</f>
        <v>GRD</v>
      </c>
      <c r="C434" s="428" t="s">
        <v>1641</v>
      </c>
      <c r="D434" s="428" t="s">
        <v>1641</v>
      </c>
      <c r="E434" s="428" t="s">
        <v>1641</v>
      </c>
    </row>
    <row r="435" spans="1:5" ht="12.75">
      <c r="A435" s="413" t="str">
        <f>IF(Fld_Menu_FR="x",Codes!$D435,IF(Fld_Menu_EN="x",Codes!$C435,IF(Fld_Menu_DE="x",Codes!$E435,"N/A")))</f>
        <v>IEP</v>
      </c>
      <c r="C435" s="428" t="s">
        <v>1643</v>
      </c>
      <c r="D435" s="428" t="s">
        <v>1643</v>
      </c>
      <c r="E435" s="428" t="s">
        <v>1643</v>
      </c>
    </row>
    <row r="436" spans="1:5" ht="12.75">
      <c r="A436" s="413" t="str">
        <f>IF(Fld_Menu_FR="x",Codes!$D436,IF(Fld_Menu_EN="x",Codes!$C436,IF(Fld_Menu_DE="x",Codes!$E436,"N/A")))</f>
        <v>ITL</v>
      </c>
      <c r="C436" s="428" t="s">
        <v>1644</v>
      </c>
      <c r="D436" s="428" t="s">
        <v>1644</v>
      </c>
      <c r="E436" s="428" t="s">
        <v>1644</v>
      </c>
    </row>
    <row r="437" spans="1:5" ht="12.75">
      <c r="A437" s="413" t="str">
        <f>IF(Fld_Menu_FR="x",Codes!$D437,IF(Fld_Menu_EN="x",Codes!$C437,IF(Fld_Menu_DE="x",Codes!$E437,"N/A")))</f>
        <v>LUF</v>
      </c>
      <c r="C437" s="428" t="s">
        <v>165</v>
      </c>
      <c r="D437" s="428" t="s">
        <v>165</v>
      </c>
      <c r="E437" s="428" t="s">
        <v>165</v>
      </c>
    </row>
    <row r="438" spans="1:5" ht="12.75">
      <c r="A438" s="413" t="str">
        <f>IF(Fld_Menu_FR="x",Codes!$D438,IF(Fld_Menu_EN="x",Codes!$C438,IF(Fld_Menu_DE="x",Codes!$E438,"N/A")))</f>
        <v>NLG</v>
      </c>
      <c r="C438" s="428" t="s">
        <v>1645</v>
      </c>
      <c r="D438" s="428" t="s">
        <v>1645</v>
      </c>
      <c r="E438" s="428" t="s">
        <v>1645</v>
      </c>
    </row>
    <row r="439" spans="1:5" ht="12.75">
      <c r="A439" s="413" t="str">
        <f>IF(Fld_Menu_FR="x",Codes!$D439,IF(Fld_Menu_EN="x",Codes!$C439,IF(Fld_Menu_DE="x",Codes!$E439,"N/A")))</f>
        <v>PTE</v>
      </c>
      <c r="C439" s="428" t="s">
        <v>1647</v>
      </c>
      <c r="D439" s="428" t="s">
        <v>1647</v>
      </c>
      <c r="E439" s="428" t="s">
        <v>1647</v>
      </c>
    </row>
    <row r="440" spans="1:5" ht="12.75">
      <c r="A440" s="413" t="str">
        <f>IF(Fld_Menu_FR="x",Codes!$D440,IF(Fld_Menu_EN="x",Codes!$C440,IF(Fld_Menu_DE="x",Codes!$E440,"N/A")))</f>
        <v>SEK</v>
      </c>
      <c r="C440" s="428" t="s">
        <v>1650</v>
      </c>
      <c r="D440" s="428" t="s">
        <v>1650</v>
      </c>
      <c r="E440" s="428" t="s">
        <v>1650</v>
      </c>
    </row>
    <row r="441" spans="1:5" ht="12.75">
      <c r="A441" s="413" t="str">
        <f>IF(Fld_Menu_FR="x",Codes!$D441,IF(Fld_Menu_EN="x",Codes!$C441,IF(Fld_Menu_DE="x",Codes!$E441,"N/A")))</f>
        <v>TRL</v>
      </c>
      <c r="C441" s="428" t="s">
        <v>457</v>
      </c>
      <c r="D441" s="428" t="s">
        <v>457</v>
      </c>
      <c r="E441" s="428" t="s">
        <v>457</v>
      </c>
    </row>
    <row r="442" spans="1:5" ht="12.75">
      <c r="A442" s="413" t="str">
        <f>IF(Fld_Menu_FR="x",Codes!$D442,IF(Fld_Menu_EN="x",Codes!$C442,IF(Fld_Menu_DE="x",Codes!$E442,"N/A")))</f>
        <v>BGN</v>
      </c>
      <c r="C442" s="433" t="s">
        <v>456</v>
      </c>
      <c r="D442" s="413" t="s">
        <v>456</v>
      </c>
      <c r="E442" s="433" t="s">
        <v>456</v>
      </c>
    </row>
    <row r="443" spans="1:5" ht="12.75">
      <c r="A443" s="413" t="str">
        <f>IF(Fld_Menu_FR="x",Codes!$D443,IF(Fld_Menu_EN="x",Codes!$C443,IF(Fld_Menu_DE="x",Codes!$E443,"N/A")))</f>
        <v>CHF</v>
      </c>
      <c r="C443" s="428" t="s">
        <v>1652</v>
      </c>
      <c r="D443" s="428" t="s">
        <v>1652</v>
      </c>
      <c r="E443" s="428" t="s">
        <v>1652</v>
      </c>
    </row>
    <row r="444" spans="1:5" ht="12.75">
      <c r="A444" s="413" t="str">
        <f>IF(Fld_Menu_FR="x",Codes!$D444,IF(Fld_Menu_EN="x",Codes!$C444,IF(Fld_Menu_DE="x",Codes!$E444,"N/A")))</f>
        <v>CYP</v>
      </c>
      <c r="C444" s="428" t="s">
        <v>1655</v>
      </c>
      <c r="D444" s="428" t="s">
        <v>1655</v>
      </c>
      <c r="E444" s="428" t="s">
        <v>1655</v>
      </c>
    </row>
    <row r="445" spans="1:5" ht="12.75">
      <c r="A445" s="413" t="str">
        <f>IF(Fld_Menu_FR="x",Codes!$D445,IF(Fld_Menu_EN="x",Codes!$C445,IF(Fld_Menu_DE="x",Codes!$E445,"N/A")))</f>
        <v>CZK</v>
      </c>
      <c r="C445" s="428" t="s">
        <v>1658</v>
      </c>
      <c r="D445" s="428" t="s">
        <v>1658</v>
      </c>
      <c r="E445" s="428" t="s">
        <v>1658</v>
      </c>
    </row>
    <row r="446" spans="1:5" ht="12.75">
      <c r="A446" s="413" t="str">
        <f>IF(Fld_Menu_FR="x",Codes!$D446,IF(Fld_Menu_EN="x",Codes!$C446,IF(Fld_Menu_DE="x",Codes!$E446,"N/A")))</f>
        <v>EEK</v>
      </c>
      <c r="C446" s="428" t="s">
        <v>1659</v>
      </c>
      <c r="D446" s="428" t="s">
        <v>1659</v>
      </c>
      <c r="E446" s="428" t="s">
        <v>1659</v>
      </c>
    </row>
    <row r="447" spans="1:5" ht="12.75">
      <c r="A447" s="413" t="str">
        <f>IF(Fld_Menu_FR="x",Codes!$D447,IF(Fld_Menu_EN="x",Codes!$C447,IF(Fld_Menu_DE="x",Codes!$E447,"N/A")))</f>
        <v>HUF</v>
      </c>
      <c r="C447" s="428" t="s">
        <v>1656</v>
      </c>
      <c r="D447" s="428" t="s">
        <v>1656</v>
      </c>
      <c r="E447" s="428" t="s">
        <v>1656</v>
      </c>
    </row>
    <row r="448" spans="1:5" ht="12.75">
      <c r="A448" s="413" t="str">
        <f>IF(Fld_Menu_FR="x",Codes!$D448,IF(Fld_Menu_EN="x",Codes!$C448,IF(Fld_Menu_DE="x",Codes!$E448,"N/A")))</f>
        <v>ISK</v>
      </c>
      <c r="C448" s="428" t="s">
        <v>1654</v>
      </c>
      <c r="D448" s="428" t="s">
        <v>1654</v>
      </c>
      <c r="E448" s="428" t="s">
        <v>1654</v>
      </c>
    </row>
    <row r="449" spans="1:5" ht="12.75">
      <c r="A449" s="413" t="str">
        <f>IF(Fld_Menu_FR="x",Codes!$D449,IF(Fld_Menu_EN="x",Codes!$C449,IF(Fld_Menu_DE="x",Codes!$E449,"N/A")))</f>
        <v>LTL</v>
      </c>
      <c r="B449" s="414"/>
      <c r="C449" s="428" t="s">
        <v>1661</v>
      </c>
      <c r="D449" s="428" t="s">
        <v>1661</v>
      </c>
      <c r="E449" s="428" t="s">
        <v>1661</v>
      </c>
    </row>
    <row r="450" spans="1:5" ht="12.75">
      <c r="A450" s="413" t="str">
        <f>IF(Fld_Menu_FR="x",Codes!$D450,IF(Fld_Menu_EN="x",Codes!$C450,IF(Fld_Menu_DE="x",Codes!$E450,"N/A")))</f>
        <v>LVL</v>
      </c>
      <c r="C450" s="428" t="s">
        <v>1660</v>
      </c>
      <c r="D450" s="428" t="s">
        <v>1660</v>
      </c>
      <c r="E450" s="428" t="s">
        <v>1660</v>
      </c>
    </row>
    <row r="451" spans="1:5" ht="12.75">
      <c r="A451" s="413" t="str">
        <f>IF(Fld_Menu_FR="x",Codes!$D451,IF(Fld_Menu_EN="x",Codes!$C451,IF(Fld_Menu_DE="x",Codes!$E451,"N/A")))</f>
        <v>MTL</v>
      </c>
      <c r="C451" s="428" t="s">
        <v>1662</v>
      </c>
      <c r="D451" s="428" t="s">
        <v>1662</v>
      </c>
      <c r="E451" s="428" t="s">
        <v>1662</v>
      </c>
    </row>
    <row r="452" spans="1:5" ht="12.75">
      <c r="A452" s="413" t="str">
        <f>IF(Fld_Menu_FR="x",Codes!$D452,IF(Fld_Menu_EN="x",Codes!$C452,IF(Fld_Menu_DE="x",Codes!$E452,"N/A")))</f>
        <v>NOK</v>
      </c>
      <c r="C452" s="428" t="s">
        <v>1653</v>
      </c>
      <c r="D452" s="428" t="s">
        <v>1653</v>
      </c>
      <c r="E452" s="428" t="s">
        <v>1653</v>
      </c>
    </row>
    <row r="453" spans="1:5" ht="12.75">
      <c r="A453" s="413" t="str">
        <f>IF(Fld_Menu_FR="x",Codes!$D453,IF(Fld_Menu_EN="x",Codes!$C453,IF(Fld_Menu_DE="x",Codes!$E453,"N/A")))</f>
        <v>PLN</v>
      </c>
      <c r="C453" s="433" t="s">
        <v>455</v>
      </c>
      <c r="D453" s="413" t="s">
        <v>455</v>
      </c>
      <c r="E453" s="433" t="s">
        <v>455</v>
      </c>
    </row>
    <row r="454" spans="1:5" ht="12.75">
      <c r="A454" s="413" t="str">
        <f>IF(Fld_Menu_FR="x",Codes!$D454,IF(Fld_Menu_EN="x",Codes!$C454,IF(Fld_Menu_DE="x",Codes!$E454,"N/A")))</f>
        <v>ROL</v>
      </c>
      <c r="C454" s="428" t="s">
        <v>1663</v>
      </c>
      <c r="D454" s="428" t="s">
        <v>1663</v>
      </c>
      <c r="E454" s="428" t="s">
        <v>1663</v>
      </c>
    </row>
    <row r="455" spans="1:5" ht="12.75">
      <c r="A455" s="413" t="str">
        <f>IF(Fld_Menu_FR="x",Codes!$D455,IF(Fld_Menu_EN="x",Codes!$C455,IF(Fld_Menu_DE="x",Codes!$E455,"N/A")))</f>
        <v>SIT</v>
      </c>
      <c r="C455" s="434" t="s">
        <v>1657</v>
      </c>
      <c r="D455" s="428" t="s">
        <v>1657</v>
      </c>
      <c r="E455" s="434" t="s">
        <v>1657</v>
      </c>
    </row>
    <row r="456" spans="1:5" ht="12.75">
      <c r="A456" s="413" t="str">
        <f>IF(Fld_Menu_FR="x",Codes!$D456,IF(Fld_Menu_EN="x",Codes!$C456,IF(Fld_Menu_DE="x",Codes!$E456,"N/A")))</f>
        <v>SKK</v>
      </c>
      <c r="C456" s="435" t="s">
        <v>1664</v>
      </c>
      <c r="D456" s="428" t="s">
        <v>1664</v>
      </c>
      <c r="E456" s="435" t="s">
        <v>1664</v>
      </c>
    </row>
    <row r="457" spans="1:5" ht="12.75">
      <c r="A457" s="413" t="str">
        <f>IF(Fld_Menu_FR="x",Codes!$D457,IF(Fld_Menu_EN="x",Codes!$C457,IF(Fld_Menu_DE="x",Codes!$E457,"N/A")))</f>
        <v>A compléter si nécessaire</v>
      </c>
      <c r="C457" s="417" t="s">
        <v>1162</v>
      </c>
      <c r="D457" s="413" t="s">
        <v>1163</v>
      </c>
      <c r="E457" s="417" t="s">
        <v>1164</v>
      </c>
    </row>
    <row r="458" spans="1:5" ht="12.75">
      <c r="A458" s="413" t="str">
        <f>IF(Fld_Menu_FR="x",Codes!$D458,IF(Fld_Menu_EN="x",Codes!$C458,IF(Fld_Menu_DE="x",Codes!$E458,"N/A")))</f>
        <v>A compléter si nécessaire</v>
      </c>
      <c r="C458" s="417" t="s">
        <v>1162</v>
      </c>
      <c r="D458" s="413" t="s">
        <v>1163</v>
      </c>
      <c r="E458" s="417" t="s">
        <v>1164</v>
      </c>
    </row>
    <row r="459" spans="1:5" ht="12.75">
      <c r="A459" s="413" t="str">
        <f>IF(Fld_Menu_FR="x",Codes!$D459,IF(Fld_Menu_EN="x",Codes!$C459,IF(Fld_Menu_DE="x",Codes!$E459,"N/A")))</f>
        <v>A compléter si nécessaire</v>
      </c>
      <c r="C459" s="417" t="s">
        <v>1162</v>
      </c>
      <c r="D459" s="413" t="s">
        <v>1163</v>
      </c>
      <c r="E459" s="417" t="s">
        <v>1164</v>
      </c>
    </row>
    <row r="460" spans="1:5" ht="12.75">
      <c r="A460" s="413" t="str">
        <f>IF(Fld_Menu_FR="x",Codes!$D460,IF(Fld_Menu_EN="x",Codes!$C460,IF(Fld_Menu_DE="x",Codes!$E460,"N/A")))</f>
        <v>A compléter si nécessaire</v>
      </c>
      <c r="C460" s="417" t="s">
        <v>1162</v>
      </c>
      <c r="D460" s="413" t="s">
        <v>1163</v>
      </c>
      <c r="E460" s="417" t="s">
        <v>1164</v>
      </c>
    </row>
    <row r="461" spans="1:5" ht="12.75">
      <c r="A461" s="413" t="str">
        <f>IF(Fld_Menu_FR="x",Codes!$D461,IF(Fld_Menu_EN="x",Codes!$C461,IF(Fld_Menu_DE="x",Codes!$E461,"N/A")))</f>
        <v>A compléter si nécessaire</v>
      </c>
      <c r="C461" s="417" t="s">
        <v>1162</v>
      </c>
      <c r="D461" s="413" t="s">
        <v>1163</v>
      </c>
      <c r="E461" s="417" t="s">
        <v>1164</v>
      </c>
    </row>
    <row r="462" spans="1:5" ht="12.75">
      <c r="A462" s="413" t="str">
        <f>IF(Fld_Menu_FR="x",Codes!$D462,IF(Fld_Menu_EN="x",Codes!$C462,IF(Fld_Menu_DE="x",Codes!$E462,"N/A")))</f>
        <v>A compléter si nécessaire</v>
      </c>
      <c r="C462" s="417" t="s">
        <v>1162</v>
      </c>
      <c r="D462" s="413" t="s">
        <v>1163</v>
      </c>
      <c r="E462" s="417" t="s">
        <v>1164</v>
      </c>
    </row>
    <row r="463" spans="1:5" ht="12.75">
      <c r="A463" s="413" t="str">
        <f>IF(Fld_Menu_FR="x",Codes!$D463,IF(Fld_Menu_EN="x",Codes!$C463,IF(Fld_Menu_DE="x",Codes!$E463,"N/A")))</f>
        <v>A compléter si nécessaire</v>
      </c>
      <c r="C463" s="417" t="s">
        <v>1162</v>
      </c>
      <c r="D463" s="413" t="s">
        <v>1163</v>
      </c>
      <c r="E463" s="417" t="s">
        <v>1164</v>
      </c>
    </row>
    <row r="464" spans="1:5" ht="12.75">
      <c r="A464" s="413" t="str">
        <f>IF(Fld_Menu_FR="x",Codes!$D464,IF(Fld_Menu_EN="x",Codes!$C464,IF(Fld_Menu_DE="x",Codes!$E464,"N/A")))</f>
        <v>A compléter si nécessaire</v>
      </c>
      <c r="C464" s="417" t="s">
        <v>1162</v>
      </c>
      <c r="D464" s="413" t="s">
        <v>1163</v>
      </c>
      <c r="E464" s="417" t="s">
        <v>1164</v>
      </c>
    </row>
    <row r="466" spans="1:5" ht="12.75">
      <c r="A466" s="411"/>
      <c r="B466" s="412" t="s">
        <v>172</v>
      </c>
      <c r="C466" s="412" t="s">
        <v>173</v>
      </c>
      <c r="D466" s="412" t="s">
        <v>174</v>
      </c>
      <c r="E466" s="412" t="s">
        <v>175</v>
      </c>
    </row>
    <row r="467" spans="1:5" ht="12.75">
      <c r="A467" s="413" t="str">
        <f>IF(Fld_Menu_FR="x",Codes!$D467,IF(Fld_Menu_EN="x",Codes!$C467,IF(Fld_Menu_DE="x",Codes!$E467,"N/A")))</f>
        <v>VP/2002/008</v>
      </c>
      <c r="B467" s="422" t="s">
        <v>2077</v>
      </c>
      <c r="C467" s="413" t="s">
        <v>2077</v>
      </c>
      <c r="D467" s="413" t="s">
        <v>2077</v>
      </c>
      <c r="E467" s="413" t="s">
        <v>2077</v>
      </c>
    </row>
    <row r="468" ht="12.75">
      <c r="A468" s="413">
        <f>IF(Fld_Menu_FR="x",Codes!$D468,IF(Fld_Menu_EN="x",Codes!$C468,IF(Fld_Menu_DE="x",Codes!$E468,"N/A")))</f>
        <v>0</v>
      </c>
    </row>
    <row r="469" ht="12.75">
      <c r="A469" s="413">
        <f>IF(Fld_Menu_FR="x",Codes!$D469,IF(Fld_Menu_EN="x",Codes!$C469,IF(Fld_Menu_DE="x",Codes!$E469,"N/A")))</f>
        <v>0</v>
      </c>
    </row>
    <row r="470" spans="1:5" ht="12.75">
      <c r="A470" s="413">
        <f>IF(Fld_Menu_FR="x",Codes!$D470,IF(Fld_Menu_EN="x",Codes!$C470,IF(Fld_Menu_DE="x",Codes!$E470,"N/A")))</f>
        <v>0</v>
      </c>
      <c r="C470" s="417"/>
      <c r="E470" s="417"/>
    </row>
    <row r="471" spans="1:5" ht="12.75">
      <c r="A471" s="413">
        <f>IF(Fld_Menu_FR="x",Codes!$D471,IF(Fld_Menu_EN="x",Codes!$C471,IF(Fld_Menu_DE="x",Codes!$E471,"N/A")))</f>
        <v>0</v>
      </c>
      <c r="C471" s="417"/>
      <c r="E471" s="417"/>
    </row>
    <row r="472" spans="1:5" ht="12.75">
      <c r="A472" s="413">
        <f>IF(Fld_Menu_FR="x",Codes!$D472,IF(Fld_Menu_EN="x",Codes!$C472,IF(Fld_Menu_DE="x",Codes!$E472,"N/A")))</f>
        <v>0</v>
      </c>
      <c r="C472" s="417"/>
      <c r="E472" s="417"/>
    </row>
    <row r="473" spans="1:5" ht="12.75">
      <c r="A473" s="413">
        <f>IF(Fld_Menu_FR="x",Codes!$D473,IF(Fld_Menu_EN="x",Codes!$C473,IF(Fld_Menu_DE="x",Codes!$E473,"N/A")))</f>
        <v>0</v>
      </c>
      <c r="C473" s="417"/>
      <c r="E473" s="417"/>
    </row>
    <row r="474" spans="1:5" ht="12.75">
      <c r="A474" s="413">
        <f>IF(Fld_Menu_FR="x",Codes!$D474,IF(Fld_Menu_EN="x",Codes!$C474,IF(Fld_Menu_DE="x",Codes!$E474,"N/A")))</f>
        <v>0</v>
      </c>
      <c r="C474" s="417"/>
      <c r="E474" s="417"/>
    </row>
    <row r="475" spans="1:5" ht="12.75">
      <c r="A475" s="413">
        <f>IF(Fld_Menu_FR="x",Codes!$D475,IF(Fld_Menu_EN="x",Codes!$C475,IF(Fld_Menu_DE="x",Codes!$E475,"N/A")))</f>
        <v>0</v>
      </c>
      <c r="C475" s="417"/>
      <c r="E475" s="417"/>
    </row>
    <row r="476" spans="1:5" ht="12.75">
      <c r="A476" s="413">
        <f>IF(Fld_Menu_FR="x",Codes!$D476,IF(Fld_Menu_EN="x",Codes!$C476,IF(Fld_Menu_DE="x",Codes!$E476,"N/A")))</f>
        <v>0</v>
      </c>
      <c r="C476" s="417"/>
      <c r="E476" s="417"/>
    </row>
    <row r="477" spans="1:5" ht="12.75">
      <c r="A477" s="413">
        <f>IF(Fld_Menu_FR="x",Codes!$D477,IF(Fld_Menu_EN="x",Codes!$C477,IF(Fld_Menu_DE="x",Codes!$E477,"N/A")))</f>
        <v>0</v>
      </c>
      <c r="C477" s="417"/>
      <c r="E477" s="417"/>
    </row>
    <row r="478" spans="1:5" ht="12.75">
      <c r="A478" s="413">
        <f>IF(Fld_Menu_FR="x",Codes!$D478,IF(Fld_Menu_EN="x",Codes!$C478,IF(Fld_Menu_DE="x",Codes!$E478,"N/A")))</f>
        <v>0</v>
      </c>
      <c r="C478" s="417"/>
      <c r="E478" s="417"/>
    </row>
    <row r="479" spans="1:5" ht="12.75">
      <c r="A479" s="413">
        <f>IF(Fld_Menu_FR="x",Codes!$D479,IF(Fld_Menu_EN="x",Codes!$C479,IF(Fld_Menu_DE="x",Codes!$E479,"N/A")))</f>
        <v>0</v>
      </c>
      <c r="C479" s="417"/>
      <c r="E479" s="417"/>
    </row>
    <row r="480" spans="1:5" ht="12.75">
      <c r="A480" s="413">
        <f>IF(Fld_Menu_FR="x",Codes!$D480,IF(Fld_Menu_EN="x",Codes!$C480,IF(Fld_Menu_DE="x",Codes!$E480,"N/A")))</f>
        <v>0</v>
      </c>
      <c r="C480" s="417"/>
      <c r="E480" s="417"/>
    </row>
    <row r="482" spans="1:5" ht="12.75">
      <c r="A482" s="411"/>
      <c r="B482" s="412" t="s">
        <v>176</v>
      </c>
      <c r="C482" s="412" t="s">
        <v>177</v>
      </c>
      <c r="D482" s="412" t="s">
        <v>178</v>
      </c>
      <c r="E482" s="412" t="s">
        <v>179</v>
      </c>
    </row>
    <row r="483" spans="1:5" ht="12.75" customHeight="1">
      <c r="A483" s="413" t="str">
        <f>IF(Fld_Menu_FR="x",Codes!$D483,IF(Fld_Menu_EN="x",Codes!$C483,IF(Fld_Menu_DE="x",Codes!$E483,"N/A")))</f>
        <v>1) Réalisation et dissémination de recherches permettant de mieux comprendre l'exclusion sociale</v>
      </c>
      <c r="B483" s="422" t="s">
        <v>494</v>
      </c>
      <c r="C483" s="413" t="s">
        <v>1315</v>
      </c>
      <c r="D483" s="413" t="s">
        <v>2093</v>
      </c>
      <c r="E483" s="413" t="s">
        <v>1787</v>
      </c>
    </row>
    <row r="484" spans="1:5" ht="12.75">
      <c r="A484" s="413" t="str">
        <f>IF(Fld_Menu_FR="x",Codes!$D484,IF(Fld_Menu_EN="x",Codes!$C484,IF(Fld_Menu_DE="x",Codes!$E484,"N/A")))</f>
        <v>2) Agir pour les plus vulnérables</v>
      </c>
      <c r="B484" s="422" t="s">
        <v>1999</v>
      </c>
      <c r="C484" s="413" t="s">
        <v>1314</v>
      </c>
      <c r="D484" s="413" t="s">
        <v>2094</v>
      </c>
      <c r="E484" s="413" t="s">
        <v>1788</v>
      </c>
    </row>
    <row r="485" spans="1:5" ht="12.75">
      <c r="A485" s="413" t="str">
        <f>IF(Fld_Menu_FR="x",Codes!$D485,IF(Fld_Menu_EN="x",Codes!$C485,IF(Fld_Menu_DE="x",Codes!$E485,"N/A")))</f>
        <v>3) Promotion d'approches novatrices dans les politiques de lutte contre l'exclusion par l'échange de bonnes pratiques</v>
      </c>
      <c r="B485" s="422" t="s">
        <v>1168</v>
      </c>
      <c r="C485" s="413" t="s">
        <v>1471</v>
      </c>
      <c r="D485" s="413" t="s">
        <v>2095</v>
      </c>
      <c r="E485" s="413" t="s">
        <v>2096</v>
      </c>
    </row>
    <row r="486" spans="1:5" ht="12.75" customHeight="1">
      <c r="A486" s="413">
        <f>IF(Fld_Menu_FR="x",Codes!$D486,IF(Fld_Menu_EN="x",Codes!$C486,IF(Fld_Menu_DE="x",Codes!$E486,"N/A")))</f>
        <v>0</v>
      </c>
      <c r="E486" s="417"/>
    </row>
    <row r="487" spans="3:5" ht="12.75">
      <c r="C487" s="417"/>
      <c r="E487" s="417" t="s">
        <v>1164</v>
      </c>
    </row>
    <row r="488" spans="3:5" ht="12.75">
      <c r="C488" s="417"/>
      <c r="E488" s="417" t="s">
        <v>1164</v>
      </c>
    </row>
    <row r="489" spans="3:5" ht="12.75">
      <c r="C489" s="417"/>
      <c r="E489" s="417" t="s">
        <v>1164</v>
      </c>
    </row>
    <row r="490" spans="3:5" ht="12.75">
      <c r="C490" s="417"/>
      <c r="E490" s="417" t="s">
        <v>1164</v>
      </c>
    </row>
    <row r="491" spans="3:5" ht="12.75">
      <c r="C491" s="417"/>
      <c r="E491" s="417" t="s">
        <v>1164</v>
      </c>
    </row>
    <row r="492" spans="3:5" ht="12.75">
      <c r="C492" s="417"/>
      <c r="E492" s="417" t="s">
        <v>1164</v>
      </c>
    </row>
    <row r="493" spans="3:5" ht="12.75">
      <c r="C493" s="417"/>
      <c r="E493" s="417" t="s">
        <v>1164</v>
      </c>
    </row>
    <row r="494" spans="3:5" ht="12.75">
      <c r="C494" s="417"/>
      <c r="E494" s="417" t="s">
        <v>1164</v>
      </c>
    </row>
    <row r="495" spans="3:5" ht="12.75">
      <c r="C495" s="417"/>
      <c r="E495" s="417" t="s">
        <v>1164</v>
      </c>
    </row>
    <row r="496" spans="3:5" ht="12.75">
      <c r="C496" s="417"/>
      <c r="E496" s="417" t="s">
        <v>1164</v>
      </c>
    </row>
    <row r="498" spans="1:5" ht="12.75">
      <c r="A498" s="411"/>
      <c r="B498" s="412" t="s">
        <v>180</v>
      </c>
      <c r="C498" s="412" t="s">
        <v>181</v>
      </c>
      <c r="D498" s="412" t="s">
        <v>182</v>
      </c>
      <c r="E498" s="412" t="s">
        <v>183</v>
      </c>
    </row>
    <row r="499" spans="1:5" ht="12.75">
      <c r="A499" s="413" t="str">
        <f>IF(Fld_Menu_FR="x",Codes!$D499,IF(Fld_Menu_EN="x",Codes!$C499,IF(Fld_Menu_DE="x",Codes!$E499,"N/A")))</f>
        <v>Sous-Domaine 1 du domaine A</v>
      </c>
      <c r="B499" s="422">
        <v>1</v>
      </c>
      <c r="C499" s="413" t="s">
        <v>184</v>
      </c>
      <c r="D499" s="413" t="s">
        <v>184</v>
      </c>
      <c r="E499" s="413" t="s">
        <v>184</v>
      </c>
    </row>
    <row r="500" spans="1:5" ht="12.75">
      <c r="A500" s="413" t="str">
        <f>IF(Fld_Menu_FR="x",Codes!$D500,IF(Fld_Menu_EN="x",Codes!$C500,IF(Fld_Menu_DE="x",Codes!$E500,"N/A")))</f>
        <v>Sous-Domaine 2 du domaine A</v>
      </c>
      <c r="B500" s="422">
        <v>2</v>
      </c>
      <c r="C500" s="413" t="s">
        <v>379</v>
      </c>
      <c r="D500" s="413" t="s">
        <v>379</v>
      </c>
      <c r="E500" s="413" t="s">
        <v>379</v>
      </c>
    </row>
    <row r="501" spans="1:5" ht="12.75">
      <c r="A501" s="413" t="str">
        <f>IF(Fld_Menu_FR="x",Codes!$D501,IF(Fld_Menu_EN="x",Codes!$C501,IF(Fld_Menu_DE="x",Codes!$E501,"N/A")))</f>
        <v>Sous-Domaine 1 du domaine B</v>
      </c>
      <c r="B501" s="422">
        <v>3</v>
      </c>
      <c r="C501" s="413" t="s">
        <v>185</v>
      </c>
      <c r="D501" s="413" t="s">
        <v>185</v>
      </c>
      <c r="E501" s="413" t="s">
        <v>185</v>
      </c>
    </row>
    <row r="502" spans="3:5" ht="12.75">
      <c r="C502" s="417"/>
      <c r="E502" s="417" t="s">
        <v>1164</v>
      </c>
    </row>
    <row r="503" spans="3:5" ht="12.75">
      <c r="C503" s="417"/>
      <c r="E503" s="417" t="s">
        <v>1164</v>
      </c>
    </row>
    <row r="504" spans="3:5" ht="12.75">
      <c r="C504" s="417"/>
      <c r="E504" s="417" t="s">
        <v>1164</v>
      </c>
    </row>
    <row r="505" spans="3:5" ht="12.75">
      <c r="C505" s="417"/>
      <c r="E505" s="417" t="s">
        <v>1164</v>
      </c>
    </row>
    <row r="506" spans="3:5" ht="12.75">
      <c r="C506" s="417"/>
      <c r="E506" s="417" t="s">
        <v>1164</v>
      </c>
    </row>
    <row r="507" spans="3:5" ht="12.75">
      <c r="C507" s="417"/>
      <c r="E507" s="417" t="s">
        <v>1164</v>
      </c>
    </row>
    <row r="508" spans="3:5" ht="12.75">
      <c r="C508" s="417"/>
      <c r="E508" s="417" t="s">
        <v>1164</v>
      </c>
    </row>
    <row r="509" spans="3:5" ht="12.75">
      <c r="C509" s="417"/>
      <c r="E509" s="417" t="s">
        <v>1164</v>
      </c>
    </row>
    <row r="510" spans="3:5" ht="12.75">
      <c r="C510" s="417"/>
      <c r="E510" s="417" t="s">
        <v>1164</v>
      </c>
    </row>
    <row r="511" spans="3:5" ht="12.75">
      <c r="C511" s="417"/>
      <c r="E511" s="417" t="s">
        <v>1164</v>
      </c>
    </row>
    <row r="512" spans="3:5" ht="12.75">
      <c r="C512" s="417"/>
      <c r="E512" s="417" t="s">
        <v>1164</v>
      </c>
    </row>
    <row r="514" spans="1:5" ht="12.75">
      <c r="A514" s="411"/>
      <c r="B514" s="436"/>
      <c r="C514" s="437" t="s">
        <v>186</v>
      </c>
      <c r="D514" s="412" t="s">
        <v>187</v>
      </c>
      <c r="E514" s="412" t="s">
        <v>214</v>
      </c>
    </row>
    <row r="515" spans="1:5" ht="12.75">
      <c r="A515" s="413" t="str">
        <f>IF(Fld_Menu_FR="x",Codes!$D515,IF(Fld_Menu_EN="x",Codes!$C515,IF(Fld_Menu_DE="x",Codes!$E515,"N/A")))</f>
        <v>B3-4105</v>
      </c>
      <c r="C515" s="413" t="s">
        <v>877</v>
      </c>
      <c r="D515" s="413" t="s">
        <v>877</v>
      </c>
      <c r="E515" s="413" t="s">
        <v>877</v>
      </c>
    </row>
    <row r="517" spans="3:5" ht="12.75">
      <c r="C517" s="417"/>
      <c r="E517" s="417" t="s">
        <v>1164</v>
      </c>
    </row>
    <row r="518" spans="3:5" ht="12.75">
      <c r="C518" s="417"/>
      <c r="E518" s="417" t="s">
        <v>1164</v>
      </c>
    </row>
    <row r="519" spans="3:5" ht="12.75">
      <c r="C519" s="417"/>
      <c r="E519" s="417" t="s">
        <v>1164</v>
      </c>
    </row>
    <row r="520" spans="3:5" ht="12.75">
      <c r="C520" s="417"/>
      <c r="E520" s="417" t="s">
        <v>1164</v>
      </c>
    </row>
    <row r="521" spans="3:5" ht="12.75">
      <c r="C521" s="417"/>
      <c r="E521" s="417" t="s">
        <v>1164</v>
      </c>
    </row>
    <row r="522" spans="3:5" ht="12.75">
      <c r="C522" s="417"/>
      <c r="E522" s="417" t="s">
        <v>1164</v>
      </c>
    </row>
    <row r="523" spans="3:5" ht="12.75">
      <c r="C523" s="417"/>
      <c r="E523" s="417" t="s">
        <v>1164</v>
      </c>
    </row>
    <row r="524" spans="3:5" ht="12.75">
      <c r="C524" s="417"/>
      <c r="E524" s="417" t="s">
        <v>1164</v>
      </c>
    </row>
    <row r="525" spans="3:5" ht="12.75">
      <c r="C525" s="417"/>
      <c r="E525" s="417" t="s">
        <v>1164</v>
      </c>
    </row>
    <row r="526" spans="3:5" ht="12.75">
      <c r="C526" s="417"/>
      <c r="E526" s="417" t="s">
        <v>1164</v>
      </c>
    </row>
    <row r="527" spans="3:5" ht="12.75">
      <c r="C527" s="417"/>
      <c r="E527" s="417" t="s">
        <v>1164</v>
      </c>
    </row>
    <row r="528" spans="3:5" ht="12.75">
      <c r="C528" s="417"/>
      <c r="E528" s="417" t="s">
        <v>1164</v>
      </c>
    </row>
    <row r="530" spans="1:5" ht="12.75">
      <c r="A530" s="411"/>
      <c r="B530" s="436"/>
      <c r="C530" s="437" t="s">
        <v>215</v>
      </c>
      <c r="D530" s="412" t="s">
        <v>216</v>
      </c>
      <c r="E530" s="412" t="s">
        <v>217</v>
      </c>
    </row>
    <row r="531" spans="1:5" s="438" customFormat="1" ht="93.75" customHeight="1">
      <c r="A531" s="438"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8" t="s">
        <v>2013</v>
      </c>
      <c r="C531" s="439" t="s">
        <v>2081</v>
      </c>
      <c r="D531" s="439" t="s">
        <v>571</v>
      </c>
      <c r="E531" s="439" t="s">
        <v>1922</v>
      </c>
    </row>
    <row r="532" spans="1:5" s="438" customFormat="1" ht="39" customHeight="1">
      <c r="A532" s="438" t="str">
        <f>IF(Fld_Menu_FR="x",Codes!$D532,IF(Fld_Menu_EN="x",Codes!$C532,IF(Fld_Menu_DE="x",Codes!$E532,"N/A")))</f>
        <v>Personnel permanent employé par votre organisation (nombre) :</v>
      </c>
      <c r="B532" s="438" t="s">
        <v>475</v>
      </c>
      <c r="C532" s="438" t="s">
        <v>462</v>
      </c>
      <c r="D532" s="440" t="s">
        <v>767</v>
      </c>
      <c r="E532" s="440" t="s">
        <v>1923</v>
      </c>
    </row>
    <row r="533" spans="1:5" s="438" customFormat="1" ht="33.75" customHeight="1">
      <c r="A533" s="438" t="str">
        <f>IF(Fld_Menu_FR="x",Codes!$D533,IF(Fld_Menu_EN="x",Codes!$C533,IF(Fld_Menu_DE="x",Codes!$E533,"N/A")))</f>
        <v>Bref résumé des objectifs et des activités habituelles de l'organisation:</v>
      </c>
      <c r="B533" s="438" t="s">
        <v>773</v>
      </c>
      <c r="C533" s="438" t="s">
        <v>464</v>
      </c>
      <c r="D533" s="440" t="s">
        <v>768</v>
      </c>
      <c r="E533" s="440" t="s">
        <v>463</v>
      </c>
    </row>
    <row r="534" spans="1:5" s="438" customFormat="1" ht="33.75" customHeight="1">
      <c r="A534" s="438" t="str">
        <f>IF(Fld_Menu_FR="x",Codes!$D534,IF(Fld_Menu_EN="x",Codes!$C534,IF(Fld_Menu_DE="x",Codes!$E534,"N/A")))</f>
        <v>Sources habituelles de financement de l'organisation :</v>
      </c>
      <c r="B534" s="438" t="s">
        <v>774</v>
      </c>
      <c r="C534" s="438" t="s">
        <v>657</v>
      </c>
      <c r="D534" s="440" t="s">
        <v>769</v>
      </c>
      <c r="E534" s="440" t="s">
        <v>465</v>
      </c>
    </row>
    <row r="535" spans="1:5" s="438" customFormat="1" ht="42.75" customHeight="1">
      <c r="A535" s="438" t="str">
        <f>IF(Fld_Menu_FR="x",Codes!$D535,IF(Fld_Menu_EN="x",Codes!$C535,IF(Fld_Menu_DE="x",Codes!$E535,"N/A")))</f>
        <v>Autres informations utiles :</v>
      </c>
      <c r="B535" s="438" t="s">
        <v>2014</v>
      </c>
      <c r="C535" s="438" t="s">
        <v>659</v>
      </c>
      <c r="D535" s="440" t="s">
        <v>770</v>
      </c>
      <c r="E535" s="440" t="s">
        <v>658</v>
      </c>
    </row>
    <row r="536" spans="1:5" ht="12.75" customHeight="1">
      <c r="A536" s="413">
        <f>IF(Fld_Menu_FR="x",Codes!$D536,IF(Fld_Menu_EN="x",Codes!$C536,IF(Fld_Menu_DE="x",Codes!$E536,"N/A")))</f>
        <v>0</v>
      </c>
      <c r="C536" s="441"/>
      <c r="D536" s="441"/>
      <c r="E536" s="441"/>
    </row>
    <row r="537" spans="1:5" ht="12.75" customHeight="1">
      <c r="A537" s="413">
        <f>IF(Fld_Menu_FR="x",Codes!$D537,IF(Fld_Menu_EN="x",Codes!$C537,IF(Fld_Menu_DE="x",Codes!$E537,"N/A")))</f>
        <v>0</v>
      </c>
      <c r="D537" s="420"/>
      <c r="E537" s="420"/>
    </row>
    <row r="538" spans="1:5" ht="12.75" customHeight="1">
      <c r="A538" s="413">
        <f>IF(Fld_Menu_FR="x",Codes!$D538,IF(Fld_Menu_EN="x",Codes!$C538,IF(Fld_Menu_DE="x",Codes!$E538,"N/A")))</f>
        <v>0</v>
      </c>
      <c r="D538" s="420"/>
      <c r="E538" s="420"/>
    </row>
    <row r="539" spans="1:5" ht="12.75" customHeight="1">
      <c r="A539" s="413">
        <f>IF(Fld_Menu_FR="x",Codes!$D539,IF(Fld_Menu_EN="x",Codes!$C539,IF(Fld_Menu_DE="x",Codes!$E539,"N/A")))</f>
        <v>0</v>
      </c>
      <c r="D539" s="420"/>
      <c r="E539" s="420"/>
    </row>
    <row r="540" spans="1:5" ht="12.75">
      <c r="A540" s="413" t="str">
        <f>IF(Fld_Menu_FR="x",Codes!$D540,IF(Fld_Menu_EN="x",Codes!$C540,IF(Fld_Menu_DE="x",Codes!$E540,"N/A")))</f>
        <v>A compléter si nécessaire</v>
      </c>
      <c r="C540" s="417" t="s">
        <v>1162</v>
      </c>
      <c r="D540" s="413" t="s">
        <v>1163</v>
      </c>
      <c r="E540" s="417" t="s">
        <v>1164</v>
      </c>
    </row>
    <row r="541" spans="1:5" ht="12.75">
      <c r="A541" s="413" t="str">
        <f>IF(Fld_Menu_FR="x",Codes!$D541,IF(Fld_Menu_EN="x",Codes!$C541,IF(Fld_Menu_DE="x",Codes!$E541,"N/A")))</f>
        <v>A compléter si nécessaire</v>
      </c>
      <c r="C541" s="417" t="s">
        <v>1162</v>
      </c>
      <c r="D541" s="413" t="s">
        <v>1163</v>
      </c>
      <c r="E541" s="417" t="s">
        <v>1164</v>
      </c>
    </row>
    <row r="542" spans="1:5" ht="12.75">
      <c r="A542" s="413" t="str">
        <f>IF(Fld_Menu_FR="x",Codes!$D542,IF(Fld_Menu_EN="x",Codes!$C542,IF(Fld_Menu_DE="x",Codes!$E542,"N/A")))</f>
        <v>A compléter si nécessaire</v>
      </c>
      <c r="C542" s="417" t="s">
        <v>1162</v>
      </c>
      <c r="D542" s="413" t="s">
        <v>1163</v>
      </c>
      <c r="E542" s="417" t="s">
        <v>1164</v>
      </c>
    </row>
    <row r="543" spans="1:5" ht="12.75">
      <c r="A543" s="413" t="str">
        <f>IF(Fld_Menu_FR="x",Codes!$D543,IF(Fld_Menu_EN="x",Codes!$C543,IF(Fld_Menu_DE="x",Codes!$E543,"N/A")))</f>
        <v>A compléter si nécessaire</v>
      </c>
      <c r="C543" s="417" t="s">
        <v>1162</v>
      </c>
      <c r="D543" s="413" t="s">
        <v>1163</v>
      </c>
      <c r="E543" s="417" t="s">
        <v>1164</v>
      </c>
    </row>
    <row r="544" spans="1:5" ht="12.75">
      <c r="A544" s="413" t="str">
        <f>IF(Fld_Menu_FR="x",Codes!$D544,IF(Fld_Menu_EN="x",Codes!$C544,IF(Fld_Menu_DE="x",Codes!$E544,"N/A")))</f>
        <v>A compléter si nécessaire</v>
      </c>
      <c r="C544" s="417" t="s">
        <v>1162</v>
      </c>
      <c r="D544" s="413" t="s">
        <v>1163</v>
      </c>
      <c r="E544" s="417" t="s">
        <v>1164</v>
      </c>
    </row>
    <row r="545" spans="1:5" ht="12.75">
      <c r="A545" s="413" t="str">
        <f>IF(Fld_Menu_FR="x",Codes!$D545,IF(Fld_Menu_EN="x",Codes!$C545,IF(Fld_Menu_DE="x",Codes!$E545,"N/A")))</f>
        <v>A compléter si nécessaire</v>
      </c>
      <c r="C545" s="417" t="s">
        <v>1162</v>
      </c>
      <c r="D545" s="413" t="s">
        <v>1163</v>
      </c>
      <c r="E545" s="417" t="s">
        <v>1164</v>
      </c>
    </row>
    <row r="546" spans="1:5" ht="12.75">
      <c r="A546" s="413" t="str">
        <f>IF(Fld_Menu_FR="x",Codes!$D546,IF(Fld_Menu_EN="x",Codes!$C546,IF(Fld_Menu_DE="x",Codes!$E546,"N/A")))</f>
        <v>A compléter si nécessaire</v>
      </c>
      <c r="C546" s="417" t="s">
        <v>1162</v>
      </c>
      <c r="D546" s="413" t="s">
        <v>1163</v>
      </c>
      <c r="E546" s="417" t="s">
        <v>1164</v>
      </c>
    </row>
    <row r="547" spans="1:5" ht="12.75">
      <c r="A547" s="413" t="str">
        <f>IF(Fld_Menu_FR="x",Codes!$D547,IF(Fld_Menu_EN="x",Codes!$C547,IF(Fld_Menu_DE="x",Codes!$E547,"N/A")))</f>
        <v>A compléter si nécessaire</v>
      </c>
      <c r="C547" s="417" t="s">
        <v>1162</v>
      </c>
      <c r="D547" s="413" t="s">
        <v>1163</v>
      </c>
      <c r="E547" s="417" t="s">
        <v>1164</v>
      </c>
    </row>
    <row r="548" spans="1:5" ht="12.75">
      <c r="A548" s="413" t="str">
        <f>IF(Fld_Menu_FR="x",Codes!$D548,IF(Fld_Menu_EN="x",Codes!$C548,IF(Fld_Menu_DE="x",Codes!$E548,"N/A")))</f>
        <v>A compléter si nécessaire</v>
      </c>
      <c r="C548" s="417" t="s">
        <v>1162</v>
      </c>
      <c r="D548" s="413" t="s">
        <v>1163</v>
      </c>
      <c r="E548" s="417" t="s">
        <v>1164</v>
      </c>
    </row>
    <row r="550" spans="1:5" ht="12.75">
      <c r="A550" s="411"/>
      <c r="B550" s="436"/>
      <c r="C550" s="437" t="s">
        <v>218</v>
      </c>
      <c r="D550" s="412" t="s">
        <v>219</v>
      </c>
      <c r="E550" s="412" t="s">
        <v>220</v>
      </c>
    </row>
    <row r="551" spans="1:5" ht="12.75">
      <c r="A551" s="413" t="str">
        <f>IF(Fld_Menu_FR="x",Codes!$D551,IF(Fld_Menu_EN="x",Codes!$C551,IF(Fld_Menu_DE="x",Codes!$E551,"N/A")))</f>
        <v>Oui</v>
      </c>
      <c r="C551" s="413" t="s">
        <v>1046</v>
      </c>
      <c r="D551" s="413" t="s">
        <v>321</v>
      </c>
      <c r="E551" s="413" t="s">
        <v>1048</v>
      </c>
    </row>
    <row r="552" spans="1:5" ht="12.75">
      <c r="A552" s="413" t="str">
        <f>IF(Fld_Menu_FR="x",Codes!$D552,IF(Fld_Menu_EN="x",Codes!$C552,IF(Fld_Menu_DE="x",Codes!$E552,"N/A")))</f>
        <v>Non</v>
      </c>
      <c r="C552" s="413" t="s">
        <v>1047</v>
      </c>
      <c r="D552" s="413" t="s">
        <v>323</v>
      </c>
      <c r="E552" s="413" t="s">
        <v>1049</v>
      </c>
    </row>
    <row r="553" spans="1:5" ht="12.75">
      <c r="A553" s="413" t="str">
        <f>IF(Fld_Menu_FR="x",Codes!$D553,IF(Fld_Menu_EN="x",Codes!$C553,IF(Fld_Menu_DE="x",Codes!$E553,"N/A")))</f>
        <v>En attente</v>
      </c>
      <c r="C553" s="413" t="s">
        <v>1551</v>
      </c>
      <c r="D553" s="413" t="s">
        <v>1552</v>
      </c>
      <c r="E553" s="413" t="s">
        <v>1553</v>
      </c>
    </row>
    <row r="554" spans="1:5" ht="12.75">
      <c r="A554" s="411"/>
      <c r="B554" s="436"/>
      <c r="C554" s="437" t="s">
        <v>221</v>
      </c>
      <c r="D554" s="412" t="s">
        <v>222</v>
      </c>
      <c r="E554" s="412" t="s">
        <v>223</v>
      </c>
    </row>
    <row r="555" spans="1:5" ht="12.75">
      <c r="A555" s="413" t="str">
        <f>IF(Fld_Menu_FR="x",Codes!$D555,IF(Fld_Menu_EN="x",Codes!$C555,IF(Fld_Menu_DE="x",Codes!$E555,"N/A")))</f>
        <v>Subvention</v>
      </c>
      <c r="C555" s="420" t="s">
        <v>1006</v>
      </c>
      <c r="D555" s="420" t="s">
        <v>785</v>
      </c>
      <c r="E555" s="413" t="s">
        <v>1009</v>
      </c>
    </row>
    <row r="556" spans="1:5" ht="12.75">
      <c r="A556" s="413" t="str">
        <f>IF(Fld_Menu_FR="x",Codes!$D556,IF(Fld_Menu_EN="x",Codes!$C556,IF(Fld_Menu_DE="x",Codes!$E556,"N/A")))</f>
        <v>Aide</v>
      </c>
      <c r="C556" s="420" t="s">
        <v>1007</v>
      </c>
      <c r="D556" s="420" t="s">
        <v>224</v>
      </c>
      <c r="E556" s="413" t="s">
        <v>1010</v>
      </c>
    </row>
    <row r="557" spans="1:5" ht="12.75">
      <c r="A557" s="413" t="str">
        <f>IF(Fld_Menu_FR="x",Codes!$D557,IF(Fld_Menu_EN="x",Codes!$C557,IF(Fld_Menu_DE="x",Codes!$E557,"N/A")))</f>
        <v>Etudes</v>
      </c>
      <c r="C557" s="420" t="s">
        <v>1008</v>
      </c>
      <c r="D557" s="420" t="s">
        <v>225</v>
      </c>
      <c r="E557" s="413" t="s">
        <v>1011</v>
      </c>
    </row>
    <row r="558" spans="1:5" ht="12.75">
      <c r="A558" s="413" t="str">
        <f>IF(Fld_Menu_FR="x",Codes!$D558,IF(Fld_Menu_EN="x",Codes!$C558,IF(Fld_Menu_DE="x",Codes!$E558,"N/A")))</f>
        <v>A compléter si nécessaire</v>
      </c>
      <c r="C558" s="417" t="s">
        <v>1162</v>
      </c>
      <c r="D558" s="413" t="s">
        <v>1163</v>
      </c>
      <c r="E558" s="417" t="s">
        <v>1164</v>
      </c>
    </row>
    <row r="559" spans="1:5" ht="12.75">
      <c r="A559" s="413" t="str">
        <f>IF(Fld_Menu_FR="x",Codes!$D559,IF(Fld_Menu_EN="x",Codes!$C559,IF(Fld_Menu_DE="x",Codes!$E559,"N/A")))</f>
        <v>A compléter si nécessaire</v>
      </c>
      <c r="C559" s="417" t="s">
        <v>1162</v>
      </c>
      <c r="D559" s="413" t="s">
        <v>1163</v>
      </c>
      <c r="E559" s="417" t="s">
        <v>1164</v>
      </c>
    </row>
    <row r="560" spans="1:5" ht="12.75">
      <c r="A560" s="413" t="str">
        <f>IF(Fld_Menu_FR="x",Codes!$D560,IF(Fld_Menu_EN="x",Codes!$C560,IF(Fld_Menu_DE="x",Codes!$E560,"N/A")))</f>
        <v>A compléter si nécessaire</v>
      </c>
      <c r="C560" s="417" t="s">
        <v>1162</v>
      </c>
      <c r="D560" s="413" t="s">
        <v>1163</v>
      </c>
      <c r="E560" s="417" t="s">
        <v>1164</v>
      </c>
    </row>
    <row r="561" spans="1:5" ht="12.75">
      <c r="A561" s="413" t="str">
        <f>IF(Fld_Menu_FR="x",Codes!$D561,IF(Fld_Menu_EN="x",Codes!$C561,IF(Fld_Menu_DE="x",Codes!$E561,"N/A")))</f>
        <v>A compléter si nécessaire</v>
      </c>
      <c r="C561" s="417" t="s">
        <v>1162</v>
      </c>
      <c r="D561" s="413" t="s">
        <v>1163</v>
      </c>
      <c r="E561" s="417" t="s">
        <v>1164</v>
      </c>
    </row>
    <row r="562" spans="1:5" ht="12.75">
      <c r="A562" s="413" t="str">
        <f>IF(Fld_Menu_FR="x",Codes!$D562,IF(Fld_Menu_EN="x",Codes!$C562,IF(Fld_Menu_DE="x",Codes!$E562,"N/A")))</f>
        <v>A compléter si nécessaire</v>
      </c>
      <c r="C562" s="417" t="s">
        <v>1162</v>
      </c>
      <c r="D562" s="413" t="s">
        <v>1163</v>
      </c>
      <c r="E562" s="417" t="s">
        <v>1164</v>
      </c>
    </row>
    <row r="563" spans="1:5" ht="12.75">
      <c r="A563" s="413" t="str">
        <f>IF(Fld_Menu_FR="x",Codes!$D563,IF(Fld_Menu_EN="x",Codes!$C563,IF(Fld_Menu_DE="x",Codes!$E563,"N/A")))</f>
        <v>A compléter si nécessaire</v>
      </c>
      <c r="C563" s="417" t="s">
        <v>1162</v>
      </c>
      <c r="D563" s="413" t="s">
        <v>1163</v>
      </c>
      <c r="E563" s="417" t="s">
        <v>1164</v>
      </c>
    </row>
    <row r="565" spans="1:5" ht="12.75">
      <c r="A565" s="411"/>
      <c r="B565" s="436"/>
      <c r="C565" s="437" t="s">
        <v>226</v>
      </c>
      <c r="D565" s="412" t="s">
        <v>227</v>
      </c>
      <c r="E565" s="412" t="s">
        <v>228</v>
      </c>
    </row>
    <row r="566" spans="1:5" ht="12.75">
      <c r="A566" s="413" t="str">
        <f>IF(Fld_Menu_FR="x",Codes!$D566,IF(Fld_Menu_EN="x",Codes!$C566,IF(Fld_Menu_DE="x",Codes!$E566,"N/A")))</f>
        <v>Anglais</v>
      </c>
      <c r="C566" s="420" t="s">
        <v>1469</v>
      </c>
      <c r="D566" s="420" t="s">
        <v>825</v>
      </c>
      <c r="E566" s="420" t="s">
        <v>1045</v>
      </c>
    </row>
    <row r="567" spans="1:5" ht="12.75">
      <c r="A567" s="413" t="str">
        <f>IF(Fld_Menu_FR="x",Codes!$D567,IF(Fld_Menu_EN="x",Codes!$C567,IF(Fld_Menu_DE="x",Codes!$E567,"N/A")))</f>
        <v>Français</v>
      </c>
      <c r="C567" s="420" t="s">
        <v>565</v>
      </c>
      <c r="D567" s="420" t="s">
        <v>1470</v>
      </c>
      <c r="E567" s="420" t="s">
        <v>1525</v>
      </c>
    </row>
    <row r="568" spans="1:5" ht="12.75">
      <c r="A568" s="413" t="str">
        <f>IF(Fld_Menu_FR="x",Codes!$D568,IF(Fld_Menu_EN="x",Codes!$C568,IF(Fld_Menu_DE="x",Codes!$E568,"N/A")))</f>
        <v>Allemand</v>
      </c>
      <c r="C568" s="420" t="s">
        <v>564</v>
      </c>
      <c r="D568" s="420" t="s">
        <v>824</v>
      </c>
      <c r="E568" s="420" t="s">
        <v>1468</v>
      </c>
    </row>
    <row r="578" spans="1:5" ht="12.75">
      <c r="A578" s="411"/>
      <c r="B578" s="436"/>
      <c r="C578" s="437" t="s">
        <v>1547</v>
      </c>
      <c r="D578" s="412" t="s">
        <v>1548</v>
      </c>
      <c r="E578" s="412" t="s">
        <v>1549</v>
      </c>
    </row>
    <row r="579" spans="1:5" ht="12.75">
      <c r="A579" s="413">
        <f>IF(Fld_Menu_FR="x",Codes!$D579,IF(Fld_Menu_EN="x",Codes!$C579,IF(Fld_Menu_DE="x",Codes!$E579,"N/A")))</f>
        <v>2002</v>
      </c>
      <c r="C579" s="420">
        <v>2002</v>
      </c>
      <c r="D579" s="420">
        <v>2002</v>
      </c>
      <c r="E579" s="420">
        <v>2002</v>
      </c>
    </row>
    <row r="580" spans="1:5" ht="12.75">
      <c r="A580" s="413">
        <f>IF(Fld_Menu_FR="x",Codes!$D580,IF(Fld_Menu_EN="x",Codes!$C580,IF(Fld_Menu_DE="x",Codes!$E580,"N/A")))</f>
        <v>2003</v>
      </c>
      <c r="C580" s="420">
        <v>2003</v>
      </c>
      <c r="D580" s="420">
        <v>2003</v>
      </c>
      <c r="E580" s="420">
        <v>2003</v>
      </c>
    </row>
    <row r="581" spans="1:5" ht="12.75">
      <c r="A581" s="413">
        <f>IF(Fld_Menu_FR="x",Codes!$D581,IF(Fld_Menu_EN="x",Codes!$C581,IF(Fld_Menu_DE="x",Codes!$E581,"N/A")))</f>
        <v>2004</v>
      </c>
      <c r="C581" s="420">
        <v>2004</v>
      </c>
      <c r="D581" s="420">
        <v>2004</v>
      </c>
      <c r="E581" s="420">
        <v>2004</v>
      </c>
    </row>
    <row r="582" spans="1:5" ht="12.75">
      <c r="A582" s="413">
        <f>IF(Fld_Menu_FR="x",Codes!$D582,IF(Fld_Menu_EN="x",Codes!$C582,IF(Fld_Menu_DE="x",Codes!$E582,"N/A")))</f>
        <v>2005</v>
      </c>
      <c r="C582" s="420">
        <v>2005</v>
      </c>
      <c r="D582" s="420">
        <v>2005</v>
      </c>
      <c r="E582" s="420">
        <v>2005</v>
      </c>
    </row>
    <row r="583" spans="1:5" ht="12.75">
      <c r="A583" s="413">
        <f>IF(Fld_Menu_FR="x",Codes!$D583,IF(Fld_Menu_EN="x",Codes!$C583,IF(Fld_Menu_DE="x",Codes!$E583,"N/A")))</f>
        <v>2006</v>
      </c>
      <c r="C583" s="420">
        <v>2006</v>
      </c>
      <c r="D583" s="420">
        <v>2006</v>
      </c>
      <c r="E583" s="420">
        <v>2006</v>
      </c>
    </row>
    <row r="584" spans="3:5" ht="12.75">
      <c r="C584" s="420"/>
      <c r="D584" s="420"/>
      <c r="E584" s="420"/>
    </row>
    <row r="587" spans="1:5" ht="12.75">
      <c r="A587" s="411"/>
      <c r="B587" s="442" t="s">
        <v>168</v>
      </c>
      <c r="C587" s="442" t="s">
        <v>169</v>
      </c>
      <c r="D587" s="442" t="s">
        <v>170</v>
      </c>
      <c r="E587" s="442" t="s">
        <v>171</v>
      </c>
    </row>
    <row r="588" spans="1:5" ht="12.75">
      <c r="A588" s="413" t="str">
        <f>IF(Fld_Menu_FR="x",Codes!$D588,IF(Fld_Menu_EN="x",Codes!$C588,IF(Fld_Menu_DE="x",Codes!$E588,"N/A")))</f>
        <v>Nouveau projet</v>
      </c>
      <c r="B588" s="443" t="s">
        <v>1369</v>
      </c>
      <c r="C588" s="428" t="s">
        <v>1316</v>
      </c>
      <c r="D588" s="428" t="s">
        <v>1785</v>
      </c>
      <c r="E588" s="426" t="s">
        <v>1786</v>
      </c>
    </row>
    <row r="589" spans="1:5" ht="12.75">
      <c r="A589" s="413">
        <f>IF(Fld_Menu_FR="x",Codes!$D589,IF(Fld_Menu_EN="x",Codes!$C589,IF(Fld_Menu_DE="x",Codes!$E589,"N/A")))</f>
        <v>0</v>
      </c>
      <c r="B589" s="443"/>
      <c r="C589" s="426"/>
      <c r="D589" s="428"/>
      <c r="E589" s="426"/>
    </row>
    <row r="590" spans="1:5" ht="12.75">
      <c r="A590" s="413">
        <f>IF(Fld_Menu_FR="x",Codes!$D590,IF(Fld_Menu_EN="x",Codes!$C590,IF(Fld_Menu_DE="x",Codes!$E590,"N/A")))</f>
        <v>0</v>
      </c>
      <c r="B590" s="443"/>
      <c r="C590" s="426"/>
      <c r="D590" s="428"/>
      <c r="E590" s="426"/>
    </row>
    <row r="591" spans="1:5" ht="12.75">
      <c r="A591" s="413">
        <f>IF(Fld_Menu_FR="x",Codes!$D591,IF(Fld_Menu_EN="x",Codes!$C591,IF(Fld_Menu_DE="x",Codes!$E591,"N/A")))</f>
        <v>0</v>
      </c>
      <c r="B591" s="443"/>
      <c r="C591" s="426"/>
      <c r="D591" s="428"/>
      <c r="E591" s="426"/>
    </row>
    <row r="592" ht="12.75">
      <c r="D592" s="444"/>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IV289"/>
  <sheetViews>
    <sheetView zoomScaleSheetLayoutView="100"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6" hidden="1" customWidth="1"/>
    <col min="56" max="118" width="3.7109375" style="6" hidden="1" customWidth="1"/>
    <col min="119" max="16384" width="8.8515625" style="6" hidden="1" customWidth="1"/>
  </cols>
  <sheetData>
    <row r="1" spans="1:45" ht="15" customHeight="1">
      <c r="A1" s="877" t="s">
        <v>1892</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45"/>
    </row>
    <row r="2" spans="1:45" ht="15" customHeight="1">
      <c r="A2" s="884" t="s">
        <v>623</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45"/>
    </row>
    <row r="3" spans="1:58" ht="40.5" customHeight="1" thickBot="1">
      <c r="A3" s="879"/>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79"/>
      <c r="AO3" s="879"/>
      <c r="AP3" s="879"/>
      <c r="AQ3" s="879"/>
      <c r="AR3" s="879"/>
      <c r="AS3" s="845"/>
      <c r="AU3" s="845">
        <f>IF(Fld_BNK_BE="x",IF(ISBLANK(Fld_Cpt_ContactPhone),"",Fld_Cpt_ContactPhone),"")</f>
      </c>
      <c r="AV3" s="845"/>
      <c r="AW3" s="845"/>
      <c r="AX3" s="845"/>
      <c r="AY3" s="845"/>
      <c r="AZ3" s="845"/>
      <c r="BA3" s="845">
        <f>IF(Fld_BNK_BE="x",IF(ISBLANK(Fld_Cpt_ContactFax),"",Fld_Cpt_ContactFax),"")</f>
      </c>
      <c r="BB3" s="845"/>
      <c r="BC3" s="845"/>
      <c r="BD3" s="845"/>
      <c r="BE3" s="845"/>
      <c r="BF3" s="845"/>
    </row>
    <row r="4" spans="1:45" ht="6.75" customHeight="1" thickTop="1">
      <c r="A4" s="875"/>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76"/>
      <c r="AS4" s="845"/>
    </row>
    <row r="5" spans="1:45" ht="15" customHeight="1">
      <c r="A5" s="863" t="s">
        <v>1893</v>
      </c>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5"/>
      <c r="AS5" s="845"/>
    </row>
    <row r="6" spans="1:45" ht="6.75" customHeight="1">
      <c r="A6" s="858"/>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59"/>
      <c r="AS6" s="845"/>
    </row>
    <row r="7" spans="1:118" ht="15" customHeight="1">
      <c r="A7" s="830" t="s">
        <v>1894</v>
      </c>
      <c r="B7" s="831"/>
      <c r="C7" s="831"/>
      <c r="D7" s="831"/>
      <c r="E7" s="831"/>
      <c r="F7" s="831"/>
      <c r="G7" s="831"/>
      <c r="H7" s="320"/>
      <c r="I7" s="331">
        <f aca="true" t="shared" si="0" ref="I7:AQ7">IF(ISERR(AW$7),"",AW$7)</f>
      </c>
      <c r="J7" s="331">
        <f t="shared" si="0"/>
      </c>
      <c r="K7" s="331">
        <f t="shared" si="0"/>
      </c>
      <c r="L7" s="331">
        <f t="shared" si="0"/>
      </c>
      <c r="M7" s="331">
        <f t="shared" si="0"/>
      </c>
      <c r="N7" s="331">
        <f t="shared" si="0"/>
      </c>
      <c r="O7" s="331">
        <f t="shared" si="0"/>
      </c>
      <c r="P7" s="331">
        <f t="shared" si="0"/>
      </c>
      <c r="Q7" s="331">
        <f t="shared" si="0"/>
      </c>
      <c r="R7" s="331">
        <f t="shared" si="0"/>
      </c>
      <c r="S7" s="331">
        <f t="shared" si="0"/>
      </c>
      <c r="T7" s="331">
        <f t="shared" si="0"/>
      </c>
      <c r="U7" s="331">
        <f t="shared" si="0"/>
      </c>
      <c r="V7" s="331">
        <f t="shared" si="0"/>
      </c>
      <c r="W7" s="331">
        <f t="shared" si="0"/>
      </c>
      <c r="X7" s="331">
        <f t="shared" si="0"/>
      </c>
      <c r="Y7" s="331">
        <f t="shared" si="0"/>
      </c>
      <c r="Z7" s="331">
        <f t="shared" si="0"/>
      </c>
      <c r="AA7" s="331">
        <f t="shared" si="0"/>
      </c>
      <c r="AB7" s="331">
        <f t="shared" si="0"/>
      </c>
      <c r="AC7" s="331">
        <f t="shared" si="0"/>
      </c>
      <c r="AD7" s="331">
        <f t="shared" si="0"/>
      </c>
      <c r="AE7" s="331">
        <f t="shared" si="0"/>
      </c>
      <c r="AF7" s="331">
        <f t="shared" si="0"/>
      </c>
      <c r="AG7" s="331">
        <f t="shared" si="0"/>
      </c>
      <c r="AH7" s="331">
        <f t="shared" si="0"/>
      </c>
      <c r="AI7" s="331">
        <f t="shared" si="0"/>
      </c>
      <c r="AJ7" s="331">
        <f t="shared" si="0"/>
      </c>
      <c r="AK7" s="331">
        <f t="shared" si="0"/>
      </c>
      <c r="AL7" s="331">
        <f t="shared" si="0"/>
      </c>
      <c r="AM7" s="331">
        <f t="shared" si="0"/>
      </c>
      <c r="AN7" s="331">
        <f t="shared" si="0"/>
      </c>
      <c r="AO7" s="331">
        <f t="shared" si="0"/>
      </c>
      <c r="AP7" s="331">
        <f t="shared" si="0"/>
      </c>
      <c r="AQ7" s="332">
        <f t="shared" si="0"/>
      </c>
      <c r="AR7" s="322"/>
      <c r="AS7" s="845"/>
      <c r="AU7" s="6">
        <f>IF(Fld_BNK_BE="x",IF(ISBLANK(Fld_Compte_nom),"",Fld_Compte_nom),"")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7.5" customHeight="1">
      <c r="A8" s="856"/>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322"/>
      <c r="AS8" s="845"/>
      <c r="BC8" s="325"/>
    </row>
    <row r="9" spans="1:45" ht="15" customHeight="1">
      <c r="A9" s="858"/>
      <c r="B9" s="849"/>
      <c r="C9" s="849"/>
      <c r="D9" s="849"/>
      <c r="E9" s="849"/>
      <c r="F9" s="849"/>
      <c r="G9" s="849"/>
      <c r="H9" s="869"/>
      <c r="I9" s="331">
        <f aca="true" t="shared" si="4" ref="I9:AQ9">IF(ISERR(CF$7),"",CF$7)</f>
      </c>
      <c r="J9" s="331">
        <f t="shared" si="4"/>
      </c>
      <c r="K9" s="331">
        <f t="shared" si="4"/>
      </c>
      <c r="L9" s="331">
        <f t="shared" si="4"/>
      </c>
      <c r="M9" s="331">
        <f t="shared" si="4"/>
      </c>
      <c r="N9" s="331">
        <f t="shared" si="4"/>
      </c>
      <c r="O9" s="331">
        <f t="shared" si="4"/>
      </c>
      <c r="P9" s="331">
        <f t="shared" si="4"/>
      </c>
      <c r="Q9" s="331">
        <f t="shared" si="4"/>
      </c>
      <c r="R9" s="331">
        <f t="shared" si="4"/>
      </c>
      <c r="S9" s="331">
        <f t="shared" si="4"/>
      </c>
      <c r="T9" s="331">
        <f t="shared" si="4"/>
      </c>
      <c r="U9" s="331">
        <f t="shared" si="4"/>
      </c>
      <c r="V9" s="331">
        <f t="shared" si="4"/>
      </c>
      <c r="W9" s="331">
        <f t="shared" si="4"/>
      </c>
      <c r="X9" s="331">
        <f t="shared" si="4"/>
      </c>
      <c r="Y9" s="331">
        <f t="shared" si="4"/>
      </c>
      <c r="Z9" s="331">
        <f t="shared" si="4"/>
      </c>
      <c r="AA9" s="331">
        <f t="shared" si="4"/>
      </c>
      <c r="AB9" s="331">
        <f t="shared" si="4"/>
      </c>
      <c r="AC9" s="331">
        <f t="shared" si="4"/>
      </c>
      <c r="AD9" s="331">
        <f t="shared" si="4"/>
      </c>
      <c r="AE9" s="331">
        <f t="shared" si="4"/>
      </c>
      <c r="AF9" s="331">
        <f t="shared" si="4"/>
      </c>
      <c r="AG9" s="331">
        <f t="shared" si="4"/>
      </c>
      <c r="AH9" s="331">
        <f t="shared" si="4"/>
      </c>
      <c r="AI9" s="331">
        <f t="shared" si="4"/>
      </c>
      <c r="AJ9" s="331">
        <f t="shared" si="4"/>
      </c>
      <c r="AK9" s="331">
        <f t="shared" si="4"/>
      </c>
      <c r="AL9" s="331">
        <f t="shared" si="4"/>
      </c>
      <c r="AM9" s="331">
        <f t="shared" si="4"/>
      </c>
      <c r="AN9" s="331">
        <f t="shared" si="4"/>
      </c>
      <c r="AO9" s="331">
        <f t="shared" si="4"/>
      </c>
      <c r="AP9" s="331">
        <f t="shared" si="4"/>
      </c>
      <c r="AQ9" s="332">
        <f t="shared" si="4"/>
      </c>
      <c r="AR9" s="322"/>
      <c r="AS9" s="845"/>
    </row>
    <row r="10" spans="1:45" ht="9" customHeight="1">
      <c r="A10" s="858"/>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59"/>
      <c r="AS10" s="845"/>
    </row>
    <row r="11" spans="1:118" ht="15" customHeight="1">
      <c r="A11" s="867" t="s">
        <v>1895</v>
      </c>
      <c r="B11" s="868"/>
      <c r="C11" s="868"/>
      <c r="D11" s="868"/>
      <c r="E11" s="868"/>
      <c r="F11" s="868"/>
      <c r="G11" s="868"/>
      <c r="H11" s="320"/>
      <c r="I11" s="331">
        <f aca="true" t="shared" si="5" ref="I11:AQ11">IF(ISERR(AW$11),"",AW$11)</f>
      </c>
      <c r="J11" s="331">
        <f t="shared" si="5"/>
      </c>
      <c r="K11" s="331">
        <f t="shared" si="5"/>
      </c>
      <c r="L11" s="331">
        <f t="shared" si="5"/>
      </c>
      <c r="M11" s="331">
        <f t="shared" si="5"/>
      </c>
      <c r="N11" s="331">
        <f t="shared" si="5"/>
      </c>
      <c r="O11" s="331">
        <f t="shared" si="5"/>
      </c>
      <c r="P11" s="331">
        <f t="shared" si="5"/>
      </c>
      <c r="Q11" s="331">
        <f t="shared" si="5"/>
      </c>
      <c r="R11" s="331">
        <f t="shared" si="5"/>
      </c>
      <c r="S11" s="331">
        <f t="shared" si="5"/>
      </c>
      <c r="T11" s="331">
        <f t="shared" si="5"/>
      </c>
      <c r="U11" s="331">
        <f t="shared" si="5"/>
      </c>
      <c r="V11" s="331">
        <f t="shared" si="5"/>
      </c>
      <c r="W11" s="331">
        <f t="shared" si="5"/>
      </c>
      <c r="X11" s="331">
        <f t="shared" si="5"/>
      </c>
      <c r="Y11" s="331">
        <f t="shared" si="5"/>
      </c>
      <c r="Z11" s="331">
        <f t="shared" si="5"/>
      </c>
      <c r="AA11" s="331">
        <f t="shared" si="5"/>
      </c>
      <c r="AB11" s="331">
        <f t="shared" si="5"/>
      </c>
      <c r="AC11" s="331">
        <f t="shared" si="5"/>
      </c>
      <c r="AD11" s="331">
        <f t="shared" si="5"/>
      </c>
      <c r="AE11" s="331">
        <f t="shared" si="5"/>
      </c>
      <c r="AF11" s="331">
        <f t="shared" si="5"/>
      </c>
      <c r="AG11" s="331">
        <f t="shared" si="5"/>
      </c>
      <c r="AH11" s="331">
        <f t="shared" si="5"/>
      </c>
      <c r="AI11" s="331">
        <f t="shared" si="5"/>
      </c>
      <c r="AJ11" s="331">
        <f t="shared" si="5"/>
      </c>
      <c r="AK11" s="331">
        <f t="shared" si="5"/>
      </c>
      <c r="AL11" s="331">
        <f t="shared" si="5"/>
      </c>
      <c r="AM11" s="331">
        <f t="shared" si="5"/>
      </c>
      <c r="AN11" s="331">
        <f t="shared" si="5"/>
      </c>
      <c r="AO11" s="331">
        <f t="shared" si="5"/>
      </c>
      <c r="AP11" s="331">
        <f t="shared" si="5"/>
      </c>
      <c r="AQ11" s="332">
        <f t="shared" si="5"/>
      </c>
      <c r="AR11" s="322"/>
      <c r="AS11" s="845"/>
      <c r="AU11" s="6">
        <f>IF(Fld_BNK_BE="x",IF(ISBLANK(Fld_Cpt_Address1),"",Fld_Cpt_Address1),"")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7.5" customHeight="1">
      <c r="A12" s="858"/>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849"/>
      <c r="AO12" s="849"/>
      <c r="AP12" s="849"/>
      <c r="AQ12" s="849"/>
      <c r="AR12" s="322"/>
      <c r="AS12" s="845"/>
    </row>
    <row r="13" spans="1:118" ht="15" customHeight="1">
      <c r="A13" s="858"/>
      <c r="B13" s="849"/>
      <c r="C13" s="849"/>
      <c r="D13" s="849"/>
      <c r="E13" s="849"/>
      <c r="F13" s="849"/>
      <c r="G13" s="849"/>
      <c r="H13" s="869"/>
      <c r="I13" s="331">
        <f aca="true" t="shared" si="9" ref="I13:AQ13">IF(ISERR(AW$13),"",AW$13)</f>
      </c>
      <c r="J13" s="331">
        <f t="shared" si="9"/>
      </c>
      <c r="K13" s="331">
        <f t="shared" si="9"/>
      </c>
      <c r="L13" s="331">
        <f t="shared" si="9"/>
      </c>
      <c r="M13" s="331">
        <f t="shared" si="9"/>
      </c>
      <c r="N13" s="331">
        <f t="shared" si="9"/>
      </c>
      <c r="O13" s="331">
        <f t="shared" si="9"/>
      </c>
      <c r="P13" s="331">
        <f t="shared" si="9"/>
      </c>
      <c r="Q13" s="331">
        <f t="shared" si="9"/>
      </c>
      <c r="R13" s="331">
        <f t="shared" si="9"/>
      </c>
      <c r="S13" s="331">
        <f t="shared" si="9"/>
      </c>
      <c r="T13" s="331">
        <f t="shared" si="9"/>
      </c>
      <c r="U13" s="331">
        <f t="shared" si="9"/>
      </c>
      <c r="V13" s="331">
        <f t="shared" si="9"/>
      </c>
      <c r="W13" s="331">
        <f t="shared" si="9"/>
      </c>
      <c r="X13" s="331">
        <f t="shared" si="9"/>
      </c>
      <c r="Y13" s="331">
        <f t="shared" si="9"/>
      </c>
      <c r="Z13" s="331">
        <f t="shared" si="9"/>
      </c>
      <c r="AA13" s="331">
        <f t="shared" si="9"/>
      </c>
      <c r="AB13" s="331">
        <f t="shared" si="9"/>
      </c>
      <c r="AC13" s="331">
        <f t="shared" si="9"/>
      </c>
      <c r="AD13" s="331">
        <f t="shared" si="9"/>
      </c>
      <c r="AE13" s="331">
        <f t="shared" si="9"/>
      </c>
      <c r="AF13" s="331">
        <f t="shared" si="9"/>
      </c>
      <c r="AG13" s="331">
        <f t="shared" si="9"/>
      </c>
      <c r="AH13" s="331">
        <f t="shared" si="9"/>
      </c>
      <c r="AI13" s="331">
        <f t="shared" si="9"/>
      </c>
      <c r="AJ13" s="331">
        <f t="shared" si="9"/>
      </c>
      <c r="AK13" s="331">
        <f t="shared" si="9"/>
      </c>
      <c r="AL13" s="331">
        <f t="shared" si="9"/>
      </c>
      <c r="AM13" s="331">
        <f t="shared" si="9"/>
      </c>
      <c r="AN13" s="331">
        <f t="shared" si="9"/>
      </c>
      <c r="AO13" s="331">
        <f t="shared" si="9"/>
      </c>
      <c r="AP13" s="331">
        <f t="shared" si="9"/>
      </c>
      <c r="AQ13" s="332">
        <f t="shared" si="9"/>
      </c>
      <c r="AR13" s="322"/>
      <c r="AS13" s="845"/>
      <c r="AU13" s="6">
        <f>IF(Fld_BNK_BE="x",IF(ISBLANK(Fld_Cpt_Address2),"",Fld_Cpt_Address2),"")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9" customHeight="1">
      <c r="A14" s="858"/>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59"/>
      <c r="AS14" s="845"/>
    </row>
    <row r="15" spans="1:118" ht="15" customHeight="1">
      <c r="A15" s="830" t="s">
        <v>1896</v>
      </c>
      <c r="B15" s="831"/>
      <c r="C15" s="831"/>
      <c r="D15" s="831"/>
      <c r="E15" s="831"/>
      <c r="F15" s="831"/>
      <c r="G15" s="831"/>
      <c r="H15" s="320"/>
      <c r="I15" s="331">
        <f aca="true" t="shared" si="13" ref="I15:AQ15">IF(ISERR(AW$15),"",AW$15)</f>
      </c>
      <c r="J15" s="331">
        <f t="shared" si="13"/>
      </c>
      <c r="K15" s="331">
        <f t="shared" si="13"/>
      </c>
      <c r="L15" s="331">
        <f t="shared" si="13"/>
      </c>
      <c r="M15" s="331">
        <f t="shared" si="13"/>
      </c>
      <c r="N15" s="331">
        <f t="shared" si="13"/>
      </c>
      <c r="O15" s="331">
        <f t="shared" si="13"/>
      </c>
      <c r="P15" s="331">
        <f t="shared" si="13"/>
      </c>
      <c r="Q15" s="331">
        <f t="shared" si="13"/>
      </c>
      <c r="R15" s="331">
        <f t="shared" si="13"/>
      </c>
      <c r="S15" s="331">
        <f t="shared" si="13"/>
      </c>
      <c r="T15" s="331">
        <f t="shared" si="13"/>
      </c>
      <c r="U15" s="331">
        <f t="shared" si="13"/>
      </c>
      <c r="V15" s="331">
        <f t="shared" si="13"/>
      </c>
      <c r="W15" s="331">
        <f t="shared" si="13"/>
      </c>
      <c r="X15" s="331">
        <f t="shared" si="13"/>
      </c>
      <c r="Y15" s="331">
        <f t="shared" si="13"/>
      </c>
      <c r="Z15" s="331">
        <f t="shared" si="13"/>
      </c>
      <c r="AA15" s="331">
        <f t="shared" si="13"/>
      </c>
      <c r="AB15" s="331">
        <f t="shared" si="13"/>
      </c>
      <c r="AC15" s="331">
        <f t="shared" si="13"/>
      </c>
      <c r="AD15" s="331">
        <f t="shared" si="13"/>
      </c>
      <c r="AE15" s="331">
        <f t="shared" si="13"/>
      </c>
      <c r="AF15" s="331">
        <f t="shared" si="13"/>
      </c>
      <c r="AG15" s="331">
        <f t="shared" si="13"/>
      </c>
      <c r="AH15" s="331">
        <f t="shared" si="13"/>
      </c>
      <c r="AI15" s="331">
        <f t="shared" si="13"/>
      </c>
      <c r="AJ15" s="331">
        <f t="shared" si="13"/>
      </c>
      <c r="AK15" s="331">
        <f t="shared" si="13"/>
      </c>
      <c r="AL15" s="331">
        <f t="shared" si="13"/>
      </c>
      <c r="AM15" s="331">
        <f t="shared" si="13"/>
      </c>
      <c r="AN15" s="331">
        <f t="shared" si="13"/>
      </c>
      <c r="AO15" s="331">
        <f t="shared" si="13"/>
      </c>
      <c r="AP15" s="331">
        <f t="shared" si="13"/>
      </c>
      <c r="AQ15" s="332">
        <f t="shared" si="13"/>
      </c>
      <c r="AR15" s="322"/>
      <c r="AS15" s="845"/>
      <c r="AU15" s="6">
        <f>IF(Fld_BNK_BE="x",IF(ISBLANK(Fld_Cpt_Ville),"",Fld_Cpt_Ville),"")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7.5" customHeight="1">
      <c r="A16" s="858"/>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59"/>
      <c r="AS16" s="845"/>
    </row>
    <row r="17" spans="1:118" ht="15" customHeight="1">
      <c r="A17" s="830" t="s">
        <v>1897</v>
      </c>
      <c r="B17" s="831"/>
      <c r="C17" s="831"/>
      <c r="D17" s="831"/>
      <c r="E17" s="831"/>
      <c r="F17" s="831"/>
      <c r="G17" s="831"/>
      <c r="H17" s="320"/>
      <c r="I17" s="331">
        <f>IF(ISERR(AW$17),"",AW$17)</f>
      </c>
      <c r="J17" s="331">
        <f>IF(ISERR(AX$17),"",AX$17)</f>
      </c>
      <c r="K17" s="331">
        <f>IF(ISERR(AY$17),"",AY$17)</f>
      </c>
      <c r="L17" s="331">
        <f>IF(ISERR(AZ$17),"",AZ$17)</f>
      </c>
      <c r="M17" s="832"/>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833"/>
      <c r="AS17" s="845"/>
      <c r="AU17" s="6">
        <f>IF(Fld_BNK_BE="x",IF(ISBLANK(Fld_Cpt_CodePostal),"",Fld_Cpt_CodePostal),"")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7.5" customHeight="1">
      <c r="A18" s="827"/>
      <c r="B18" s="828"/>
      <c r="C18" s="828"/>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9"/>
      <c r="AS18" s="845"/>
    </row>
    <row r="19" spans="1:118" ht="15" customHeight="1">
      <c r="A19" s="830" t="s">
        <v>1898</v>
      </c>
      <c r="B19" s="831"/>
      <c r="C19" s="831"/>
      <c r="D19" s="831"/>
      <c r="E19" s="831"/>
      <c r="F19" s="831"/>
      <c r="G19" s="831"/>
      <c r="H19" s="320"/>
      <c r="I19" s="331">
        <f aca="true" t="shared" si="20" ref="I19:AQ19">IF(ISERR(AW$19),"",AW$19)</f>
      </c>
      <c r="J19" s="331">
        <f t="shared" si="20"/>
      </c>
      <c r="K19" s="331">
        <f t="shared" si="20"/>
      </c>
      <c r="L19" s="331">
        <f t="shared" si="20"/>
      </c>
      <c r="M19" s="331">
        <f t="shared" si="20"/>
      </c>
      <c r="N19" s="331">
        <f t="shared" si="20"/>
      </c>
      <c r="O19" s="331">
        <f t="shared" si="20"/>
      </c>
      <c r="P19" s="331">
        <f t="shared" si="20"/>
      </c>
      <c r="Q19" s="331">
        <f t="shared" si="20"/>
      </c>
      <c r="R19" s="331">
        <f t="shared" si="20"/>
      </c>
      <c r="S19" s="331">
        <f t="shared" si="20"/>
      </c>
      <c r="T19" s="331">
        <f t="shared" si="20"/>
      </c>
      <c r="U19" s="331">
        <f t="shared" si="20"/>
      </c>
      <c r="V19" s="331">
        <f t="shared" si="20"/>
      </c>
      <c r="W19" s="331">
        <f t="shared" si="20"/>
      </c>
      <c r="X19" s="331">
        <f t="shared" si="20"/>
      </c>
      <c r="Y19" s="331">
        <f t="shared" si="20"/>
      </c>
      <c r="Z19" s="331">
        <f t="shared" si="20"/>
      </c>
      <c r="AA19" s="331">
        <f t="shared" si="20"/>
      </c>
      <c r="AB19" s="331">
        <f t="shared" si="20"/>
      </c>
      <c r="AC19" s="331">
        <f t="shared" si="20"/>
      </c>
      <c r="AD19" s="331">
        <f t="shared" si="20"/>
      </c>
      <c r="AE19" s="331">
        <f t="shared" si="20"/>
      </c>
      <c r="AF19" s="331">
        <f t="shared" si="20"/>
      </c>
      <c r="AG19" s="331">
        <f t="shared" si="20"/>
      </c>
      <c r="AH19" s="331">
        <f t="shared" si="20"/>
      </c>
      <c r="AI19" s="331">
        <f t="shared" si="20"/>
      </c>
      <c r="AJ19" s="331">
        <f t="shared" si="20"/>
      </c>
      <c r="AK19" s="331">
        <f t="shared" si="20"/>
      </c>
      <c r="AL19" s="331">
        <f t="shared" si="20"/>
      </c>
      <c r="AM19" s="331">
        <f t="shared" si="20"/>
      </c>
      <c r="AN19" s="331">
        <f t="shared" si="20"/>
      </c>
      <c r="AO19" s="331">
        <f t="shared" si="20"/>
      </c>
      <c r="AP19" s="331">
        <f t="shared" si="20"/>
      </c>
      <c r="AQ19" s="332">
        <f t="shared" si="20"/>
      </c>
      <c r="AR19" s="322"/>
      <c r="AS19" s="845"/>
      <c r="AU19" s="6">
        <f>IF(Fld_BNK_BE="x",IF(ISBLANK(Fld_Cpt_ContactNom),"",Fld_Cpt_ContactNom&amp;"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7.5" customHeight="1">
      <c r="A20" s="827"/>
      <c r="B20" s="828"/>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9"/>
      <c r="AS20" s="845"/>
    </row>
    <row r="21" spans="1:118" ht="15" customHeight="1">
      <c r="A21" s="830" t="s">
        <v>1899</v>
      </c>
      <c r="B21" s="831"/>
      <c r="C21" s="831"/>
      <c r="D21" s="831"/>
      <c r="E21" s="831"/>
      <c r="F21" s="831"/>
      <c r="G21" s="831"/>
      <c r="H21" s="320"/>
      <c r="I21" s="331">
        <f aca="true" t="shared" si="24" ref="I21:AL21">IF(ISERR(AW$21),"",AW$21)</f>
      </c>
      <c r="J21" s="331">
        <f t="shared" si="24"/>
      </c>
      <c r="K21" s="331">
        <f t="shared" si="24"/>
      </c>
      <c r="L21" s="331">
        <f t="shared" si="24"/>
      </c>
      <c r="M21" s="331">
        <f t="shared" si="24"/>
      </c>
      <c r="N21" s="331">
        <f t="shared" si="24"/>
      </c>
      <c r="O21" s="331">
        <f t="shared" si="24"/>
      </c>
      <c r="P21" s="331">
        <f t="shared" si="24"/>
      </c>
      <c r="Q21" s="331">
        <f t="shared" si="24"/>
      </c>
      <c r="R21" s="331">
        <f t="shared" si="24"/>
      </c>
      <c r="S21" s="331">
        <f t="shared" si="24"/>
      </c>
      <c r="T21" s="331">
        <f t="shared" si="24"/>
      </c>
      <c r="U21" s="331">
        <f t="shared" si="24"/>
      </c>
      <c r="V21" s="331">
        <f t="shared" si="24"/>
      </c>
      <c r="W21" s="331">
        <f t="shared" si="24"/>
      </c>
      <c r="X21" s="331">
        <f t="shared" si="24"/>
      </c>
      <c r="Y21" s="331">
        <f t="shared" si="24"/>
      </c>
      <c r="Z21" s="331">
        <f t="shared" si="24"/>
      </c>
      <c r="AA21" s="331">
        <f t="shared" si="24"/>
      </c>
      <c r="AB21" s="331">
        <f t="shared" si="24"/>
      </c>
      <c r="AC21" s="331">
        <f t="shared" si="24"/>
      </c>
      <c r="AD21" s="331">
        <f t="shared" si="24"/>
      </c>
      <c r="AE21" s="331">
        <f t="shared" si="24"/>
      </c>
      <c r="AF21" s="331">
        <f t="shared" si="24"/>
      </c>
      <c r="AG21" s="331">
        <f t="shared" si="24"/>
      </c>
      <c r="AH21" s="331">
        <f t="shared" si="24"/>
      </c>
      <c r="AI21" s="331">
        <f t="shared" si="24"/>
      </c>
      <c r="AJ21" s="331">
        <f t="shared" si="24"/>
      </c>
      <c r="AK21" s="331">
        <f t="shared" si="24"/>
      </c>
      <c r="AL21" s="332">
        <f t="shared" si="24"/>
      </c>
      <c r="AM21" s="851"/>
      <c r="AN21" s="852"/>
      <c r="AO21" s="852"/>
      <c r="AP21" s="852"/>
      <c r="AQ21" s="852"/>
      <c r="AR21" s="329"/>
      <c r="AS21" s="845"/>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7.5" customHeight="1">
      <c r="A22" s="827"/>
      <c r="B22" s="828"/>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9"/>
      <c r="AS22" s="845"/>
    </row>
    <row r="23" spans="1:118" ht="15" customHeight="1">
      <c r="A23" s="830" t="s">
        <v>1891</v>
      </c>
      <c r="B23" s="831"/>
      <c r="C23" s="831"/>
      <c r="D23" s="831"/>
      <c r="E23" s="831"/>
      <c r="F23" s="831"/>
      <c r="G23" s="831"/>
      <c r="H23" s="320"/>
      <c r="I23" s="331">
        <f aca="true" t="shared" si="28" ref="I23:AL23">IF(ISERR(AW$23),"",AW$23)</f>
      </c>
      <c r="J23" s="331">
        <f t="shared" si="28"/>
      </c>
      <c r="K23" s="331">
        <f t="shared" si="28"/>
      </c>
      <c r="L23" s="331">
        <f t="shared" si="28"/>
      </c>
      <c r="M23" s="331">
        <f t="shared" si="28"/>
      </c>
      <c r="N23" s="331">
        <f t="shared" si="28"/>
      </c>
      <c r="O23" s="331">
        <f t="shared" si="28"/>
      </c>
      <c r="P23" s="331">
        <f t="shared" si="28"/>
      </c>
      <c r="Q23" s="331">
        <f t="shared" si="28"/>
      </c>
      <c r="R23" s="331">
        <f t="shared" si="28"/>
      </c>
      <c r="S23" s="331">
        <f t="shared" si="28"/>
      </c>
      <c r="T23" s="331">
        <f t="shared" si="28"/>
      </c>
      <c r="U23" s="331">
        <f t="shared" si="28"/>
      </c>
      <c r="V23" s="331">
        <f t="shared" si="28"/>
      </c>
      <c r="W23" s="331">
        <f t="shared" si="28"/>
      </c>
      <c r="X23" s="331">
        <f t="shared" si="28"/>
      </c>
      <c r="Y23" s="331">
        <f t="shared" si="28"/>
      </c>
      <c r="Z23" s="331">
        <f t="shared" si="28"/>
      </c>
      <c r="AA23" s="331">
        <f t="shared" si="28"/>
      </c>
      <c r="AB23" s="331">
        <f t="shared" si="28"/>
      </c>
      <c r="AC23" s="331">
        <f t="shared" si="28"/>
      </c>
      <c r="AD23" s="331">
        <f t="shared" si="28"/>
      </c>
      <c r="AE23" s="331">
        <f t="shared" si="28"/>
      </c>
      <c r="AF23" s="331">
        <f t="shared" si="28"/>
      </c>
      <c r="AG23" s="331">
        <f t="shared" si="28"/>
      </c>
      <c r="AH23" s="331">
        <f t="shared" si="28"/>
      </c>
      <c r="AI23" s="331">
        <f t="shared" si="28"/>
      </c>
      <c r="AJ23" s="331">
        <f t="shared" si="28"/>
      </c>
      <c r="AK23" s="331">
        <f t="shared" si="28"/>
      </c>
      <c r="AL23" s="332">
        <f t="shared" si="28"/>
      </c>
      <c r="AM23" s="851"/>
      <c r="AN23" s="852"/>
      <c r="AO23" s="852"/>
      <c r="AP23" s="852"/>
      <c r="AQ23" s="852"/>
      <c r="AR23" s="329"/>
      <c r="AS23" s="845"/>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7.5" customHeight="1">
      <c r="A24" s="827"/>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9"/>
      <c r="AS24" s="845"/>
    </row>
    <row r="25" spans="1:118" ht="15" customHeight="1">
      <c r="A25" s="830" t="s">
        <v>1889</v>
      </c>
      <c r="B25" s="831"/>
      <c r="C25" s="831"/>
      <c r="D25" s="831"/>
      <c r="E25" s="831"/>
      <c r="F25" s="831"/>
      <c r="G25" s="831"/>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45"/>
      <c r="AU25" s="6">
        <f>IF(Fld_BNK_BE="x",IF(ISBLANK(Fld_Cpt_Contact_EMAIL),"",Fld_Cpt_Contact_EMAIL),"")</f>
      </c>
      <c r="AV25" s="6">
        <f>IF(AU25=0,"",LEN(AU25))</f>
        <v>0</v>
      </c>
      <c r="AW25" s="6">
        <f aca="true" t="shared" si="33" ref="AW25:CB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aca="true" t="shared" si="34" ref="CC25:DH25">UPPER(MID($AU$25,(COLUMN(CC25)-($AV$25+(COLUMN($AW$25)-$AV$25-1))),1))</f>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DN25">UPPER(MID($AU$25,(COLUMN(DI25)-($AV$25+(COLUMN($AW$25)-$AV$25-1))),1))</f>
      </c>
      <c r="DJ25" s="6">
        <f t="shared" si="35"/>
      </c>
      <c r="DK25" s="6">
        <f t="shared" si="35"/>
      </c>
      <c r="DL25" s="6">
        <f t="shared" si="35"/>
      </c>
      <c r="DM25" s="6">
        <f t="shared" si="35"/>
      </c>
      <c r="DN25" s="6">
        <f t="shared" si="35"/>
      </c>
    </row>
    <row r="26" spans="1:45" ht="6" customHeight="1">
      <c r="A26" s="827"/>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9"/>
      <c r="AS26" s="845"/>
    </row>
    <row r="27" spans="1:85" ht="15" customHeight="1">
      <c r="A27" s="867" t="s">
        <v>879</v>
      </c>
      <c r="B27" s="868"/>
      <c r="C27" s="868"/>
      <c r="D27" s="868"/>
      <c r="E27" s="868"/>
      <c r="F27" s="868"/>
      <c r="G27" s="868"/>
      <c r="H27" s="320"/>
      <c r="I27" s="331">
        <f aca="true" t="shared" si="36" ref="I27:W27">IF(ISERR(AW$27),"",AW$27)</f>
      </c>
      <c r="J27" s="331">
        <f t="shared" si="36"/>
      </c>
      <c r="K27" s="331">
        <f t="shared" si="36"/>
      </c>
      <c r="L27" s="331">
        <f t="shared" si="36"/>
      </c>
      <c r="M27" s="331">
        <f t="shared" si="36"/>
      </c>
      <c r="N27" s="331">
        <f t="shared" si="36"/>
      </c>
      <c r="O27" s="331">
        <f t="shared" si="36"/>
      </c>
      <c r="P27" s="331">
        <f t="shared" si="36"/>
      </c>
      <c r="Q27" s="331">
        <f t="shared" si="36"/>
      </c>
      <c r="R27" s="331">
        <f t="shared" si="36"/>
      </c>
      <c r="S27" s="331">
        <f t="shared" si="36"/>
      </c>
      <c r="T27" s="331">
        <f t="shared" si="36"/>
      </c>
      <c r="U27" s="331">
        <f t="shared" si="36"/>
      </c>
      <c r="V27" s="331">
        <f t="shared" si="36"/>
      </c>
      <c r="W27" s="331">
        <f t="shared" si="36"/>
      </c>
      <c r="X27" s="851"/>
      <c r="Y27" s="852"/>
      <c r="Z27" s="852"/>
      <c r="AA27" s="852"/>
      <c r="AB27" s="852"/>
      <c r="AC27" s="852"/>
      <c r="AD27" s="852"/>
      <c r="AE27" s="852"/>
      <c r="AF27" s="852"/>
      <c r="AG27" s="852"/>
      <c r="AH27" s="852"/>
      <c r="AI27" s="852"/>
      <c r="AJ27" s="852"/>
      <c r="AK27" s="852"/>
      <c r="AL27" s="852"/>
      <c r="AM27" s="852"/>
      <c r="AN27" s="852"/>
      <c r="AO27" s="852"/>
      <c r="AP27" s="852"/>
      <c r="AQ27" s="852"/>
      <c r="AR27" s="853"/>
      <c r="AS27" s="845"/>
      <c r="AU27" s="6">
        <f>IF(Fld_BNK_BE="x",IF(ISBLANK(Fld_Cpt_ContactTVA),"",Fld_Cpt_ContactTVA),"")</f>
      </c>
      <c r="AV27" s="6">
        <f>IF(AU27=0,"",LEN(AU27))</f>
        <v>0</v>
      </c>
      <c r="AW27" s="6">
        <f aca="true" t="shared" si="37" ref="AW27:CG27">UPPER(MID($AU$27,(COLUMN(AW27)-($AV$27+(COLUMN($AW$27)-$AV$27-1))),1))</f>
      </c>
      <c r="AX27" s="6">
        <f t="shared" si="37"/>
      </c>
      <c r="AY27" s="6">
        <f t="shared" si="37"/>
      </c>
      <c r="AZ27" s="6">
        <f t="shared" si="37"/>
      </c>
      <c r="BA27" s="6">
        <f t="shared" si="37"/>
      </c>
      <c r="BB27" s="6">
        <f t="shared" si="37"/>
      </c>
      <c r="BC27" s="6">
        <f t="shared" si="37"/>
      </c>
      <c r="BD27" s="6">
        <f t="shared" si="37"/>
      </c>
      <c r="BE27" s="6">
        <f t="shared" si="37"/>
      </c>
      <c r="BF27" s="6">
        <f t="shared" si="37"/>
      </c>
      <c r="BG27" s="6">
        <f t="shared" si="37"/>
      </c>
      <c r="BH27" s="6">
        <f t="shared" si="37"/>
      </c>
      <c r="BI27" s="6">
        <f t="shared" si="37"/>
      </c>
      <c r="BJ27" s="6">
        <f t="shared" si="37"/>
      </c>
      <c r="BK27" s="6">
        <f t="shared" si="37"/>
      </c>
      <c r="BL27" s="6">
        <f t="shared" si="37"/>
      </c>
      <c r="BM27" s="6">
        <f t="shared" si="37"/>
      </c>
      <c r="BN27" s="6">
        <f t="shared" si="37"/>
      </c>
      <c r="BO27" s="6">
        <f t="shared" si="37"/>
      </c>
      <c r="BP27" s="6">
        <f t="shared" si="37"/>
      </c>
      <c r="BQ27" s="6">
        <f t="shared" si="37"/>
      </c>
      <c r="BR27" s="6">
        <f t="shared" si="37"/>
      </c>
      <c r="BS27" s="6">
        <f t="shared" si="37"/>
      </c>
      <c r="BT27" s="6">
        <f t="shared" si="37"/>
      </c>
      <c r="BU27" s="6">
        <f t="shared" si="37"/>
      </c>
      <c r="BV27" s="6">
        <f t="shared" si="37"/>
      </c>
      <c r="BW27" s="6">
        <f t="shared" si="37"/>
      </c>
      <c r="BX27" s="6">
        <f t="shared" si="37"/>
      </c>
      <c r="BY27" s="6">
        <f t="shared" si="37"/>
      </c>
      <c r="BZ27" s="6">
        <f t="shared" si="37"/>
      </c>
      <c r="CA27" s="6">
        <f t="shared" si="37"/>
      </c>
      <c r="CB27" s="6">
        <f t="shared" si="37"/>
      </c>
      <c r="CC27" s="6">
        <f t="shared" si="37"/>
      </c>
      <c r="CD27" s="6">
        <f t="shared" si="37"/>
      </c>
      <c r="CE27" s="6">
        <f t="shared" si="37"/>
      </c>
      <c r="CF27" s="6">
        <f t="shared" si="37"/>
      </c>
      <c r="CG27" s="6">
        <f t="shared" si="37"/>
      </c>
    </row>
    <row r="28" spans="1:45" ht="6.75" customHeight="1" thickBot="1">
      <c r="A28" s="870"/>
      <c r="B28" s="871"/>
      <c r="C28" s="871"/>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2"/>
      <c r="AS28" s="845"/>
    </row>
    <row r="29" spans="1:45" ht="15" customHeight="1" thickBot="1" thickTop="1">
      <c r="A29" s="866"/>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6"/>
      <c r="AP29" s="866"/>
      <c r="AQ29" s="866"/>
      <c r="AR29" s="866"/>
      <c r="AS29" s="845"/>
    </row>
    <row r="30" spans="1:45" ht="6.75" customHeight="1" thickTop="1">
      <c r="A30" s="860"/>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2"/>
      <c r="AS30" s="845"/>
    </row>
    <row r="31" spans="1:118" ht="15" customHeight="1">
      <c r="A31" s="863" t="s">
        <v>880</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5"/>
      <c r="AS31" s="845"/>
      <c r="AU31" s="327">
        <f>IF(Fld_BNK_BE="x",Fld_BankName,"")</f>
      </c>
      <c r="AV31" s="6">
        <f>IF(AU31=0,"",LEN(AU31))</f>
        <v>0</v>
      </c>
      <c r="AW31" s="6">
        <f aca="true" t="shared" si="38" ref="AW31:CB31">UPPER(MID($AU$31,(COLUMN(AW31)-($AV$31+(COLUMN($AW$31)-$AV$31-1))),1))</f>
      </c>
      <c r="AX31" s="6">
        <f t="shared" si="38"/>
      </c>
      <c r="AY31" s="6">
        <f t="shared" si="38"/>
      </c>
      <c r="AZ31" s="6">
        <f t="shared" si="38"/>
      </c>
      <c r="BA31" s="6">
        <f t="shared" si="38"/>
      </c>
      <c r="BB31" s="6">
        <f t="shared" si="38"/>
      </c>
      <c r="BC31" s="6">
        <f t="shared" si="38"/>
      </c>
      <c r="BD31" s="6">
        <f t="shared" si="38"/>
      </c>
      <c r="BE31" s="6">
        <f t="shared" si="38"/>
      </c>
      <c r="BF31" s="6">
        <f t="shared" si="38"/>
      </c>
      <c r="BG31" s="6">
        <f t="shared" si="38"/>
      </c>
      <c r="BH31" s="6">
        <f t="shared" si="38"/>
      </c>
      <c r="BI31" s="6">
        <f t="shared" si="38"/>
      </c>
      <c r="BJ31" s="6">
        <f t="shared" si="38"/>
      </c>
      <c r="BK31" s="6">
        <f t="shared" si="38"/>
      </c>
      <c r="BL31" s="6">
        <f t="shared" si="38"/>
      </c>
      <c r="BM31" s="6">
        <f t="shared" si="38"/>
      </c>
      <c r="BN31" s="6">
        <f t="shared" si="38"/>
      </c>
      <c r="BO31" s="6">
        <f t="shared" si="38"/>
      </c>
      <c r="BP31" s="6">
        <f t="shared" si="38"/>
      </c>
      <c r="BQ31" s="6">
        <f t="shared" si="38"/>
      </c>
      <c r="BR31" s="6">
        <f t="shared" si="38"/>
      </c>
      <c r="BS31" s="6">
        <f t="shared" si="38"/>
      </c>
      <c r="BT31" s="6">
        <f t="shared" si="38"/>
      </c>
      <c r="BU31" s="6">
        <f t="shared" si="38"/>
      </c>
      <c r="BV31" s="6">
        <f t="shared" si="38"/>
      </c>
      <c r="BW31" s="6">
        <f t="shared" si="38"/>
      </c>
      <c r="BX31" s="6">
        <f t="shared" si="38"/>
      </c>
      <c r="BY31" s="6">
        <f t="shared" si="38"/>
      </c>
      <c r="BZ31" s="6">
        <f t="shared" si="38"/>
      </c>
      <c r="CA31" s="6">
        <f t="shared" si="38"/>
      </c>
      <c r="CB31" s="6">
        <f t="shared" si="38"/>
      </c>
      <c r="CC31" s="6">
        <f aca="true" t="shared" si="39" ref="CC31:DH31">UPPER(MID($AU$31,(COLUMN(CC31)-($AV$31+(COLUMN($AW$31)-$AV$31-1))),1))</f>
      </c>
      <c r="CD31" s="6">
        <f t="shared" si="39"/>
      </c>
      <c r="CE31" s="6">
        <f t="shared" si="39"/>
      </c>
      <c r="CF31" s="6">
        <f t="shared" si="39"/>
      </c>
      <c r="CG31" s="6">
        <f t="shared" si="39"/>
      </c>
      <c r="CH31" s="6">
        <f t="shared" si="39"/>
      </c>
      <c r="CI31" s="6">
        <f t="shared" si="39"/>
      </c>
      <c r="CJ31" s="6">
        <f t="shared" si="39"/>
      </c>
      <c r="CK31" s="6">
        <f t="shared" si="39"/>
      </c>
      <c r="CL31" s="6">
        <f t="shared" si="39"/>
      </c>
      <c r="CM31" s="6">
        <f t="shared" si="39"/>
      </c>
      <c r="CN31" s="6">
        <f t="shared" si="39"/>
      </c>
      <c r="CO31" s="6">
        <f t="shared" si="39"/>
      </c>
      <c r="CP31" s="6">
        <f t="shared" si="39"/>
      </c>
      <c r="CQ31" s="6">
        <f t="shared" si="39"/>
      </c>
      <c r="CR31" s="6">
        <f t="shared" si="39"/>
      </c>
      <c r="CS31" s="6">
        <f t="shared" si="39"/>
      </c>
      <c r="CT31" s="6">
        <f t="shared" si="39"/>
      </c>
      <c r="CU31" s="6">
        <f t="shared" si="39"/>
      </c>
      <c r="CV31" s="6">
        <f t="shared" si="39"/>
      </c>
      <c r="CW31" s="6">
        <f t="shared" si="39"/>
      </c>
      <c r="CX31" s="6">
        <f t="shared" si="39"/>
      </c>
      <c r="CY31" s="6">
        <f t="shared" si="39"/>
      </c>
      <c r="CZ31" s="6">
        <f t="shared" si="39"/>
      </c>
      <c r="DA31" s="6">
        <f t="shared" si="39"/>
      </c>
      <c r="DB31" s="6">
        <f t="shared" si="39"/>
      </c>
      <c r="DC31" s="6">
        <f t="shared" si="39"/>
      </c>
      <c r="DD31" s="6">
        <f t="shared" si="39"/>
      </c>
      <c r="DE31" s="6">
        <f t="shared" si="39"/>
      </c>
      <c r="DF31" s="6">
        <f t="shared" si="39"/>
      </c>
      <c r="DG31" s="6">
        <f t="shared" si="39"/>
      </c>
      <c r="DH31" s="6">
        <f t="shared" si="39"/>
      </c>
      <c r="DI31" s="6">
        <f aca="true" t="shared" si="40" ref="DI31:DN31">UPPER(MID($AU$31,(COLUMN(DI31)-($AV$31+(COLUMN($AW$31)-$AV$31-1))),1))</f>
      </c>
      <c r="DJ31" s="6">
        <f t="shared" si="40"/>
      </c>
      <c r="DK31" s="6">
        <f t="shared" si="40"/>
      </c>
      <c r="DL31" s="6">
        <f t="shared" si="40"/>
      </c>
      <c r="DM31" s="6">
        <f t="shared" si="40"/>
      </c>
      <c r="DN31" s="6">
        <f t="shared" si="40"/>
      </c>
    </row>
    <row r="32" spans="1:45" ht="7.5" customHeight="1">
      <c r="A32" s="827"/>
      <c r="B32" s="828"/>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9"/>
      <c r="AS32" s="845"/>
    </row>
    <row r="33" spans="1:55" ht="15" customHeight="1">
      <c r="A33" s="830" t="str">
        <f>A7</f>
        <v>NOM</v>
      </c>
      <c r="B33" s="831"/>
      <c r="C33" s="831"/>
      <c r="D33" s="831"/>
      <c r="E33" s="831"/>
      <c r="F33" s="831"/>
      <c r="G33" s="831"/>
      <c r="H33" s="320"/>
      <c r="I33" s="332">
        <f aca="true" t="shared" si="41" ref="I33:AQ33">IF(ISERR(AW$31),"",AW$31)</f>
      </c>
      <c r="J33" s="332">
        <f t="shared" si="41"/>
      </c>
      <c r="K33" s="332">
        <f t="shared" si="41"/>
      </c>
      <c r="L33" s="332">
        <f t="shared" si="41"/>
      </c>
      <c r="M33" s="332">
        <f t="shared" si="41"/>
      </c>
      <c r="N33" s="332">
        <f t="shared" si="41"/>
      </c>
      <c r="O33" s="332">
        <f t="shared" si="41"/>
      </c>
      <c r="P33" s="332">
        <f t="shared" si="41"/>
      </c>
      <c r="Q33" s="332">
        <f t="shared" si="41"/>
      </c>
      <c r="R33" s="332">
        <f t="shared" si="41"/>
      </c>
      <c r="S33" s="332">
        <f t="shared" si="41"/>
      </c>
      <c r="T33" s="332">
        <f t="shared" si="41"/>
      </c>
      <c r="U33" s="332">
        <f t="shared" si="41"/>
      </c>
      <c r="V33" s="332">
        <f t="shared" si="41"/>
      </c>
      <c r="W33" s="332">
        <f t="shared" si="41"/>
      </c>
      <c r="X33" s="332">
        <f t="shared" si="41"/>
      </c>
      <c r="Y33" s="332">
        <f t="shared" si="41"/>
      </c>
      <c r="Z33" s="332">
        <f t="shared" si="41"/>
      </c>
      <c r="AA33" s="332">
        <f t="shared" si="41"/>
      </c>
      <c r="AB33" s="332">
        <f t="shared" si="41"/>
      </c>
      <c r="AC33" s="332">
        <f t="shared" si="41"/>
      </c>
      <c r="AD33" s="332">
        <f t="shared" si="41"/>
      </c>
      <c r="AE33" s="332">
        <f t="shared" si="41"/>
      </c>
      <c r="AF33" s="332">
        <f t="shared" si="41"/>
      </c>
      <c r="AG33" s="332">
        <f t="shared" si="41"/>
      </c>
      <c r="AH33" s="332">
        <f t="shared" si="41"/>
      </c>
      <c r="AI33" s="332">
        <f t="shared" si="41"/>
      </c>
      <c r="AJ33" s="332">
        <f t="shared" si="41"/>
      </c>
      <c r="AK33" s="332">
        <f t="shared" si="41"/>
      </c>
      <c r="AL33" s="332">
        <f t="shared" si="41"/>
      </c>
      <c r="AM33" s="332">
        <f t="shared" si="41"/>
      </c>
      <c r="AN33" s="332">
        <f t="shared" si="41"/>
      </c>
      <c r="AO33" s="332">
        <f t="shared" si="41"/>
      </c>
      <c r="AP33" s="332">
        <f t="shared" si="41"/>
      </c>
      <c r="AQ33" s="332">
        <f t="shared" si="41"/>
      </c>
      <c r="AR33" s="322"/>
      <c r="AS33" s="845"/>
      <c r="BC33" s="6"/>
    </row>
    <row r="34" spans="1:45" ht="9" customHeight="1">
      <c r="A34" s="827"/>
      <c r="B34" s="828"/>
      <c r="C34" s="828"/>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9"/>
      <c r="AS34" s="845"/>
    </row>
    <row r="35" spans="1:118" ht="15" customHeight="1">
      <c r="A35" s="856"/>
      <c r="B35" s="460"/>
      <c r="C35" s="460"/>
      <c r="D35" s="460"/>
      <c r="E35" s="460"/>
      <c r="F35" s="460"/>
      <c r="G35" s="460"/>
      <c r="H35" s="857"/>
      <c r="I35" s="332">
        <f aca="true" t="shared" si="42" ref="I35:AQ35">IF(ISERR(CF$31),"",CF$31)</f>
      </c>
      <c r="J35" s="332">
        <f t="shared" si="42"/>
      </c>
      <c r="K35" s="332">
        <f t="shared" si="42"/>
      </c>
      <c r="L35" s="332">
        <f t="shared" si="42"/>
      </c>
      <c r="M35" s="332">
        <f t="shared" si="42"/>
      </c>
      <c r="N35" s="332">
        <f t="shared" si="42"/>
      </c>
      <c r="O35" s="332">
        <f t="shared" si="42"/>
      </c>
      <c r="P35" s="332">
        <f t="shared" si="42"/>
      </c>
      <c r="Q35" s="332">
        <f t="shared" si="42"/>
      </c>
      <c r="R35" s="332">
        <f t="shared" si="42"/>
      </c>
      <c r="S35" s="332">
        <f t="shared" si="42"/>
      </c>
      <c r="T35" s="332">
        <f t="shared" si="42"/>
      </c>
      <c r="U35" s="332">
        <f t="shared" si="42"/>
      </c>
      <c r="V35" s="332">
        <f t="shared" si="42"/>
      </c>
      <c r="W35" s="332">
        <f t="shared" si="42"/>
      </c>
      <c r="X35" s="332">
        <f t="shared" si="42"/>
      </c>
      <c r="Y35" s="332">
        <f t="shared" si="42"/>
      </c>
      <c r="Z35" s="332">
        <f t="shared" si="42"/>
      </c>
      <c r="AA35" s="332">
        <f t="shared" si="42"/>
      </c>
      <c r="AB35" s="332">
        <f t="shared" si="42"/>
      </c>
      <c r="AC35" s="332">
        <f t="shared" si="42"/>
      </c>
      <c r="AD35" s="332">
        <f t="shared" si="42"/>
      </c>
      <c r="AE35" s="332">
        <f t="shared" si="42"/>
      </c>
      <c r="AF35" s="332">
        <f t="shared" si="42"/>
      </c>
      <c r="AG35" s="332">
        <f t="shared" si="42"/>
      </c>
      <c r="AH35" s="332">
        <f t="shared" si="42"/>
      </c>
      <c r="AI35" s="332">
        <f t="shared" si="42"/>
      </c>
      <c r="AJ35" s="332">
        <f t="shared" si="42"/>
      </c>
      <c r="AK35" s="332">
        <f t="shared" si="42"/>
      </c>
      <c r="AL35" s="332">
        <f t="shared" si="42"/>
      </c>
      <c r="AM35" s="332">
        <f t="shared" si="42"/>
      </c>
      <c r="AN35" s="332">
        <f t="shared" si="42"/>
      </c>
      <c r="AO35" s="332">
        <f t="shared" si="42"/>
      </c>
      <c r="AP35" s="332">
        <f t="shared" si="42"/>
      </c>
      <c r="AQ35" s="332">
        <f t="shared" si="42"/>
      </c>
      <c r="AR35" s="322"/>
      <c r="AS35" s="845"/>
      <c r="AU35" s="327">
        <f>IF(Fld_BNK_BE="x",Fld_BankAddress,"")</f>
      </c>
      <c r="AV35" s="6">
        <f>IF(AU35=0,"",LEN(AU35))</f>
        <v>0</v>
      </c>
      <c r="AW35" s="6">
        <f aca="true" t="shared" si="43" ref="AW35:CB35">UPPER(MID($AU$35,(COLUMN(AW35)-($AV$35+(COLUMN($AW$35)-$AV$35-1))),1))</f>
      </c>
      <c r="AX35" s="6">
        <f t="shared" si="43"/>
      </c>
      <c r="AY35" s="6">
        <f t="shared" si="43"/>
      </c>
      <c r="AZ35" s="6">
        <f t="shared" si="43"/>
      </c>
      <c r="BA35" s="6">
        <f t="shared" si="43"/>
      </c>
      <c r="BB35" s="6">
        <f t="shared" si="43"/>
      </c>
      <c r="BC35" s="6">
        <f t="shared" si="43"/>
      </c>
      <c r="BD35" s="6">
        <f t="shared" si="43"/>
      </c>
      <c r="BE35" s="6">
        <f t="shared" si="43"/>
      </c>
      <c r="BF35" s="6">
        <f t="shared" si="43"/>
      </c>
      <c r="BG35" s="6">
        <f t="shared" si="43"/>
      </c>
      <c r="BH35" s="6">
        <f t="shared" si="43"/>
      </c>
      <c r="BI35" s="6">
        <f t="shared" si="43"/>
      </c>
      <c r="BJ35" s="6">
        <f t="shared" si="43"/>
      </c>
      <c r="BK35" s="6">
        <f t="shared" si="43"/>
      </c>
      <c r="BL35" s="6">
        <f t="shared" si="43"/>
      </c>
      <c r="BM35" s="6">
        <f t="shared" si="43"/>
      </c>
      <c r="BN35" s="6">
        <f t="shared" si="43"/>
      </c>
      <c r="BO35" s="6">
        <f t="shared" si="43"/>
      </c>
      <c r="BP35" s="6">
        <f t="shared" si="43"/>
      </c>
      <c r="BQ35" s="6">
        <f t="shared" si="43"/>
      </c>
      <c r="BR35" s="6">
        <f t="shared" si="43"/>
      </c>
      <c r="BS35" s="6">
        <f t="shared" si="43"/>
      </c>
      <c r="BT35" s="6">
        <f t="shared" si="43"/>
      </c>
      <c r="BU35" s="6">
        <f t="shared" si="43"/>
      </c>
      <c r="BV35" s="6">
        <f t="shared" si="43"/>
      </c>
      <c r="BW35" s="6">
        <f t="shared" si="43"/>
      </c>
      <c r="BX35" s="6">
        <f t="shared" si="43"/>
      </c>
      <c r="BY35" s="6">
        <f t="shared" si="43"/>
      </c>
      <c r="BZ35" s="6">
        <f t="shared" si="43"/>
      </c>
      <c r="CA35" s="6">
        <f t="shared" si="43"/>
      </c>
      <c r="CB35" s="6">
        <f t="shared" si="43"/>
      </c>
      <c r="CC35" s="6">
        <f aca="true" t="shared" si="44" ref="CC35:DH35">UPPER(MID($AU$35,(COLUMN(CC35)-($AV$35+(COLUMN($AW$35)-$AV$35-1))),1))</f>
      </c>
      <c r="CD35" s="6">
        <f t="shared" si="44"/>
      </c>
      <c r="CE35" s="6">
        <f t="shared" si="44"/>
      </c>
      <c r="CF35" s="6">
        <f t="shared" si="44"/>
      </c>
      <c r="CG35" s="6">
        <f t="shared" si="44"/>
      </c>
      <c r="CH35" s="6">
        <f t="shared" si="44"/>
      </c>
      <c r="CI35" s="6">
        <f t="shared" si="44"/>
      </c>
      <c r="CJ35" s="6">
        <f t="shared" si="44"/>
      </c>
      <c r="CK35" s="6">
        <f t="shared" si="44"/>
      </c>
      <c r="CL35" s="6">
        <f t="shared" si="44"/>
      </c>
      <c r="CM35" s="6">
        <f t="shared" si="44"/>
      </c>
      <c r="CN35" s="6">
        <f t="shared" si="44"/>
      </c>
      <c r="CO35" s="6">
        <f t="shared" si="44"/>
      </c>
      <c r="CP35" s="6">
        <f t="shared" si="44"/>
      </c>
      <c r="CQ35" s="6">
        <f t="shared" si="44"/>
      </c>
      <c r="CR35" s="6">
        <f t="shared" si="44"/>
      </c>
      <c r="CS35" s="6">
        <f t="shared" si="44"/>
      </c>
      <c r="CT35" s="6">
        <f t="shared" si="44"/>
      </c>
      <c r="CU35" s="6">
        <f t="shared" si="44"/>
      </c>
      <c r="CV35" s="6">
        <f t="shared" si="44"/>
      </c>
      <c r="CW35" s="6">
        <f t="shared" si="44"/>
      </c>
      <c r="CX35" s="6">
        <f t="shared" si="44"/>
      </c>
      <c r="CY35" s="6">
        <f t="shared" si="44"/>
      </c>
      <c r="CZ35" s="6">
        <f t="shared" si="44"/>
      </c>
      <c r="DA35" s="6">
        <f t="shared" si="44"/>
      </c>
      <c r="DB35" s="6">
        <f t="shared" si="44"/>
      </c>
      <c r="DC35" s="6">
        <f t="shared" si="44"/>
      </c>
      <c r="DD35" s="6">
        <f t="shared" si="44"/>
      </c>
      <c r="DE35" s="6">
        <f t="shared" si="44"/>
      </c>
      <c r="DF35" s="6">
        <f t="shared" si="44"/>
      </c>
      <c r="DG35" s="6">
        <f t="shared" si="44"/>
      </c>
      <c r="DH35" s="6">
        <f t="shared" si="44"/>
      </c>
      <c r="DI35" s="6">
        <f aca="true" t="shared" si="45" ref="DI35:DN35">UPPER(MID($AU$35,(COLUMN(DI35)-($AV$35+(COLUMN($AW$35)-$AV$35-1))),1))</f>
      </c>
      <c r="DJ35" s="6">
        <f t="shared" si="45"/>
      </c>
      <c r="DK35" s="6">
        <f t="shared" si="45"/>
      </c>
      <c r="DL35" s="6">
        <f t="shared" si="45"/>
      </c>
      <c r="DM35" s="6">
        <f t="shared" si="45"/>
      </c>
      <c r="DN35" s="6">
        <f t="shared" si="45"/>
      </c>
    </row>
    <row r="36" spans="1:45" ht="7.5" customHeight="1">
      <c r="A36" s="827"/>
      <c r="B36" s="828"/>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9"/>
      <c r="AS36" s="845"/>
    </row>
    <row r="37" spans="1:45" ht="15" customHeight="1">
      <c r="A37" s="867" t="str">
        <f>A11</f>
        <v>ADRESSE</v>
      </c>
      <c r="B37" s="868"/>
      <c r="C37" s="868"/>
      <c r="D37" s="868"/>
      <c r="E37" s="868"/>
      <c r="F37" s="868"/>
      <c r="G37" s="868"/>
      <c r="H37" s="320"/>
      <c r="I37" s="332">
        <f aca="true" t="shared" si="46" ref="I37:AQ37">IF(ISERR(AW$35),"",AW$35)</f>
      </c>
      <c r="J37" s="332">
        <f t="shared" si="46"/>
      </c>
      <c r="K37" s="332">
        <f t="shared" si="46"/>
      </c>
      <c r="L37" s="332">
        <f t="shared" si="46"/>
      </c>
      <c r="M37" s="332">
        <f t="shared" si="46"/>
      </c>
      <c r="N37" s="332">
        <f t="shared" si="46"/>
      </c>
      <c r="O37" s="332">
        <f t="shared" si="46"/>
      </c>
      <c r="P37" s="332">
        <f t="shared" si="46"/>
      </c>
      <c r="Q37" s="332">
        <f t="shared" si="46"/>
      </c>
      <c r="R37" s="332">
        <f t="shared" si="46"/>
      </c>
      <c r="S37" s="332">
        <f t="shared" si="46"/>
      </c>
      <c r="T37" s="332">
        <f t="shared" si="46"/>
      </c>
      <c r="U37" s="332">
        <f t="shared" si="46"/>
      </c>
      <c r="V37" s="332">
        <f t="shared" si="46"/>
      </c>
      <c r="W37" s="332">
        <f t="shared" si="46"/>
      </c>
      <c r="X37" s="332">
        <f t="shared" si="46"/>
      </c>
      <c r="Y37" s="332">
        <f t="shared" si="46"/>
      </c>
      <c r="Z37" s="332">
        <f t="shared" si="46"/>
      </c>
      <c r="AA37" s="332">
        <f t="shared" si="46"/>
      </c>
      <c r="AB37" s="332">
        <f t="shared" si="46"/>
      </c>
      <c r="AC37" s="332">
        <f t="shared" si="46"/>
      </c>
      <c r="AD37" s="332">
        <f t="shared" si="46"/>
      </c>
      <c r="AE37" s="332">
        <f t="shared" si="46"/>
      </c>
      <c r="AF37" s="332">
        <f t="shared" si="46"/>
      </c>
      <c r="AG37" s="332">
        <f t="shared" si="46"/>
      </c>
      <c r="AH37" s="332">
        <f t="shared" si="46"/>
      </c>
      <c r="AI37" s="332">
        <f t="shared" si="46"/>
      </c>
      <c r="AJ37" s="332">
        <f t="shared" si="46"/>
      </c>
      <c r="AK37" s="332">
        <f t="shared" si="46"/>
      </c>
      <c r="AL37" s="332">
        <f t="shared" si="46"/>
      </c>
      <c r="AM37" s="332">
        <f t="shared" si="46"/>
      </c>
      <c r="AN37" s="332">
        <f t="shared" si="46"/>
      </c>
      <c r="AO37" s="332">
        <f t="shared" si="46"/>
      </c>
      <c r="AP37" s="332">
        <f t="shared" si="46"/>
      </c>
      <c r="AQ37" s="332">
        <f t="shared" si="46"/>
      </c>
      <c r="AR37" s="322"/>
      <c r="AS37" s="845"/>
    </row>
    <row r="38" spans="1:45" ht="9" customHeight="1">
      <c r="A38" s="827"/>
      <c r="B38" s="828"/>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9"/>
      <c r="AS38" s="845"/>
    </row>
    <row r="39" spans="1:118" ht="15" customHeight="1">
      <c r="A39" s="856"/>
      <c r="B39" s="460"/>
      <c r="C39" s="460"/>
      <c r="D39" s="460"/>
      <c r="E39" s="460"/>
      <c r="F39" s="460"/>
      <c r="G39" s="460"/>
      <c r="H39" s="857"/>
      <c r="I39" s="332">
        <f aca="true" t="shared" si="47" ref="I39:AQ39">IF(ISERR(CF$35),"",CF$35)</f>
      </c>
      <c r="J39" s="332">
        <f t="shared" si="47"/>
      </c>
      <c r="K39" s="332">
        <f t="shared" si="47"/>
      </c>
      <c r="L39" s="332">
        <f t="shared" si="47"/>
      </c>
      <c r="M39" s="332">
        <f t="shared" si="47"/>
      </c>
      <c r="N39" s="332">
        <f t="shared" si="47"/>
      </c>
      <c r="O39" s="332">
        <f t="shared" si="47"/>
      </c>
      <c r="P39" s="332">
        <f t="shared" si="47"/>
      </c>
      <c r="Q39" s="332">
        <f t="shared" si="47"/>
      </c>
      <c r="R39" s="332">
        <f t="shared" si="47"/>
      </c>
      <c r="S39" s="332">
        <f t="shared" si="47"/>
      </c>
      <c r="T39" s="332">
        <f t="shared" si="47"/>
      </c>
      <c r="U39" s="332">
        <f t="shared" si="47"/>
      </c>
      <c r="V39" s="332">
        <f t="shared" si="47"/>
      </c>
      <c r="W39" s="332">
        <f t="shared" si="47"/>
      </c>
      <c r="X39" s="332">
        <f t="shared" si="47"/>
      </c>
      <c r="Y39" s="332">
        <f t="shared" si="47"/>
      </c>
      <c r="Z39" s="332">
        <f t="shared" si="47"/>
      </c>
      <c r="AA39" s="332">
        <f t="shared" si="47"/>
      </c>
      <c r="AB39" s="332">
        <f t="shared" si="47"/>
      </c>
      <c r="AC39" s="332">
        <f t="shared" si="47"/>
      </c>
      <c r="AD39" s="332">
        <f t="shared" si="47"/>
      </c>
      <c r="AE39" s="332">
        <f t="shared" si="47"/>
      </c>
      <c r="AF39" s="332">
        <f t="shared" si="47"/>
      </c>
      <c r="AG39" s="332">
        <f t="shared" si="47"/>
      </c>
      <c r="AH39" s="332">
        <f t="shared" si="47"/>
      </c>
      <c r="AI39" s="332">
        <f t="shared" si="47"/>
      </c>
      <c r="AJ39" s="332">
        <f t="shared" si="47"/>
      </c>
      <c r="AK39" s="332">
        <f t="shared" si="47"/>
      </c>
      <c r="AL39" s="332">
        <f t="shared" si="47"/>
      </c>
      <c r="AM39" s="332">
        <f t="shared" si="47"/>
      </c>
      <c r="AN39" s="332">
        <f t="shared" si="47"/>
      </c>
      <c r="AO39" s="332">
        <f t="shared" si="47"/>
      </c>
      <c r="AP39" s="332">
        <f t="shared" si="47"/>
      </c>
      <c r="AQ39" s="332">
        <f t="shared" si="47"/>
      </c>
      <c r="AR39" s="322"/>
      <c r="AS39" s="845"/>
      <c r="AU39" s="327">
        <f>IF(Fld_BNK_BE="x",Fld_BankVille,"")</f>
      </c>
      <c r="AV39" s="6">
        <f>IF(AU39=0,"",LEN(AU39))</f>
        <v>0</v>
      </c>
      <c r="AW39" s="6">
        <f aca="true" t="shared" si="48" ref="AW39:CB39">UPPER(MID($AU$39,(COLUMN(AW39)-($AV$39+(COLUMN($AW$39)-$AV$39-1))),1))</f>
      </c>
      <c r="AX39" s="6">
        <f t="shared" si="48"/>
      </c>
      <c r="AY39" s="6">
        <f t="shared" si="48"/>
      </c>
      <c r="AZ39" s="6">
        <f t="shared" si="48"/>
      </c>
      <c r="BA39" s="6">
        <f t="shared" si="48"/>
      </c>
      <c r="BB39" s="6">
        <f t="shared" si="48"/>
      </c>
      <c r="BC39" s="6">
        <f t="shared" si="48"/>
      </c>
      <c r="BD39" s="6">
        <f t="shared" si="48"/>
      </c>
      <c r="BE39" s="6">
        <f t="shared" si="48"/>
      </c>
      <c r="BF39" s="6">
        <f t="shared" si="48"/>
      </c>
      <c r="BG39" s="6">
        <f t="shared" si="48"/>
      </c>
      <c r="BH39" s="6">
        <f t="shared" si="48"/>
      </c>
      <c r="BI39" s="6">
        <f t="shared" si="48"/>
      </c>
      <c r="BJ39" s="6">
        <f t="shared" si="48"/>
      </c>
      <c r="BK39" s="6">
        <f t="shared" si="48"/>
      </c>
      <c r="BL39" s="6">
        <f t="shared" si="48"/>
      </c>
      <c r="BM39" s="6">
        <f t="shared" si="48"/>
      </c>
      <c r="BN39" s="6">
        <f t="shared" si="48"/>
      </c>
      <c r="BO39" s="6">
        <f t="shared" si="48"/>
      </c>
      <c r="BP39" s="6">
        <f t="shared" si="48"/>
      </c>
      <c r="BQ39" s="6">
        <f t="shared" si="48"/>
      </c>
      <c r="BR39" s="6">
        <f t="shared" si="48"/>
      </c>
      <c r="BS39" s="6">
        <f t="shared" si="48"/>
      </c>
      <c r="BT39" s="6">
        <f t="shared" si="48"/>
      </c>
      <c r="BU39" s="6">
        <f t="shared" si="48"/>
      </c>
      <c r="BV39" s="6">
        <f t="shared" si="48"/>
      </c>
      <c r="BW39" s="6">
        <f t="shared" si="48"/>
      </c>
      <c r="BX39" s="6">
        <f t="shared" si="48"/>
      </c>
      <c r="BY39" s="6">
        <f t="shared" si="48"/>
      </c>
      <c r="BZ39" s="6">
        <f t="shared" si="48"/>
      </c>
      <c r="CA39" s="6">
        <f t="shared" si="48"/>
      </c>
      <c r="CB39" s="6">
        <f t="shared" si="48"/>
      </c>
      <c r="CC39" s="6">
        <f aca="true" t="shared" si="49" ref="CC39:DH39">UPPER(MID($AU$39,(COLUMN(CC39)-($AV$39+(COLUMN($AW$39)-$AV$39-1))),1))</f>
      </c>
      <c r="CD39" s="6">
        <f t="shared" si="49"/>
      </c>
      <c r="CE39" s="6">
        <f t="shared" si="49"/>
      </c>
      <c r="CF39" s="6">
        <f t="shared" si="49"/>
      </c>
      <c r="CG39" s="6">
        <f t="shared" si="49"/>
      </c>
      <c r="CH39" s="6">
        <f t="shared" si="49"/>
      </c>
      <c r="CI39" s="6">
        <f t="shared" si="49"/>
      </c>
      <c r="CJ39" s="6">
        <f t="shared" si="49"/>
      </c>
      <c r="CK39" s="6">
        <f t="shared" si="49"/>
      </c>
      <c r="CL39" s="6">
        <f t="shared" si="49"/>
      </c>
      <c r="CM39" s="6">
        <f t="shared" si="49"/>
      </c>
      <c r="CN39" s="6">
        <f t="shared" si="49"/>
      </c>
      <c r="CO39" s="6">
        <f t="shared" si="49"/>
      </c>
      <c r="CP39" s="6">
        <f t="shared" si="49"/>
      </c>
      <c r="CQ39" s="6">
        <f t="shared" si="49"/>
      </c>
      <c r="CR39" s="6">
        <f t="shared" si="49"/>
      </c>
      <c r="CS39" s="6">
        <f t="shared" si="49"/>
      </c>
      <c r="CT39" s="6">
        <f t="shared" si="49"/>
      </c>
      <c r="CU39" s="6">
        <f t="shared" si="49"/>
      </c>
      <c r="CV39" s="6">
        <f t="shared" si="49"/>
      </c>
      <c r="CW39" s="6">
        <f t="shared" si="49"/>
      </c>
      <c r="CX39" s="6">
        <f t="shared" si="49"/>
      </c>
      <c r="CY39" s="6">
        <f t="shared" si="49"/>
      </c>
      <c r="CZ39" s="6">
        <f t="shared" si="49"/>
      </c>
      <c r="DA39" s="6">
        <f t="shared" si="49"/>
      </c>
      <c r="DB39" s="6">
        <f t="shared" si="49"/>
      </c>
      <c r="DC39" s="6">
        <f t="shared" si="49"/>
      </c>
      <c r="DD39" s="6">
        <f t="shared" si="49"/>
      </c>
      <c r="DE39" s="6">
        <f t="shared" si="49"/>
      </c>
      <c r="DF39" s="6">
        <f t="shared" si="49"/>
      </c>
      <c r="DG39" s="6">
        <f t="shared" si="49"/>
      </c>
      <c r="DH39" s="6">
        <f t="shared" si="49"/>
      </c>
      <c r="DI39" s="6">
        <f aca="true" t="shared" si="50" ref="DI39:DN39">UPPER(MID($AU$39,(COLUMN(DI39)-($AV$39+(COLUMN($AW$39)-$AV$39-1))),1))</f>
      </c>
      <c r="DJ39" s="6">
        <f t="shared" si="50"/>
      </c>
      <c r="DK39" s="6">
        <f t="shared" si="50"/>
      </c>
      <c r="DL39" s="6">
        <f t="shared" si="50"/>
      </c>
      <c r="DM39" s="6">
        <f t="shared" si="50"/>
      </c>
      <c r="DN39" s="6">
        <f t="shared" si="50"/>
      </c>
    </row>
    <row r="40" spans="1:47" ht="7.5" customHeight="1">
      <c r="A40" s="858"/>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59"/>
      <c r="AS40" s="845"/>
      <c r="AU40" s="327"/>
    </row>
    <row r="41" spans="1:118" ht="15" customHeight="1">
      <c r="A41" s="830" t="str">
        <f>A15</f>
        <v>COMMUNE/VILLE</v>
      </c>
      <c r="B41" s="831"/>
      <c r="C41" s="831"/>
      <c r="D41" s="831"/>
      <c r="E41" s="831"/>
      <c r="F41" s="831"/>
      <c r="G41" s="831"/>
      <c r="H41" s="320"/>
      <c r="I41" s="332">
        <f aca="true" t="shared" si="51" ref="I41:AQ41">IF(ISERR(AW$39),"",AW$39)</f>
      </c>
      <c r="J41" s="332">
        <f t="shared" si="51"/>
      </c>
      <c r="K41" s="332">
        <f t="shared" si="51"/>
      </c>
      <c r="L41" s="332">
        <f t="shared" si="51"/>
      </c>
      <c r="M41" s="332">
        <f t="shared" si="51"/>
      </c>
      <c r="N41" s="332">
        <f t="shared" si="51"/>
      </c>
      <c r="O41" s="332">
        <f t="shared" si="51"/>
      </c>
      <c r="P41" s="332">
        <f t="shared" si="51"/>
      </c>
      <c r="Q41" s="332">
        <f t="shared" si="51"/>
      </c>
      <c r="R41" s="332">
        <f t="shared" si="51"/>
      </c>
      <c r="S41" s="332">
        <f t="shared" si="51"/>
      </c>
      <c r="T41" s="332">
        <f t="shared" si="51"/>
      </c>
      <c r="U41" s="332">
        <f t="shared" si="51"/>
      </c>
      <c r="V41" s="332">
        <f t="shared" si="51"/>
      </c>
      <c r="W41" s="332">
        <f t="shared" si="51"/>
      </c>
      <c r="X41" s="332">
        <f t="shared" si="51"/>
      </c>
      <c r="Y41" s="332">
        <f t="shared" si="51"/>
      </c>
      <c r="Z41" s="332">
        <f t="shared" si="51"/>
      </c>
      <c r="AA41" s="332">
        <f t="shared" si="51"/>
      </c>
      <c r="AB41" s="332">
        <f t="shared" si="51"/>
      </c>
      <c r="AC41" s="332">
        <f t="shared" si="51"/>
      </c>
      <c r="AD41" s="332">
        <f t="shared" si="51"/>
      </c>
      <c r="AE41" s="332">
        <f t="shared" si="51"/>
      </c>
      <c r="AF41" s="332">
        <f t="shared" si="51"/>
      </c>
      <c r="AG41" s="332">
        <f t="shared" si="51"/>
      </c>
      <c r="AH41" s="332">
        <f t="shared" si="51"/>
      </c>
      <c r="AI41" s="332">
        <f t="shared" si="51"/>
      </c>
      <c r="AJ41" s="332">
        <f t="shared" si="51"/>
      </c>
      <c r="AK41" s="332">
        <f t="shared" si="51"/>
      </c>
      <c r="AL41" s="332">
        <f t="shared" si="51"/>
      </c>
      <c r="AM41" s="332">
        <f t="shared" si="51"/>
      </c>
      <c r="AN41" s="332">
        <f t="shared" si="51"/>
      </c>
      <c r="AO41" s="332">
        <f t="shared" si="51"/>
      </c>
      <c r="AP41" s="332">
        <f t="shared" si="51"/>
      </c>
      <c r="AQ41" s="332">
        <f t="shared" si="51"/>
      </c>
      <c r="AR41" s="322"/>
      <c r="AS41" s="845"/>
      <c r="AU41" s="327">
        <f>IF(Fld_BNK_BE="x",Fld_Bank_CodePostal,"")</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5" ht="7.5" customHeight="1">
      <c r="A42" s="858"/>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59"/>
      <c r="AS42" s="845"/>
    </row>
    <row r="43" spans="1:118" ht="15" customHeight="1">
      <c r="A43" s="830" t="str">
        <f>A17</f>
        <v>CODE POSTAL</v>
      </c>
      <c r="B43" s="831"/>
      <c r="C43" s="831"/>
      <c r="D43" s="831"/>
      <c r="E43" s="831"/>
      <c r="F43" s="831"/>
      <c r="G43" s="831"/>
      <c r="H43" s="320"/>
      <c r="I43" s="332">
        <f>IF(ISERR(AW$41),"",AW$41)</f>
      </c>
      <c r="J43" s="332">
        <f>IF(ISERR(AX$41),"",AX$41)</f>
      </c>
      <c r="K43" s="332">
        <f>IF(ISERR(AY$41),"",AY$41)</f>
      </c>
      <c r="L43" s="332">
        <f>IF(ISERR(AZ$41),"",AZ$41)</f>
      </c>
      <c r="M43" s="832"/>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833"/>
      <c r="AS43" s="845"/>
      <c r="AU43" s="327">
        <f>IF(Fld_BNK_BE="x",Fld_N_Compte,"")</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7.5" customHeight="1">
      <c r="A44" s="827"/>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9"/>
      <c r="AS44" s="845"/>
    </row>
    <row r="45" spans="1:149" ht="15" customHeight="1">
      <c r="A45" s="830" t="s">
        <v>881</v>
      </c>
      <c r="B45" s="831"/>
      <c r="C45" s="831"/>
      <c r="D45" s="831"/>
      <c r="E45" s="831"/>
      <c r="F45" s="831"/>
      <c r="G45" s="831"/>
      <c r="H45" s="320"/>
      <c r="I45" s="331">
        <f aca="true" t="shared" si="58" ref="I45:AQ45">IF(ISERR(AW$45),"",AW$45)</f>
      </c>
      <c r="J45" s="331">
        <f t="shared" si="58"/>
      </c>
      <c r="K45" s="331">
        <f t="shared" si="58"/>
      </c>
      <c r="L45" s="331">
        <f t="shared" si="58"/>
      </c>
      <c r="M45" s="331">
        <f t="shared" si="58"/>
      </c>
      <c r="N45" s="331">
        <f t="shared" si="58"/>
      </c>
      <c r="O45" s="331">
        <f t="shared" si="58"/>
      </c>
      <c r="P45" s="331">
        <f t="shared" si="58"/>
      </c>
      <c r="Q45" s="331">
        <f t="shared" si="58"/>
      </c>
      <c r="R45" s="331">
        <f t="shared" si="58"/>
      </c>
      <c r="S45" s="331">
        <f t="shared" si="58"/>
      </c>
      <c r="T45" s="331">
        <f t="shared" si="58"/>
      </c>
      <c r="U45" s="331">
        <f t="shared" si="58"/>
      </c>
      <c r="V45" s="331">
        <f t="shared" si="58"/>
      </c>
      <c r="W45" s="331">
        <f t="shared" si="58"/>
      </c>
      <c r="X45" s="331">
        <f t="shared" si="58"/>
      </c>
      <c r="Y45" s="331">
        <f t="shared" si="58"/>
      </c>
      <c r="Z45" s="331">
        <f t="shared" si="58"/>
      </c>
      <c r="AA45" s="331">
        <f t="shared" si="58"/>
      </c>
      <c r="AB45" s="331">
        <f t="shared" si="58"/>
      </c>
      <c r="AC45" s="331">
        <f t="shared" si="58"/>
      </c>
      <c r="AD45" s="331">
        <f t="shared" si="58"/>
      </c>
      <c r="AE45" s="331">
        <f t="shared" si="58"/>
      </c>
      <c r="AF45" s="331">
        <f t="shared" si="58"/>
      </c>
      <c r="AG45" s="331">
        <f t="shared" si="58"/>
      </c>
      <c r="AH45" s="331">
        <f t="shared" si="58"/>
      </c>
      <c r="AI45" s="331">
        <f t="shared" si="58"/>
      </c>
      <c r="AJ45" s="331">
        <f t="shared" si="58"/>
      </c>
      <c r="AK45" s="331">
        <f t="shared" si="58"/>
      </c>
      <c r="AL45" s="331">
        <f t="shared" si="58"/>
      </c>
      <c r="AM45" s="331">
        <f t="shared" si="58"/>
      </c>
      <c r="AN45" s="331">
        <f t="shared" si="58"/>
      </c>
      <c r="AO45" s="331">
        <f t="shared" si="58"/>
      </c>
      <c r="AP45" s="331">
        <f t="shared" si="58"/>
      </c>
      <c r="AQ45" s="332">
        <f t="shared" si="58"/>
      </c>
      <c r="AR45" s="323"/>
      <c r="AS45" s="845"/>
      <c r="AU45" s="327">
        <f>IF(Fld_BNK_BE="x",Fld_Swift,"")</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ES45">UPPER(MID($AU$45,(COLUMN(DI45)-($AV$45+(COLUMN($AW$45)-$AV$45-1))),1))</f>
      </c>
      <c r="DJ45" s="6">
        <f t="shared" si="61"/>
      </c>
      <c r="DK45" s="6">
        <f t="shared" si="61"/>
      </c>
      <c r="DL45" s="6">
        <f t="shared" si="61"/>
      </c>
      <c r="DM45" s="6">
        <f t="shared" si="61"/>
      </c>
      <c r="DN45" s="6">
        <f t="shared" si="61"/>
      </c>
      <c r="DO45" s="6">
        <f t="shared" si="61"/>
      </c>
      <c r="DP45" s="6">
        <f t="shared" si="61"/>
      </c>
      <c r="DQ45" s="6">
        <f t="shared" si="61"/>
      </c>
      <c r="DR45" s="6">
        <f t="shared" si="61"/>
      </c>
      <c r="DS45" s="6">
        <f t="shared" si="61"/>
      </c>
      <c r="DT45" s="6">
        <f t="shared" si="61"/>
      </c>
      <c r="DU45" s="6">
        <f t="shared" si="61"/>
      </c>
      <c r="DV45" s="6">
        <f t="shared" si="61"/>
      </c>
      <c r="DW45" s="6">
        <f t="shared" si="61"/>
      </c>
      <c r="DX45" s="6">
        <f t="shared" si="61"/>
      </c>
      <c r="DY45" s="6">
        <f t="shared" si="61"/>
      </c>
      <c r="DZ45" s="6">
        <f t="shared" si="61"/>
      </c>
      <c r="EA45" s="6">
        <f t="shared" si="61"/>
      </c>
      <c r="EB45" s="6">
        <f t="shared" si="61"/>
      </c>
      <c r="EC45" s="6">
        <f t="shared" si="61"/>
      </c>
      <c r="ED45" s="6">
        <f t="shared" si="61"/>
      </c>
      <c r="EE45" s="6">
        <f t="shared" si="61"/>
      </c>
      <c r="EF45" s="6">
        <f t="shared" si="61"/>
      </c>
      <c r="EG45" s="6">
        <f t="shared" si="61"/>
      </c>
      <c r="EH45" s="6">
        <f t="shared" si="61"/>
      </c>
      <c r="EI45" s="6">
        <f t="shared" si="61"/>
      </c>
      <c r="EJ45" s="6">
        <f t="shared" si="61"/>
      </c>
      <c r="EK45" s="6">
        <f t="shared" si="61"/>
      </c>
      <c r="EL45" s="6">
        <f t="shared" si="61"/>
      </c>
      <c r="EM45" s="6">
        <f t="shared" si="61"/>
      </c>
      <c r="EN45" s="6">
        <f t="shared" si="61"/>
      </c>
      <c r="EO45" s="6">
        <f t="shared" si="61"/>
      </c>
      <c r="EP45" s="6">
        <f t="shared" si="61"/>
      </c>
      <c r="EQ45" s="6">
        <f t="shared" si="61"/>
      </c>
      <c r="ER45" s="6">
        <f t="shared" si="61"/>
      </c>
      <c r="ES45" s="6">
        <f t="shared" si="61"/>
      </c>
    </row>
    <row r="46" spans="1:45" ht="7.5" customHeight="1">
      <c r="A46" s="827"/>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9"/>
      <c r="AS46" s="845"/>
    </row>
    <row r="47" spans="1:256" ht="15" customHeight="1">
      <c r="A47" s="830" t="s">
        <v>882</v>
      </c>
      <c r="B47" s="831"/>
      <c r="C47" s="831"/>
      <c r="D47" s="831"/>
      <c r="E47" s="831"/>
      <c r="F47" s="831"/>
      <c r="G47" s="831"/>
      <c r="H47" s="320"/>
      <c r="I47" s="332">
        <f>IF(ISERR(AW$43),"",AW$43)</f>
      </c>
      <c r="J47" s="332">
        <f>IF(ISERR(AX$43),"",AX$43)</f>
      </c>
      <c r="K47" s="332">
        <f>IF(ISERR(AY$43),"",AY$43)</f>
      </c>
      <c r="L47" s="335" t="str">
        <f>"-"</f>
        <v>-</v>
      </c>
      <c r="M47" s="332">
        <f aca="true" t="shared" si="62" ref="M47:S47">IF(ISERR(BA$43),"",BA$43)</f>
      </c>
      <c r="N47" s="332">
        <f t="shared" si="62"/>
      </c>
      <c r="O47" s="332">
        <f t="shared" si="62"/>
      </c>
      <c r="P47" s="332">
        <f t="shared" si="62"/>
      </c>
      <c r="Q47" s="332">
        <f t="shared" si="62"/>
      </c>
      <c r="R47" s="332">
        <f t="shared" si="62"/>
      </c>
      <c r="S47" s="332">
        <f t="shared" si="62"/>
      </c>
      <c r="T47" s="335" t="str">
        <f>"-"</f>
        <v>-</v>
      </c>
      <c r="U47" s="332">
        <f>IF(ISERR(BI$43),"",BI$43)</f>
      </c>
      <c r="V47" s="332">
        <f>IF(ISERR(BJ$43),"",BJ$43)</f>
      </c>
      <c r="W47" s="332">
        <f>IF(ISERR(BK$43),"",BK$43)</f>
      </c>
      <c r="X47" s="851"/>
      <c r="Y47" s="852"/>
      <c r="Z47" s="852"/>
      <c r="AA47" s="852"/>
      <c r="AB47" s="852"/>
      <c r="AC47" s="852"/>
      <c r="AD47" s="852"/>
      <c r="AE47" s="852"/>
      <c r="AF47" s="852"/>
      <c r="AG47" s="852"/>
      <c r="AH47" s="852"/>
      <c r="AI47" s="852"/>
      <c r="AJ47" s="852"/>
      <c r="AK47" s="852"/>
      <c r="AL47" s="852"/>
      <c r="AM47" s="852"/>
      <c r="AN47" s="852"/>
      <c r="AO47" s="852"/>
      <c r="AP47" s="852"/>
      <c r="AQ47" s="852"/>
      <c r="AR47" s="853"/>
      <c r="AS47" s="845"/>
      <c r="AU47" s="327">
        <f>IF(Fld_BNK_BE="x",Fld_Devise,"")</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9" customHeight="1">
      <c r="A48" s="827"/>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9"/>
      <c r="AS48" s="845"/>
    </row>
    <row r="49" spans="1:45" ht="15" customHeight="1">
      <c r="A49" s="830" t="s">
        <v>883</v>
      </c>
      <c r="B49" s="831"/>
      <c r="C49" s="831"/>
      <c r="D49" s="831"/>
      <c r="E49" s="831"/>
      <c r="F49" s="831"/>
      <c r="G49" s="831"/>
      <c r="H49" s="320"/>
      <c r="I49" s="332">
        <f>IF(ISERR(AW$47),"",AW$47)</f>
      </c>
      <c r="J49" s="332">
        <f>IF(ISERR(AX$47),"",AX$47)</f>
      </c>
      <c r="K49" s="332">
        <f>IF(ISERR(AY$47),"",AY$47)</f>
      </c>
      <c r="L49" s="846"/>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8"/>
      <c r="AS49" s="845"/>
    </row>
    <row r="50" spans="1:45" ht="6.75" customHeight="1" thickBot="1">
      <c r="A50" s="834"/>
      <c r="B50" s="835"/>
      <c r="C50" s="835"/>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6"/>
      <c r="AS50" s="845"/>
    </row>
    <row r="51" spans="1:45" ht="15" customHeight="1" thickBot="1" thickTop="1">
      <c r="A51" s="854"/>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45"/>
    </row>
    <row r="52" spans="1:45" ht="6.75" customHeight="1">
      <c r="A52" s="817"/>
      <c r="B52" s="818"/>
      <c r="C52" s="818"/>
      <c r="D52" s="818"/>
      <c r="E52" s="818"/>
      <c r="F52" s="818"/>
      <c r="G52" s="818"/>
      <c r="H52" s="818"/>
      <c r="I52" s="818"/>
      <c r="J52" s="818"/>
      <c r="K52" s="818"/>
      <c r="L52" s="818"/>
      <c r="M52" s="818"/>
      <c r="N52" s="818"/>
      <c r="O52" s="818"/>
      <c r="P52" s="818"/>
      <c r="Q52" s="818"/>
      <c r="R52" s="818"/>
      <c r="S52" s="818"/>
      <c r="T52" s="818"/>
      <c r="U52" s="818"/>
      <c r="V52" s="819"/>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9"/>
      <c r="AS52" s="845"/>
    </row>
    <row r="53" spans="1:45" ht="15" customHeight="1">
      <c r="A53" s="820" t="s">
        <v>911</v>
      </c>
      <c r="B53" s="821"/>
      <c r="C53" s="821"/>
      <c r="D53" s="821"/>
      <c r="E53" s="821"/>
      <c r="F53" s="821"/>
      <c r="G53" s="821"/>
      <c r="H53" s="821"/>
      <c r="I53" s="821"/>
      <c r="J53" s="821"/>
      <c r="K53" s="821"/>
      <c r="L53" s="821"/>
      <c r="M53" s="821"/>
      <c r="N53" s="821"/>
      <c r="O53" s="821"/>
      <c r="P53" s="821"/>
      <c r="Q53" s="821"/>
      <c r="R53" s="821"/>
      <c r="S53" s="821"/>
      <c r="T53" s="821"/>
      <c r="U53" s="821"/>
      <c r="V53" s="822"/>
      <c r="W53" s="823" t="s">
        <v>912</v>
      </c>
      <c r="X53" s="824"/>
      <c r="Y53" s="824"/>
      <c r="Z53" s="824"/>
      <c r="AA53" s="824"/>
      <c r="AB53" s="824"/>
      <c r="AC53" s="824"/>
      <c r="AD53" s="824"/>
      <c r="AE53" s="824"/>
      <c r="AF53" s="824"/>
      <c r="AG53" s="824"/>
      <c r="AH53" s="824"/>
      <c r="AI53" s="824"/>
      <c r="AJ53" s="824"/>
      <c r="AK53" s="824"/>
      <c r="AL53" s="824"/>
      <c r="AM53" s="824"/>
      <c r="AN53" s="824"/>
      <c r="AO53" s="824"/>
      <c r="AP53" s="824"/>
      <c r="AQ53" s="824"/>
      <c r="AR53" s="825"/>
      <c r="AS53" s="845"/>
    </row>
    <row r="54" spans="1:55" ht="15" customHeight="1">
      <c r="A54" s="820"/>
      <c r="B54" s="821"/>
      <c r="C54" s="821"/>
      <c r="D54" s="821"/>
      <c r="E54" s="821"/>
      <c r="F54" s="821"/>
      <c r="G54" s="821"/>
      <c r="H54" s="821"/>
      <c r="I54" s="821"/>
      <c r="J54" s="821"/>
      <c r="K54" s="821"/>
      <c r="L54" s="821"/>
      <c r="M54" s="821"/>
      <c r="N54" s="821"/>
      <c r="O54" s="821"/>
      <c r="P54" s="821"/>
      <c r="Q54" s="821"/>
      <c r="R54" s="821"/>
      <c r="S54" s="821"/>
      <c r="T54" s="821"/>
      <c r="U54" s="821"/>
      <c r="V54" s="822"/>
      <c r="W54" s="826"/>
      <c r="X54" s="824"/>
      <c r="Y54" s="824"/>
      <c r="Z54" s="824"/>
      <c r="AA54" s="824"/>
      <c r="AB54" s="824"/>
      <c r="AC54" s="824"/>
      <c r="AD54" s="824"/>
      <c r="AE54" s="824"/>
      <c r="AF54" s="824"/>
      <c r="AG54" s="824"/>
      <c r="AH54" s="824"/>
      <c r="AI54" s="824"/>
      <c r="AJ54" s="824"/>
      <c r="AK54" s="824"/>
      <c r="AL54" s="824"/>
      <c r="AM54" s="824"/>
      <c r="AN54" s="824"/>
      <c r="AO54" s="824"/>
      <c r="AP54" s="824"/>
      <c r="AQ54" s="824"/>
      <c r="AR54" s="825"/>
      <c r="AS54" s="845"/>
      <c r="BC54" s="6"/>
    </row>
    <row r="55" spans="1:55" s="320" customFormat="1" ht="7.5" customHeight="1">
      <c r="A55" s="837"/>
      <c r="B55" s="838"/>
      <c r="C55" s="838"/>
      <c r="D55" s="838"/>
      <c r="E55" s="838"/>
      <c r="F55" s="838"/>
      <c r="G55" s="838"/>
      <c r="H55" s="838"/>
      <c r="I55" s="838"/>
      <c r="J55" s="838"/>
      <c r="K55" s="838"/>
      <c r="L55" s="838"/>
      <c r="M55" s="838"/>
      <c r="N55" s="838"/>
      <c r="O55" s="838"/>
      <c r="P55" s="838"/>
      <c r="Q55" s="838"/>
      <c r="R55" s="838"/>
      <c r="S55" s="838"/>
      <c r="T55" s="838"/>
      <c r="U55" s="838"/>
      <c r="V55" s="839"/>
      <c r="W55" s="837"/>
      <c r="X55" s="838"/>
      <c r="Y55" s="838"/>
      <c r="Z55" s="838"/>
      <c r="AA55" s="838"/>
      <c r="AB55" s="838"/>
      <c r="AC55" s="838"/>
      <c r="AD55" s="838"/>
      <c r="AE55" s="838"/>
      <c r="AF55" s="838"/>
      <c r="AG55" s="838"/>
      <c r="AH55" s="838"/>
      <c r="AI55" s="838"/>
      <c r="AJ55" s="838"/>
      <c r="AK55" s="838"/>
      <c r="AL55" s="838"/>
      <c r="AM55" s="838"/>
      <c r="AN55" s="838"/>
      <c r="AO55" s="838"/>
      <c r="AP55" s="838"/>
      <c r="AQ55" s="838"/>
      <c r="AR55" s="839"/>
      <c r="AS55" s="845"/>
      <c r="BC55" s="325"/>
    </row>
    <row r="56" spans="1:55" ht="15" customHeight="1">
      <c r="A56" s="837"/>
      <c r="B56" s="838"/>
      <c r="C56" s="838"/>
      <c r="D56" s="838"/>
      <c r="E56" s="838"/>
      <c r="F56" s="838"/>
      <c r="G56" s="838"/>
      <c r="H56" s="838"/>
      <c r="I56" s="838"/>
      <c r="J56" s="838"/>
      <c r="K56" s="838"/>
      <c r="L56" s="838"/>
      <c r="M56" s="838"/>
      <c r="N56" s="838"/>
      <c r="O56" s="838"/>
      <c r="P56" s="838"/>
      <c r="Q56" s="838"/>
      <c r="R56" s="838"/>
      <c r="S56" s="838"/>
      <c r="T56" s="838"/>
      <c r="U56" s="838"/>
      <c r="V56" s="839"/>
      <c r="W56" s="837"/>
      <c r="X56" s="838"/>
      <c r="Y56" s="838"/>
      <c r="Z56" s="838"/>
      <c r="AA56" s="838"/>
      <c r="AB56" s="838"/>
      <c r="AC56" s="838"/>
      <c r="AD56" s="838"/>
      <c r="AE56" s="838"/>
      <c r="AF56" s="838"/>
      <c r="AG56" s="838"/>
      <c r="AH56" s="838"/>
      <c r="AI56" s="838"/>
      <c r="AJ56" s="838"/>
      <c r="AK56" s="838"/>
      <c r="AL56" s="838"/>
      <c r="AM56" s="838"/>
      <c r="AN56" s="838"/>
      <c r="AO56" s="838"/>
      <c r="AP56" s="838"/>
      <c r="AQ56" s="838"/>
      <c r="AR56" s="839"/>
      <c r="AS56" s="845"/>
      <c r="BC56" s="6"/>
    </row>
    <row r="57" spans="1:45" ht="9" customHeight="1">
      <c r="A57" s="837"/>
      <c r="B57" s="838"/>
      <c r="C57" s="838"/>
      <c r="D57" s="838"/>
      <c r="E57" s="838"/>
      <c r="F57" s="838"/>
      <c r="G57" s="838"/>
      <c r="H57" s="838"/>
      <c r="I57" s="838"/>
      <c r="J57" s="838"/>
      <c r="K57" s="838"/>
      <c r="L57" s="838"/>
      <c r="M57" s="838"/>
      <c r="N57" s="838"/>
      <c r="O57" s="838"/>
      <c r="P57" s="838"/>
      <c r="Q57" s="838"/>
      <c r="R57" s="838"/>
      <c r="S57" s="838"/>
      <c r="T57" s="838"/>
      <c r="U57" s="838"/>
      <c r="V57" s="839"/>
      <c r="W57" s="837"/>
      <c r="X57" s="838"/>
      <c r="Y57" s="838"/>
      <c r="Z57" s="838"/>
      <c r="AA57" s="838"/>
      <c r="AB57" s="838"/>
      <c r="AC57" s="838"/>
      <c r="AD57" s="838"/>
      <c r="AE57" s="838"/>
      <c r="AF57" s="838"/>
      <c r="AG57" s="838"/>
      <c r="AH57" s="838"/>
      <c r="AI57" s="838"/>
      <c r="AJ57" s="838"/>
      <c r="AK57" s="838"/>
      <c r="AL57" s="838"/>
      <c r="AM57" s="838"/>
      <c r="AN57" s="838"/>
      <c r="AO57" s="838"/>
      <c r="AP57" s="838"/>
      <c r="AQ57" s="838"/>
      <c r="AR57" s="839"/>
      <c r="AS57" s="845"/>
    </row>
    <row r="58" spans="1:55" ht="15" customHeight="1">
      <c r="A58" s="837"/>
      <c r="B58" s="838"/>
      <c r="C58" s="838"/>
      <c r="D58" s="838"/>
      <c r="E58" s="838"/>
      <c r="F58" s="838"/>
      <c r="G58" s="838"/>
      <c r="H58" s="838"/>
      <c r="I58" s="838"/>
      <c r="J58" s="838"/>
      <c r="K58" s="838"/>
      <c r="L58" s="838"/>
      <c r="M58" s="838"/>
      <c r="N58" s="838"/>
      <c r="O58" s="838"/>
      <c r="P58" s="838"/>
      <c r="Q58" s="838"/>
      <c r="R58" s="838"/>
      <c r="S58" s="838"/>
      <c r="T58" s="838"/>
      <c r="U58" s="838"/>
      <c r="V58" s="839"/>
      <c r="W58" s="837"/>
      <c r="X58" s="838"/>
      <c r="Y58" s="838"/>
      <c r="Z58" s="838"/>
      <c r="AA58" s="838"/>
      <c r="AB58" s="838"/>
      <c r="AC58" s="838"/>
      <c r="AD58" s="838"/>
      <c r="AE58" s="838"/>
      <c r="AF58" s="838"/>
      <c r="AG58" s="838"/>
      <c r="AH58" s="838"/>
      <c r="AI58" s="838"/>
      <c r="AJ58" s="838"/>
      <c r="AK58" s="838"/>
      <c r="AL58" s="838"/>
      <c r="AM58" s="838"/>
      <c r="AN58" s="838"/>
      <c r="AO58" s="838"/>
      <c r="AP58" s="838"/>
      <c r="AQ58" s="838"/>
      <c r="AR58" s="839"/>
      <c r="AS58" s="845"/>
      <c r="BC58" s="6"/>
    </row>
    <row r="59" spans="1:45" ht="7.5" customHeight="1">
      <c r="A59" s="837"/>
      <c r="B59" s="838"/>
      <c r="C59" s="838"/>
      <c r="D59" s="838"/>
      <c r="E59" s="838"/>
      <c r="F59" s="838"/>
      <c r="G59" s="838"/>
      <c r="H59" s="838"/>
      <c r="I59" s="838"/>
      <c r="J59" s="838"/>
      <c r="K59" s="838"/>
      <c r="L59" s="838"/>
      <c r="M59" s="838"/>
      <c r="N59" s="838"/>
      <c r="O59" s="838"/>
      <c r="P59" s="838"/>
      <c r="Q59" s="838"/>
      <c r="R59" s="838"/>
      <c r="S59" s="838"/>
      <c r="T59" s="838"/>
      <c r="U59" s="838"/>
      <c r="V59" s="839"/>
      <c r="W59" s="837"/>
      <c r="X59" s="838"/>
      <c r="Y59" s="838"/>
      <c r="Z59" s="838"/>
      <c r="AA59" s="838"/>
      <c r="AB59" s="838"/>
      <c r="AC59" s="838"/>
      <c r="AD59" s="838"/>
      <c r="AE59" s="838"/>
      <c r="AF59" s="838"/>
      <c r="AG59" s="838"/>
      <c r="AH59" s="838"/>
      <c r="AI59" s="838"/>
      <c r="AJ59" s="838"/>
      <c r="AK59" s="838"/>
      <c r="AL59" s="838"/>
      <c r="AM59" s="838"/>
      <c r="AN59" s="838"/>
      <c r="AO59" s="838"/>
      <c r="AP59" s="838"/>
      <c r="AQ59" s="838"/>
      <c r="AR59" s="839"/>
      <c r="AS59" s="845"/>
    </row>
    <row r="60" spans="1:55" ht="15" customHeight="1">
      <c r="A60" s="837"/>
      <c r="B60" s="838"/>
      <c r="C60" s="838"/>
      <c r="D60" s="838"/>
      <c r="E60" s="838"/>
      <c r="F60" s="838"/>
      <c r="G60" s="838"/>
      <c r="H60" s="838"/>
      <c r="I60" s="838"/>
      <c r="J60" s="838"/>
      <c r="K60" s="838"/>
      <c r="L60" s="838"/>
      <c r="M60" s="838"/>
      <c r="N60" s="838"/>
      <c r="O60" s="838"/>
      <c r="P60" s="838"/>
      <c r="Q60" s="838"/>
      <c r="R60" s="838"/>
      <c r="S60" s="838"/>
      <c r="T60" s="838"/>
      <c r="U60" s="838"/>
      <c r="V60" s="839"/>
      <c r="W60" s="837"/>
      <c r="X60" s="838"/>
      <c r="Y60" s="838"/>
      <c r="Z60" s="838"/>
      <c r="AA60" s="838"/>
      <c r="AB60" s="838"/>
      <c r="AC60" s="838"/>
      <c r="AD60" s="838"/>
      <c r="AE60" s="838"/>
      <c r="AF60" s="838"/>
      <c r="AG60" s="838"/>
      <c r="AH60" s="838"/>
      <c r="AI60" s="838"/>
      <c r="AJ60" s="838"/>
      <c r="AK60" s="838"/>
      <c r="AL60" s="838"/>
      <c r="AM60" s="838"/>
      <c r="AN60" s="838"/>
      <c r="AO60" s="838"/>
      <c r="AP60" s="838"/>
      <c r="AQ60" s="838"/>
      <c r="AR60" s="839"/>
      <c r="AS60" s="845"/>
      <c r="BC60" s="6"/>
    </row>
    <row r="61" spans="1:45" ht="9" customHeight="1">
      <c r="A61" s="837"/>
      <c r="B61" s="838"/>
      <c r="C61" s="838"/>
      <c r="D61" s="838"/>
      <c r="E61" s="838"/>
      <c r="F61" s="838"/>
      <c r="G61" s="838"/>
      <c r="H61" s="838"/>
      <c r="I61" s="838"/>
      <c r="J61" s="838"/>
      <c r="K61" s="838"/>
      <c r="L61" s="838"/>
      <c r="M61" s="838"/>
      <c r="N61" s="838"/>
      <c r="O61" s="838"/>
      <c r="P61" s="838"/>
      <c r="Q61" s="838"/>
      <c r="R61" s="838"/>
      <c r="S61" s="838"/>
      <c r="T61" s="838"/>
      <c r="U61" s="838"/>
      <c r="V61" s="839"/>
      <c r="W61" s="837"/>
      <c r="X61" s="838"/>
      <c r="Y61" s="838"/>
      <c r="Z61" s="838"/>
      <c r="AA61" s="838"/>
      <c r="AB61" s="838"/>
      <c r="AC61" s="838"/>
      <c r="AD61" s="838"/>
      <c r="AE61" s="838"/>
      <c r="AF61" s="838"/>
      <c r="AG61" s="838"/>
      <c r="AH61" s="838"/>
      <c r="AI61" s="838"/>
      <c r="AJ61" s="838"/>
      <c r="AK61" s="838"/>
      <c r="AL61" s="838"/>
      <c r="AM61" s="838"/>
      <c r="AN61" s="838"/>
      <c r="AO61" s="838"/>
      <c r="AP61" s="838"/>
      <c r="AQ61" s="838"/>
      <c r="AR61" s="839"/>
      <c r="AS61" s="845"/>
    </row>
    <row r="62" spans="1:55" ht="15" customHeight="1">
      <c r="A62" s="837"/>
      <c r="B62" s="838"/>
      <c r="C62" s="838"/>
      <c r="D62" s="838"/>
      <c r="E62" s="838"/>
      <c r="F62" s="838"/>
      <c r="G62" s="838"/>
      <c r="H62" s="838"/>
      <c r="I62" s="838"/>
      <c r="J62" s="838"/>
      <c r="K62" s="838"/>
      <c r="L62" s="838"/>
      <c r="M62" s="838"/>
      <c r="N62" s="838"/>
      <c r="O62" s="838"/>
      <c r="P62" s="838"/>
      <c r="Q62" s="838"/>
      <c r="R62" s="838"/>
      <c r="S62" s="838"/>
      <c r="T62" s="838"/>
      <c r="U62" s="838"/>
      <c r="V62" s="839"/>
      <c r="W62" s="837"/>
      <c r="X62" s="838"/>
      <c r="Y62" s="838"/>
      <c r="Z62" s="838"/>
      <c r="AA62" s="838"/>
      <c r="AB62" s="838"/>
      <c r="AC62" s="838"/>
      <c r="AD62" s="838"/>
      <c r="AE62" s="838"/>
      <c r="AF62" s="838"/>
      <c r="AG62" s="838"/>
      <c r="AH62" s="838"/>
      <c r="AI62" s="838"/>
      <c r="AJ62" s="838"/>
      <c r="AK62" s="838"/>
      <c r="AL62" s="838"/>
      <c r="AM62" s="838"/>
      <c r="AN62" s="838"/>
      <c r="AO62" s="838"/>
      <c r="AP62" s="838"/>
      <c r="AQ62" s="838"/>
      <c r="AR62" s="839"/>
      <c r="AS62" s="845"/>
      <c r="BC62" s="6"/>
    </row>
    <row r="63" spans="1:45" ht="7.5" customHeight="1">
      <c r="A63" s="837"/>
      <c r="B63" s="838"/>
      <c r="C63" s="838"/>
      <c r="D63" s="838"/>
      <c r="E63" s="838"/>
      <c r="F63" s="838"/>
      <c r="G63" s="838"/>
      <c r="H63" s="838"/>
      <c r="I63" s="838"/>
      <c r="J63" s="838"/>
      <c r="K63" s="838"/>
      <c r="L63" s="838"/>
      <c r="M63" s="838"/>
      <c r="N63" s="838"/>
      <c r="O63" s="838"/>
      <c r="P63" s="838"/>
      <c r="Q63" s="838"/>
      <c r="R63" s="838"/>
      <c r="S63" s="838"/>
      <c r="T63" s="838"/>
      <c r="U63" s="838"/>
      <c r="V63" s="839"/>
      <c r="W63" s="837"/>
      <c r="X63" s="838"/>
      <c r="Y63" s="838"/>
      <c r="Z63" s="838"/>
      <c r="AA63" s="838"/>
      <c r="AB63" s="838"/>
      <c r="AC63" s="838"/>
      <c r="AD63" s="838"/>
      <c r="AE63" s="838"/>
      <c r="AF63" s="838"/>
      <c r="AG63" s="838"/>
      <c r="AH63" s="838"/>
      <c r="AI63" s="838"/>
      <c r="AJ63" s="838"/>
      <c r="AK63" s="838"/>
      <c r="AL63" s="838"/>
      <c r="AM63" s="838"/>
      <c r="AN63" s="838"/>
      <c r="AO63" s="838"/>
      <c r="AP63" s="838"/>
      <c r="AQ63" s="838"/>
      <c r="AR63" s="839"/>
      <c r="AS63" s="845"/>
    </row>
    <row r="64" spans="1:55" ht="15" customHeight="1">
      <c r="A64" s="837"/>
      <c r="B64" s="838"/>
      <c r="C64" s="838"/>
      <c r="D64" s="838"/>
      <c r="E64" s="838"/>
      <c r="F64" s="838"/>
      <c r="G64" s="838"/>
      <c r="H64" s="838"/>
      <c r="I64" s="838"/>
      <c r="J64" s="838"/>
      <c r="K64" s="838"/>
      <c r="L64" s="838"/>
      <c r="M64" s="838"/>
      <c r="N64" s="838"/>
      <c r="O64" s="838"/>
      <c r="P64" s="838"/>
      <c r="Q64" s="838"/>
      <c r="R64" s="838"/>
      <c r="S64" s="838"/>
      <c r="T64" s="838"/>
      <c r="U64" s="838"/>
      <c r="V64" s="839"/>
      <c r="W64" s="837"/>
      <c r="X64" s="838"/>
      <c r="Y64" s="838"/>
      <c r="Z64" s="838"/>
      <c r="AA64" s="838"/>
      <c r="AB64" s="838"/>
      <c r="AC64" s="838"/>
      <c r="AD64" s="838"/>
      <c r="AE64" s="838"/>
      <c r="AF64" s="838"/>
      <c r="AG64" s="838"/>
      <c r="AH64" s="838"/>
      <c r="AI64" s="838"/>
      <c r="AJ64" s="838"/>
      <c r="AK64" s="838"/>
      <c r="AL64" s="838"/>
      <c r="AM64" s="838"/>
      <c r="AN64" s="838"/>
      <c r="AO64" s="838"/>
      <c r="AP64" s="838"/>
      <c r="AQ64" s="838"/>
      <c r="AR64" s="839"/>
      <c r="AS64" s="845"/>
      <c r="BC64" s="6"/>
    </row>
    <row r="65" spans="1:45" ht="7.5" customHeight="1">
      <c r="A65" s="837"/>
      <c r="B65" s="838"/>
      <c r="C65" s="838"/>
      <c r="D65" s="838"/>
      <c r="E65" s="838"/>
      <c r="F65" s="838"/>
      <c r="G65" s="838"/>
      <c r="H65" s="838"/>
      <c r="I65" s="838"/>
      <c r="J65" s="838"/>
      <c r="K65" s="838"/>
      <c r="L65" s="838"/>
      <c r="M65" s="838"/>
      <c r="N65" s="838"/>
      <c r="O65" s="838"/>
      <c r="P65" s="838"/>
      <c r="Q65" s="838"/>
      <c r="R65" s="838"/>
      <c r="S65" s="838"/>
      <c r="T65" s="838"/>
      <c r="U65" s="838"/>
      <c r="V65" s="839"/>
      <c r="W65" s="837"/>
      <c r="X65" s="838"/>
      <c r="Y65" s="838"/>
      <c r="Z65" s="838"/>
      <c r="AA65" s="838"/>
      <c r="AB65" s="838"/>
      <c r="AC65" s="838"/>
      <c r="AD65" s="838"/>
      <c r="AE65" s="838"/>
      <c r="AF65" s="838"/>
      <c r="AG65" s="838"/>
      <c r="AH65" s="838"/>
      <c r="AI65" s="838"/>
      <c r="AJ65" s="838"/>
      <c r="AK65" s="838"/>
      <c r="AL65" s="838"/>
      <c r="AM65" s="838"/>
      <c r="AN65" s="838"/>
      <c r="AO65" s="838"/>
      <c r="AP65" s="838"/>
      <c r="AQ65" s="838"/>
      <c r="AR65" s="839"/>
      <c r="AS65" s="845"/>
    </row>
    <row r="66" spans="1:45" ht="15" customHeight="1">
      <c r="A66" s="837"/>
      <c r="B66" s="838"/>
      <c r="C66" s="838"/>
      <c r="D66" s="838"/>
      <c r="E66" s="838"/>
      <c r="F66" s="838"/>
      <c r="G66" s="838"/>
      <c r="H66" s="838"/>
      <c r="I66" s="838"/>
      <c r="J66" s="838"/>
      <c r="K66" s="838"/>
      <c r="L66" s="838"/>
      <c r="M66" s="838"/>
      <c r="N66" s="838"/>
      <c r="O66" s="838"/>
      <c r="P66" s="838"/>
      <c r="Q66" s="838"/>
      <c r="R66" s="838"/>
      <c r="S66" s="838"/>
      <c r="T66" s="838"/>
      <c r="U66" s="838"/>
      <c r="V66" s="839"/>
      <c r="W66" s="837"/>
      <c r="X66" s="838"/>
      <c r="Y66" s="838"/>
      <c r="Z66" s="838"/>
      <c r="AA66" s="838"/>
      <c r="AB66" s="838"/>
      <c r="AC66" s="838"/>
      <c r="AD66" s="838"/>
      <c r="AE66" s="838"/>
      <c r="AF66" s="838"/>
      <c r="AG66" s="838"/>
      <c r="AH66" s="838"/>
      <c r="AI66" s="838"/>
      <c r="AJ66" s="838"/>
      <c r="AK66" s="838"/>
      <c r="AL66" s="838"/>
      <c r="AM66" s="838"/>
      <c r="AN66" s="838"/>
      <c r="AO66" s="838"/>
      <c r="AP66" s="838"/>
      <c r="AQ66" s="838"/>
      <c r="AR66" s="839"/>
      <c r="AS66" s="845"/>
    </row>
    <row r="67" spans="1:45" ht="15" customHeight="1" thickBot="1">
      <c r="A67" s="840"/>
      <c r="B67" s="841"/>
      <c r="C67" s="841"/>
      <c r="D67" s="841"/>
      <c r="E67" s="841"/>
      <c r="F67" s="841"/>
      <c r="G67" s="841"/>
      <c r="H67" s="841"/>
      <c r="I67" s="841"/>
      <c r="J67" s="841"/>
      <c r="K67" s="841"/>
      <c r="L67" s="841"/>
      <c r="M67" s="841"/>
      <c r="N67" s="841"/>
      <c r="O67" s="841"/>
      <c r="P67" s="841"/>
      <c r="Q67" s="841"/>
      <c r="R67" s="841"/>
      <c r="S67" s="841"/>
      <c r="T67" s="841"/>
      <c r="U67" s="841"/>
      <c r="V67" s="842"/>
      <c r="W67" s="840"/>
      <c r="X67" s="841"/>
      <c r="Y67" s="841"/>
      <c r="Z67" s="841"/>
      <c r="AA67" s="841"/>
      <c r="AB67" s="841"/>
      <c r="AC67" s="841"/>
      <c r="AD67" s="841"/>
      <c r="AE67" s="841"/>
      <c r="AF67" s="841"/>
      <c r="AG67" s="841"/>
      <c r="AH67" s="841"/>
      <c r="AI67" s="841"/>
      <c r="AJ67" s="841"/>
      <c r="AK67" s="841"/>
      <c r="AL67" s="841"/>
      <c r="AM67" s="841"/>
      <c r="AN67" s="841"/>
      <c r="AO67" s="841"/>
      <c r="AP67" s="841"/>
      <c r="AQ67" s="841"/>
      <c r="AR67" s="842"/>
      <c r="AS67" s="845"/>
    </row>
    <row r="68" spans="1:45" ht="15" customHeight="1">
      <c r="A68" s="849"/>
      <c r="B68" s="849"/>
      <c r="C68" s="849"/>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5"/>
    </row>
    <row r="69" spans="1:45" ht="15" customHeight="1">
      <c r="A69" s="844" t="s">
        <v>884</v>
      </c>
      <c r="B69" s="844"/>
      <c r="C69" s="843"/>
      <c r="D69" s="843"/>
      <c r="E69" s="843"/>
      <c r="F69" s="843"/>
      <c r="G69" s="843"/>
      <c r="H69" s="843"/>
      <c r="I69" s="843"/>
      <c r="J69" s="843"/>
      <c r="K69" s="843"/>
      <c r="L69" s="843"/>
      <c r="M69" s="843"/>
      <c r="N69" s="843"/>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320"/>
      <c r="AS69" s="845"/>
    </row>
    <row r="70" spans="1:45" ht="15" customHeight="1">
      <c r="A70" s="849"/>
      <c r="B70" s="849"/>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320"/>
      <c r="AS70" s="845"/>
    </row>
    <row r="71" spans="1:45" ht="15" customHeight="1">
      <c r="A71" s="844"/>
      <c r="B71" s="844"/>
      <c r="C71" s="843"/>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320"/>
      <c r="AS71" s="845"/>
    </row>
    <row r="72" spans="1:45" ht="15" customHeight="1">
      <c r="A72" s="844"/>
      <c r="B72" s="844"/>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45"/>
    </row>
    <row r="73" spans="1:45" ht="72" customHeight="1">
      <c r="A73" s="844"/>
      <c r="B73" s="844"/>
      <c r="C73" s="844"/>
      <c r="D73" s="844"/>
      <c r="E73" s="844"/>
      <c r="F73" s="844"/>
      <c r="G73" s="844"/>
      <c r="H73" s="844"/>
      <c r="I73" s="844"/>
      <c r="J73" s="844"/>
      <c r="K73" s="844"/>
      <c r="L73" s="844"/>
      <c r="M73" s="844"/>
      <c r="N73" s="844"/>
      <c r="O73" s="844"/>
      <c r="P73" s="844"/>
      <c r="Q73" s="844"/>
      <c r="R73" s="844"/>
      <c r="S73" s="844"/>
      <c r="T73" s="844"/>
      <c r="U73" s="844"/>
      <c r="V73" s="844"/>
      <c r="W73" s="844"/>
      <c r="X73" s="844"/>
      <c r="Y73" s="844"/>
      <c r="Z73" s="844"/>
      <c r="AA73" s="844"/>
      <c r="AB73" s="844"/>
      <c r="AC73" s="844"/>
      <c r="AD73" s="844"/>
      <c r="AE73" s="844"/>
      <c r="AF73" s="844"/>
      <c r="AG73" s="844"/>
      <c r="AH73" s="844"/>
      <c r="AI73" s="844"/>
      <c r="AJ73" s="844"/>
      <c r="AK73" s="844"/>
      <c r="AL73" s="844"/>
      <c r="AM73" s="844"/>
      <c r="AN73" s="844"/>
      <c r="AO73" s="844"/>
      <c r="AP73" s="844"/>
      <c r="AQ73" s="844"/>
      <c r="AR73" s="844"/>
      <c r="AS73" s="845"/>
    </row>
    <row r="74" spans="1:45" ht="15" customHeight="1">
      <c r="A74" s="877" t="s">
        <v>885</v>
      </c>
      <c r="B74" s="877"/>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45"/>
    </row>
    <row r="75" spans="1:45" ht="15" customHeight="1">
      <c r="A75" s="878" t="s">
        <v>624</v>
      </c>
      <c r="B75" s="878"/>
      <c r="C75" s="878"/>
      <c r="D75" s="878"/>
      <c r="E75" s="878"/>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878"/>
      <c r="AK75" s="878"/>
      <c r="AL75" s="878"/>
      <c r="AM75" s="878"/>
      <c r="AN75" s="878"/>
      <c r="AO75" s="878"/>
      <c r="AP75" s="878"/>
      <c r="AQ75" s="878"/>
      <c r="AR75" s="878"/>
      <c r="AS75" s="845"/>
    </row>
    <row r="76" spans="1:45" ht="15" customHeight="1" thickBot="1">
      <c r="A76" s="879"/>
      <c r="B76" s="879"/>
      <c r="C76" s="879"/>
      <c r="D76" s="879"/>
      <c r="E76" s="879"/>
      <c r="F76" s="879"/>
      <c r="G76" s="879"/>
      <c r="H76" s="879"/>
      <c r="I76" s="879"/>
      <c r="J76" s="879"/>
      <c r="K76" s="879"/>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c r="AI76" s="879"/>
      <c r="AJ76" s="879"/>
      <c r="AK76" s="879"/>
      <c r="AL76" s="879"/>
      <c r="AM76" s="879"/>
      <c r="AN76" s="879"/>
      <c r="AO76" s="879"/>
      <c r="AP76" s="879"/>
      <c r="AQ76" s="879"/>
      <c r="AR76" s="879"/>
      <c r="AS76" s="845"/>
    </row>
    <row r="77" spans="1:45" ht="6.75" customHeight="1" thickTop="1">
      <c r="A77" s="875"/>
      <c r="B77" s="854"/>
      <c r="C77" s="854"/>
      <c r="D77" s="854"/>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76"/>
      <c r="AS77" s="845"/>
    </row>
    <row r="78" spans="1:45" ht="15" customHeight="1">
      <c r="A78" s="863" t="s">
        <v>886</v>
      </c>
      <c r="B78" s="864"/>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5"/>
      <c r="AS78" s="845"/>
    </row>
    <row r="79" spans="1:55" s="320" customFormat="1" ht="7.5" customHeight="1">
      <c r="A79" s="858"/>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59"/>
      <c r="AS79" s="845"/>
      <c r="BC79" s="325"/>
    </row>
    <row r="80" spans="1:45" ht="15" customHeight="1">
      <c r="A80" s="830" t="s">
        <v>1886</v>
      </c>
      <c r="B80" s="831"/>
      <c r="C80" s="831"/>
      <c r="D80" s="831"/>
      <c r="E80" s="831"/>
      <c r="F80" s="831"/>
      <c r="G80" s="831"/>
      <c r="H80" s="320"/>
      <c r="I80" s="331">
        <f aca="true" t="shared" si="67" ref="I80:AQ80">IF(ISERR(AW$7),"",AW$7)</f>
      </c>
      <c r="J80" s="331">
        <f t="shared" si="67"/>
      </c>
      <c r="K80" s="331">
        <f t="shared" si="67"/>
      </c>
      <c r="L80" s="331">
        <f t="shared" si="67"/>
      </c>
      <c r="M80" s="331">
        <f t="shared" si="67"/>
      </c>
      <c r="N80" s="331">
        <f t="shared" si="67"/>
      </c>
      <c r="O80" s="331">
        <f t="shared" si="67"/>
      </c>
      <c r="P80" s="331">
        <f t="shared" si="67"/>
      </c>
      <c r="Q80" s="331">
        <f t="shared" si="67"/>
      </c>
      <c r="R80" s="331">
        <f t="shared" si="67"/>
      </c>
      <c r="S80" s="331">
        <f t="shared" si="67"/>
      </c>
      <c r="T80" s="331">
        <f t="shared" si="67"/>
      </c>
      <c r="U80" s="331">
        <f t="shared" si="67"/>
      </c>
      <c r="V80" s="331">
        <f t="shared" si="67"/>
      </c>
      <c r="W80" s="331">
        <f t="shared" si="67"/>
      </c>
      <c r="X80" s="331">
        <f t="shared" si="67"/>
      </c>
      <c r="Y80" s="331">
        <f t="shared" si="67"/>
      </c>
      <c r="Z80" s="331">
        <f t="shared" si="67"/>
      </c>
      <c r="AA80" s="331">
        <f t="shared" si="67"/>
      </c>
      <c r="AB80" s="331">
        <f t="shared" si="67"/>
      </c>
      <c r="AC80" s="331">
        <f t="shared" si="67"/>
      </c>
      <c r="AD80" s="331">
        <f t="shared" si="67"/>
      </c>
      <c r="AE80" s="331">
        <f t="shared" si="67"/>
      </c>
      <c r="AF80" s="331">
        <f t="shared" si="67"/>
      </c>
      <c r="AG80" s="331">
        <f t="shared" si="67"/>
      </c>
      <c r="AH80" s="331">
        <f t="shared" si="67"/>
      </c>
      <c r="AI80" s="331">
        <f t="shared" si="67"/>
      </c>
      <c r="AJ80" s="331">
        <f t="shared" si="67"/>
      </c>
      <c r="AK80" s="331">
        <f t="shared" si="67"/>
      </c>
      <c r="AL80" s="331">
        <f t="shared" si="67"/>
      </c>
      <c r="AM80" s="331">
        <f t="shared" si="67"/>
      </c>
      <c r="AN80" s="331">
        <f t="shared" si="67"/>
      </c>
      <c r="AO80" s="331">
        <f t="shared" si="67"/>
      </c>
      <c r="AP80" s="331">
        <f t="shared" si="67"/>
      </c>
      <c r="AQ80" s="332">
        <f t="shared" si="67"/>
      </c>
      <c r="AR80" s="322"/>
      <c r="AS80" s="845"/>
    </row>
    <row r="81" spans="1:45" ht="15" customHeight="1">
      <c r="A81" s="856"/>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873"/>
      <c r="AS81" s="845"/>
    </row>
    <row r="82" spans="1:45" ht="15" customHeight="1">
      <c r="A82" s="858"/>
      <c r="B82" s="882"/>
      <c r="C82" s="882"/>
      <c r="D82" s="882"/>
      <c r="E82" s="882"/>
      <c r="F82" s="882"/>
      <c r="G82" s="882"/>
      <c r="H82" s="883"/>
      <c r="I82" s="331">
        <f aca="true" t="shared" si="68" ref="I82:AQ82">IF(ISERR(CF$7),"",CF$7)</f>
      </c>
      <c r="J82" s="331">
        <f t="shared" si="68"/>
      </c>
      <c r="K82" s="331">
        <f t="shared" si="68"/>
      </c>
      <c r="L82" s="331">
        <f t="shared" si="68"/>
      </c>
      <c r="M82" s="331">
        <f t="shared" si="68"/>
      </c>
      <c r="N82" s="331">
        <f t="shared" si="68"/>
      </c>
      <c r="O82" s="331">
        <f t="shared" si="68"/>
      </c>
      <c r="P82" s="331">
        <f t="shared" si="68"/>
      </c>
      <c r="Q82" s="331">
        <f t="shared" si="68"/>
      </c>
      <c r="R82" s="331">
        <f t="shared" si="68"/>
      </c>
      <c r="S82" s="331">
        <f t="shared" si="68"/>
      </c>
      <c r="T82" s="331">
        <f t="shared" si="68"/>
      </c>
      <c r="U82" s="331">
        <f t="shared" si="68"/>
      </c>
      <c r="V82" s="331">
        <f t="shared" si="68"/>
      </c>
      <c r="W82" s="331">
        <f t="shared" si="68"/>
      </c>
      <c r="X82" s="331">
        <f t="shared" si="68"/>
      </c>
      <c r="Y82" s="331">
        <f t="shared" si="68"/>
      </c>
      <c r="Z82" s="331">
        <f t="shared" si="68"/>
      </c>
      <c r="AA82" s="331">
        <f t="shared" si="68"/>
      </c>
      <c r="AB82" s="331">
        <f t="shared" si="68"/>
      </c>
      <c r="AC82" s="331">
        <f t="shared" si="68"/>
      </c>
      <c r="AD82" s="331">
        <f t="shared" si="68"/>
      </c>
      <c r="AE82" s="331">
        <f t="shared" si="68"/>
      </c>
      <c r="AF82" s="331">
        <f t="shared" si="68"/>
      </c>
      <c r="AG82" s="331">
        <f t="shared" si="68"/>
      </c>
      <c r="AH82" s="331">
        <f t="shared" si="68"/>
      </c>
      <c r="AI82" s="331">
        <f t="shared" si="68"/>
      </c>
      <c r="AJ82" s="331">
        <f t="shared" si="68"/>
      </c>
      <c r="AK82" s="331">
        <f t="shared" si="68"/>
      </c>
      <c r="AL82" s="331">
        <f t="shared" si="68"/>
      </c>
      <c r="AM82" s="331">
        <f t="shared" si="68"/>
      </c>
      <c r="AN82" s="331">
        <f t="shared" si="68"/>
      </c>
      <c r="AO82" s="331">
        <f t="shared" si="68"/>
      </c>
      <c r="AP82" s="331">
        <f t="shared" si="68"/>
      </c>
      <c r="AQ82" s="332">
        <f t="shared" si="68"/>
      </c>
      <c r="AR82" s="322"/>
      <c r="AS82" s="845"/>
    </row>
    <row r="83" spans="1:45" ht="15" customHeight="1">
      <c r="A83" s="858"/>
      <c r="B83" s="849"/>
      <c r="C83" s="849"/>
      <c r="D83" s="849"/>
      <c r="E83" s="849"/>
      <c r="F83" s="849"/>
      <c r="G83" s="849"/>
      <c r="H83" s="849"/>
      <c r="I83" s="849"/>
      <c r="J83" s="849"/>
      <c r="K83" s="849"/>
      <c r="L83" s="849"/>
      <c r="M83" s="849"/>
      <c r="N83" s="849"/>
      <c r="O83" s="849"/>
      <c r="P83" s="849"/>
      <c r="Q83" s="84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59"/>
      <c r="AS83" s="845"/>
    </row>
    <row r="84" spans="1:45" ht="15" customHeight="1">
      <c r="A84" s="867" t="s">
        <v>887</v>
      </c>
      <c r="B84" s="868"/>
      <c r="C84" s="868"/>
      <c r="D84" s="868"/>
      <c r="E84" s="868"/>
      <c r="F84" s="868"/>
      <c r="G84" s="868"/>
      <c r="H84" s="320"/>
      <c r="I84" s="331">
        <f aca="true" t="shared" si="69" ref="I84:AQ84">IF(ISERR(AW$11),"",AW$11)</f>
      </c>
      <c r="J84" s="331">
        <f t="shared" si="69"/>
      </c>
      <c r="K84" s="331">
        <f t="shared" si="69"/>
      </c>
      <c r="L84" s="331">
        <f t="shared" si="69"/>
      </c>
      <c r="M84" s="331">
        <f t="shared" si="69"/>
      </c>
      <c r="N84" s="331">
        <f t="shared" si="69"/>
      </c>
      <c r="O84" s="331">
        <f t="shared" si="69"/>
      </c>
      <c r="P84" s="331">
        <f t="shared" si="69"/>
      </c>
      <c r="Q84" s="331">
        <f t="shared" si="69"/>
      </c>
      <c r="R84" s="331">
        <f t="shared" si="69"/>
      </c>
      <c r="S84" s="331">
        <f t="shared" si="69"/>
      </c>
      <c r="T84" s="331">
        <f t="shared" si="69"/>
      </c>
      <c r="U84" s="331">
        <f t="shared" si="69"/>
      </c>
      <c r="V84" s="331">
        <f t="shared" si="69"/>
      </c>
      <c r="W84" s="331">
        <f t="shared" si="69"/>
      </c>
      <c r="X84" s="331">
        <f t="shared" si="69"/>
      </c>
      <c r="Y84" s="331">
        <f t="shared" si="69"/>
      </c>
      <c r="Z84" s="331">
        <f t="shared" si="69"/>
      </c>
      <c r="AA84" s="331">
        <f t="shared" si="69"/>
      </c>
      <c r="AB84" s="331">
        <f t="shared" si="69"/>
      </c>
      <c r="AC84" s="331">
        <f t="shared" si="69"/>
      </c>
      <c r="AD84" s="331">
        <f t="shared" si="69"/>
      </c>
      <c r="AE84" s="331">
        <f t="shared" si="69"/>
      </c>
      <c r="AF84" s="331">
        <f t="shared" si="69"/>
      </c>
      <c r="AG84" s="331">
        <f t="shared" si="69"/>
      </c>
      <c r="AH84" s="331">
        <f t="shared" si="69"/>
      </c>
      <c r="AI84" s="331">
        <f t="shared" si="69"/>
      </c>
      <c r="AJ84" s="331">
        <f t="shared" si="69"/>
      </c>
      <c r="AK84" s="331">
        <f t="shared" si="69"/>
      </c>
      <c r="AL84" s="331">
        <f t="shared" si="69"/>
      </c>
      <c r="AM84" s="331">
        <f t="shared" si="69"/>
      </c>
      <c r="AN84" s="331">
        <f t="shared" si="69"/>
      </c>
      <c r="AO84" s="331">
        <f t="shared" si="69"/>
      </c>
      <c r="AP84" s="331">
        <f t="shared" si="69"/>
      </c>
      <c r="AQ84" s="332">
        <f t="shared" si="69"/>
      </c>
      <c r="AR84" s="322"/>
      <c r="AS84" s="845"/>
    </row>
    <row r="85" spans="1:45" ht="9" customHeight="1">
      <c r="A85" s="858"/>
      <c r="B85" s="849"/>
      <c r="C85" s="849"/>
      <c r="D85" s="849"/>
      <c r="E85" s="849"/>
      <c r="F85" s="849"/>
      <c r="G85" s="849"/>
      <c r="H85" s="849"/>
      <c r="I85" s="849"/>
      <c r="J85" s="849"/>
      <c r="K85" s="849"/>
      <c r="L85" s="849"/>
      <c r="M85" s="849"/>
      <c r="N85" s="849"/>
      <c r="O85" s="849"/>
      <c r="P85" s="849"/>
      <c r="Q85" s="84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59"/>
      <c r="AS85" s="845"/>
    </row>
    <row r="86" spans="1:45" ht="15" customHeight="1">
      <c r="A86" s="858"/>
      <c r="B86" s="849"/>
      <c r="C86" s="849"/>
      <c r="D86" s="849"/>
      <c r="E86" s="849"/>
      <c r="F86" s="849"/>
      <c r="G86" s="849"/>
      <c r="H86" s="869"/>
      <c r="I86" s="331">
        <f aca="true" t="shared" si="70" ref="I86:AQ86">IF(ISERR(AW$13),"",AW$13)</f>
      </c>
      <c r="J86" s="331">
        <f t="shared" si="70"/>
      </c>
      <c r="K86" s="331">
        <f t="shared" si="70"/>
      </c>
      <c r="L86" s="331">
        <f t="shared" si="70"/>
      </c>
      <c r="M86" s="331">
        <f t="shared" si="70"/>
      </c>
      <c r="N86" s="331">
        <f t="shared" si="70"/>
      </c>
      <c r="O86" s="331">
        <f t="shared" si="70"/>
      </c>
      <c r="P86" s="331">
        <f t="shared" si="70"/>
      </c>
      <c r="Q86" s="331">
        <f t="shared" si="70"/>
      </c>
      <c r="R86" s="331">
        <f t="shared" si="70"/>
      </c>
      <c r="S86" s="331">
        <f t="shared" si="70"/>
      </c>
      <c r="T86" s="331">
        <f t="shared" si="70"/>
      </c>
      <c r="U86" s="331">
        <f t="shared" si="70"/>
      </c>
      <c r="V86" s="331">
        <f t="shared" si="70"/>
      </c>
      <c r="W86" s="331">
        <f t="shared" si="70"/>
      </c>
      <c r="X86" s="331">
        <f t="shared" si="70"/>
      </c>
      <c r="Y86" s="331">
        <f t="shared" si="70"/>
      </c>
      <c r="Z86" s="331">
        <f t="shared" si="70"/>
      </c>
      <c r="AA86" s="331">
        <f t="shared" si="70"/>
      </c>
      <c r="AB86" s="331">
        <f t="shared" si="70"/>
      </c>
      <c r="AC86" s="331">
        <f t="shared" si="70"/>
      </c>
      <c r="AD86" s="331">
        <f t="shared" si="70"/>
      </c>
      <c r="AE86" s="331">
        <f t="shared" si="70"/>
      </c>
      <c r="AF86" s="331">
        <f t="shared" si="70"/>
      </c>
      <c r="AG86" s="331">
        <f t="shared" si="70"/>
      </c>
      <c r="AH86" s="331">
        <f t="shared" si="70"/>
      </c>
      <c r="AI86" s="331">
        <f t="shared" si="70"/>
      </c>
      <c r="AJ86" s="331">
        <f t="shared" si="70"/>
      </c>
      <c r="AK86" s="331">
        <f t="shared" si="70"/>
      </c>
      <c r="AL86" s="331">
        <f t="shared" si="70"/>
      </c>
      <c r="AM86" s="331">
        <f t="shared" si="70"/>
      </c>
      <c r="AN86" s="331">
        <f t="shared" si="70"/>
      </c>
      <c r="AO86" s="331">
        <f t="shared" si="70"/>
      </c>
      <c r="AP86" s="331">
        <f t="shared" si="70"/>
      </c>
      <c r="AQ86" s="332">
        <f t="shared" si="70"/>
      </c>
      <c r="AR86" s="322"/>
      <c r="AS86" s="845"/>
    </row>
    <row r="87" spans="1:45" ht="7.5" customHeight="1">
      <c r="A87" s="858"/>
      <c r="B87" s="849"/>
      <c r="C87" s="849"/>
      <c r="D87" s="849"/>
      <c r="E87" s="849"/>
      <c r="F87" s="849"/>
      <c r="G87" s="849"/>
      <c r="H87" s="849"/>
      <c r="I87" s="849"/>
      <c r="J87" s="849"/>
      <c r="K87" s="849"/>
      <c r="L87" s="849"/>
      <c r="M87" s="849"/>
      <c r="N87" s="849"/>
      <c r="O87" s="849"/>
      <c r="P87" s="849"/>
      <c r="Q87" s="849"/>
      <c r="R87" s="849"/>
      <c r="S87" s="849"/>
      <c r="T87" s="849"/>
      <c r="U87" s="849"/>
      <c r="V87" s="849"/>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59"/>
      <c r="AS87" s="845"/>
    </row>
    <row r="88" spans="1:45" ht="15" customHeight="1">
      <c r="A88" s="830" t="s">
        <v>888</v>
      </c>
      <c r="B88" s="831"/>
      <c r="C88" s="831"/>
      <c r="D88" s="831"/>
      <c r="E88" s="831"/>
      <c r="F88" s="831"/>
      <c r="G88" s="831"/>
      <c r="H88" s="320"/>
      <c r="I88" s="331">
        <f aca="true" t="shared" si="71" ref="I88:AQ88">IF(ISERR(AW$15),"",AW$15)</f>
      </c>
      <c r="J88" s="331">
        <f t="shared" si="71"/>
      </c>
      <c r="K88" s="331">
        <f t="shared" si="71"/>
      </c>
      <c r="L88" s="331">
        <f t="shared" si="71"/>
      </c>
      <c r="M88" s="331">
        <f t="shared" si="71"/>
      </c>
      <c r="N88" s="331">
        <f t="shared" si="71"/>
      </c>
      <c r="O88" s="331">
        <f t="shared" si="71"/>
      </c>
      <c r="P88" s="331">
        <f t="shared" si="71"/>
      </c>
      <c r="Q88" s="331">
        <f t="shared" si="71"/>
      </c>
      <c r="R88" s="331">
        <f t="shared" si="71"/>
      </c>
      <c r="S88" s="331">
        <f t="shared" si="71"/>
      </c>
      <c r="T88" s="331">
        <f t="shared" si="71"/>
      </c>
      <c r="U88" s="331">
        <f t="shared" si="71"/>
      </c>
      <c r="V88" s="331">
        <f t="shared" si="71"/>
      </c>
      <c r="W88" s="331">
        <f t="shared" si="71"/>
      </c>
      <c r="X88" s="331">
        <f t="shared" si="71"/>
      </c>
      <c r="Y88" s="331">
        <f t="shared" si="71"/>
      </c>
      <c r="Z88" s="331">
        <f t="shared" si="71"/>
      </c>
      <c r="AA88" s="331">
        <f t="shared" si="71"/>
      </c>
      <c r="AB88" s="331">
        <f t="shared" si="71"/>
      </c>
      <c r="AC88" s="331">
        <f t="shared" si="71"/>
      </c>
      <c r="AD88" s="331">
        <f t="shared" si="71"/>
      </c>
      <c r="AE88" s="331">
        <f t="shared" si="71"/>
      </c>
      <c r="AF88" s="331">
        <f t="shared" si="71"/>
      </c>
      <c r="AG88" s="331">
        <f t="shared" si="71"/>
      </c>
      <c r="AH88" s="331">
        <f t="shared" si="71"/>
      </c>
      <c r="AI88" s="331">
        <f t="shared" si="71"/>
      </c>
      <c r="AJ88" s="331">
        <f t="shared" si="71"/>
      </c>
      <c r="AK88" s="331">
        <f t="shared" si="71"/>
      </c>
      <c r="AL88" s="331">
        <f t="shared" si="71"/>
      </c>
      <c r="AM88" s="331">
        <f t="shared" si="71"/>
      </c>
      <c r="AN88" s="331">
        <f t="shared" si="71"/>
      </c>
      <c r="AO88" s="331">
        <f t="shared" si="71"/>
      </c>
      <c r="AP88" s="331">
        <f t="shared" si="71"/>
      </c>
      <c r="AQ88" s="332">
        <f t="shared" si="71"/>
      </c>
      <c r="AR88" s="322"/>
      <c r="AS88" s="845"/>
    </row>
    <row r="89" spans="1:45" ht="7.5" customHeight="1">
      <c r="A89" s="858"/>
      <c r="B89" s="849"/>
      <c r="C89" s="849"/>
      <c r="D89" s="849"/>
      <c r="E89" s="849"/>
      <c r="F89" s="849"/>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59"/>
      <c r="AS89" s="845"/>
    </row>
    <row r="90" spans="1:45" ht="15" customHeight="1">
      <c r="A90" s="830" t="s">
        <v>889</v>
      </c>
      <c r="B90" s="831"/>
      <c r="C90" s="831"/>
      <c r="D90" s="831"/>
      <c r="E90" s="831"/>
      <c r="F90" s="831"/>
      <c r="G90" s="831"/>
      <c r="H90" s="320"/>
      <c r="I90" s="331">
        <f>IF(ISERR(AW$17),"",AW$17)</f>
      </c>
      <c r="J90" s="331">
        <f>IF(ISERR(AX$17),"",AX$17)</f>
      </c>
      <c r="K90" s="331">
        <f>IF(ISERR(AY$17),"",AY$17)</f>
      </c>
      <c r="L90" s="331">
        <f>IF(ISERR(AZ$17),"",AZ$17)</f>
      </c>
      <c r="M90" s="832"/>
      <c r="N90" s="469"/>
      <c r="O90" s="469"/>
      <c r="P90" s="469"/>
      <c r="Q90" s="469"/>
      <c r="R90" s="469"/>
      <c r="S90" s="469"/>
      <c r="T90" s="469"/>
      <c r="U90" s="469"/>
      <c r="V90" s="469"/>
      <c r="W90" s="469"/>
      <c r="X90" s="469"/>
      <c r="Y90" s="469"/>
      <c r="Z90" s="469"/>
      <c r="AA90" s="469"/>
      <c r="AB90" s="469"/>
      <c r="AC90" s="469"/>
      <c r="AD90" s="469"/>
      <c r="AE90" s="469"/>
      <c r="AF90" s="469"/>
      <c r="AG90" s="469"/>
      <c r="AH90" s="469"/>
      <c r="AI90" s="469"/>
      <c r="AJ90" s="469"/>
      <c r="AK90" s="469"/>
      <c r="AL90" s="469"/>
      <c r="AM90" s="469"/>
      <c r="AN90" s="469"/>
      <c r="AO90" s="469"/>
      <c r="AP90" s="469"/>
      <c r="AQ90" s="469"/>
      <c r="AR90" s="833"/>
      <c r="AS90" s="845"/>
    </row>
    <row r="91" spans="1:45" ht="7.5" customHeight="1">
      <c r="A91" s="827"/>
      <c r="B91" s="828"/>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9"/>
      <c r="AS91" s="845"/>
    </row>
    <row r="92" spans="1:45" ht="15" customHeight="1">
      <c r="A92" s="830" t="s">
        <v>890</v>
      </c>
      <c r="B92" s="831"/>
      <c r="C92" s="831"/>
      <c r="D92" s="831"/>
      <c r="E92" s="831"/>
      <c r="F92" s="831"/>
      <c r="G92" s="831"/>
      <c r="H92" s="320"/>
      <c r="I92" s="331">
        <f aca="true" t="shared" si="72" ref="I92:AQ92">IF(ISERR(AW$19),"",AW$19)</f>
      </c>
      <c r="J92" s="331">
        <f t="shared" si="72"/>
      </c>
      <c r="K92" s="331">
        <f t="shared" si="72"/>
      </c>
      <c r="L92" s="331">
        <f t="shared" si="72"/>
      </c>
      <c r="M92" s="331">
        <f t="shared" si="72"/>
      </c>
      <c r="N92" s="331">
        <f t="shared" si="72"/>
      </c>
      <c r="O92" s="331">
        <f t="shared" si="72"/>
      </c>
      <c r="P92" s="331">
        <f t="shared" si="72"/>
      </c>
      <c r="Q92" s="331">
        <f t="shared" si="72"/>
      </c>
      <c r="R92" s="331">
        <f t="shared" si="72"/>
      </c>
      <c r="S92" s="331">
        <f t="shared" si="72"/>
      </c>
      <c r="T92" s="331">
        <f t="shared" si="72"/>
      </c>
      <c r="U92" s="331">
        <f t="shared" si="72"/>
      </c>
      <c r="V92" s="331">
        <f t="shared" si="72"/>
      </c>
      <c r="W92" s="331">
        <f t="shared" si="72"/>
      </c>
      <c r="X92" s="331">
        <f t="shared" si="72"/>
      </c>
      <c r="Y92" s="331">
        <f t="shared" si="72"/>
      </c>
      <c r="Z92" s="331">
        <f t="shared" si="72"/>
      </c>
      <c r="AA92" s="331">
        <f t="shared" si="72"/>
      </c>
      <c r="AB92" s="331">
        <f t="shared" si="72"/>
      </c>
      <c r="AC92" s="331">
        <f t="shared" si="72"/>
      </c>
      <c r="AD92" s="331">
        <f t="shared" si="72"/>
      </c>
      <c r="AE92" s="331">
        <f t="shared" si="72"/>
      </c>
      <c r="AF92" s="331">
        <f t="shared" si="72"/>
      </c>
      <c r="AG92" s="331">
        <f t="shared" si="72"/>
      </c>
      <c r="AH92" s="331">
        <f t="shared" si="72"/>
      </c>
      <c r="AI92" s="331">
        <f t="shared" si="72"/>
      </c>
      <c r="AJ92" s="331">
        <f t="shared" si="72"/>
      </c>
      <c r="AK92" s="331">
        <f t="shared" si="72"/>
      </c>
      <c r="AL92" s="331">
        <f t="shared" si="72"/>
      </c>
      <c r="AM92" s="331">
        <f t="shared" si="72"/>
      </c>
      <c r="AN92" s="331">
        <f t="shared" si="72"/>
      </c>
      <c r="AO92" s="331">
        <f t="shared" si="72"/>
      </c>
      <c r="AP92" s="331">
        <f t="shared" si="72"/>
      </c>
      <c r="AQ92" s="332">
        <f t="shared" si="72"/>
      </c>
      <c r="AR92" s="322"/>
      <c r="AS92" s="845"/>
    </row>
    <row r="93" spans="1:45" ht="7.5" customHeight="1">
      <c r="A93" s="827"/>
      <c r="B93" s="828"/>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K93" s="828"/>
      <c r="AL93" s="828"/>
      <c r="AM93" s="828"/>
      <c r="AN93" s="828"/>
      <c r="AO93" s="828"/>
      <c r="AP93" s="828"/>
      <c r="AQ93" s="828"/>
      <c r="AR93" s="829"/>
      <c r="AS93" s="845"/>
    </row>
    <row r="94" spans="1:45" ht="15" customHeight="1">
      <c r="A94" s="830" t="s">
        <v>1899</v>
      </c>
      <c r="B94" s="831"/>
      <c r="C94" s="831"/>
      <c r="D94" s="831"/>
      <c r="E94" s="831"/>
      <c r="F94" s="831"/>
      <c r="G94" s="831"/>
      <c r="H94" s="320"/>
      <c r="I94" s="331">
        <f aca="true" t="shared" si="73" ref="I94:AL94">IF(ISERR(AW$21),"",AW$21)</f>
      </c>
      <c r="J94" s="331">
        <f t="shared" si="73"/>
      </c>
      <c r="K94" s="331">
        <f t="shared" si="73"/>
      </c>
      <c r="L94" s="331">
        <f t="shared" si="73"/>
      </c>
      <c r="M94" s="331">
        <f t="shared" si="73"/>
      </c>
      <c r="N94" s="331">
        <f t="shared" si="73"/>
      </c>
      <c r="O94" s="331">
        <f t="shared" si="73"/>
      </c>
      <c r="P94" s="331">
        <f t="shared" si="73"/>
      </c>
      <c r="Q94" s="331">
        <f t="shared" si="73"/>
      </c>
      <c r="R94" s="331">
        <f t="shared" si="73"/>
      </c>
      <c r="S94" s="331">
        <f t="shared" si="73"/>
      </c>
      <c r="T94" s="331">
        <f t="shared" si="73"/>
      </c>
      <c r="U94" s="331">
        <f t="shared" si="73"/>
      </c>
      <c r="V94" s="331">
        <f t="shared" si="73"/>
      </c>
      <c r="W94" s="331">
        <f t="shared" si="73"/>
      </c>
      <c r="X94" s="331">
        <f t="shared" si="73"/>
      </c>
      <c r="Y94" s="331">
        <f t="shared" si="73"/>
      </c>
      <c r="Z94" s="331">
        <f t="shared" si="73"/>
      </c>
      <c r="AA94" s="331">
        <f t="shared" si="73"/>
      </c>
      <c r="AB94" s="331">
        <f t="shared" si="73"/>
      </c>
      <c r="AC94" s="331">
        <f t="shared" si="73"/>
      </c>
      <c r="AD94" s="331">
        <f t="shared" si="73"/>
      </c>
      <c r="AE94" s="331">
        <f t="shared" si="73"/>
      </c>
      <c r="AF94" s="331">
        <f t="shared" si="73"/>
      </c>
      <c r="AG94" s="331">
        <f t="shared" si="73"/>
      </c>
      <c r="AH94" s="331">
        <f t="shared" si="73"/>
      </c>
      <c r="AI94" s="331">
        <f t="shared" si="73"/>
      </c>
      <c r="AJ94" s="331">
        <f t="shared" si="73"/>
      </c>
      <c r="AK94" s="331">
        <f t="shared" si="73"/>
      </c>
      <c r="AL94" s="332">
        <f t="shared" si="73"/>
      </c>
      <c r="AM94" s="851"/>
      <c r="AN94" s="852"/>
      <c r="AO94" s="852"/>
      <c r="AP94" s="852"/>
      <c r="AQ94" s="852"/>
      <c r="AR94" s="329"/>
      <c r="AS94" s="845"/>
    </row>
    <row r="95" spans="1:45" ht="7.5" customHeight="1">
      <c r="A95" s="827"/>
      <c r="B95" s="828"/>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9"/>
      <c r="AS95" s="845"/>
    </row>
    <row r="96" spans="1:45" ht="15" customHeight="1">
      <c r="A96" s="830" t="s">
        <v>891</v>
      </c>
      <c r="B96" s="831"/>
      <c r="C96" s="831"/>
      <c r="D96" s="831"/>
      <c r="E96" s="831"/>
      <c r="F96" s="831"/>
      <c r="G96" s="831"/>
      <c r="H96" s="320"/>
      <c r="I96" s="331">
        <f aca="true" t="shared" si="74" ref="I96:AL96">IF(ISERR(AW$23),"",AW$23)</f>
      </c>
      <c r="J96" s="331">
        <f t="shared" si="74"/>
      </c>
      <c r="K96" s="331">
        <f t="shared" si="74"/>
      </c>
      <c r="L96" s="331">
        <f t="shared" si="74"/>
      </c>
      <c r="M96" s="331">
        <f t="shared" si="74"/>
      </c>
      <c r="N96" s="331">
        <f t="shared" si="74"/>
      </c>
      <c r="O96" s="331">
        <f t="shared" si="74"/>
      </c>
      <c r="P96" s="331">
        <f t="shared" si="74"/>
      </c>
      <c r="Q96" s="331">
        <f t="shared" si="74"/>
      </c>
      <c r="R96" s="331">
        <f t="shared" si="74"/>
      </c>
      <c r="S96" s="331">
        <f t="shared" si="74"/>
      </c>
      <c r="T96" s="331">
        <f t="shared" si="74"/>
      </c>
      <c r="U96" s="331">
        <f t="shared" si="74"/>
      </c>
      <c r="V96" s="331">
        <f t="shared" si="74"/>
      </c>
      <c r="W96" s="331">
        <f t="shared" si="74"/>
      </c>
      <c r="X96" s="331">
        <f t="shared" si="74"/>
      </c>
      <c r="Y96" s="331">
        <f t="shared" si="74"/>
      </c>
      <c r="Z96" s="331">
        <f t="shared" si="74"/>
      </c>
      <c r="AA96" s="331">
        <f t="shared" si="74"/>
      </c>
      <c r="AB96" s="331">
        <f t="shared" si="74"/>
      </c>
      <c r="AC96" s="331">
        <f t="shared" si="74"/>
      </c>
      <c r="AD96" s="331">
        <f t="shared" si="74"/>
      </c>
      <c r="AE96" s="331">
        <f t="shared" si="74"/>
      </c>
      <c r="AF96" s="331">
        <f t="shared" si="74"/>
      </c>
      <c r="AG96" s="331">
        <f t="shared" si="74"/>
      </c>
      <c r="AH96" s="331">
        <f t="shared" si="74"/>
      </c>
      <c r="AI96" s="331">
        <f t="shared" si="74"/>
      </c>
      <c r="AJ96" s="331">
        <f t="shared" si="74"/>
      </c>
      <c r="AK96" s="331">
        <f t="shared" si="74"/>
      </c>
      <c r="AL96" s="332">
        <f t="shared" si="74"/>
      </c>
      <c r="AM96" s="851"/>
      <c r="AN96" s="852"/>
      <c r="AO96" s="852"/>
      <c r="AP96" s="852"/>
      <c r="AQ96" s="852"/>
      <c r="AR96" s="329"/>
      <c r="AS96" s="845"/>
    </row>
    <row r="97" spans="1:45" ht="9" customHeight="1">
      <c r="A97" s="827"/>
      <c r="B97" s="828"/>
      <c r="C97" s="828"/>
      <c r="D97" s="828"/>
      <c r="E97" s="828"/>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8"/>
      <c r="AO97" s="828"/>
      <c r="AP97" s="828"/>
      <c r="AQ97" s="828"/>
      <c r="AR97" s="829"/>
      <c r="AS97" s="845"/>
    </row>
    <row r="98" spans="1:45" ht="15" customHeight="1">
      <c r="A98" s="830" t="s">
        <v>1889</v>
      </c>
      <c r="B98" s="831"/>
      <c r="C98" s="831"/>
      <c r="D98" s="831"/>
      <c r="E98" s="831"/>
      <c r="F98" s="831"/>
      <c r="G98" s="831"/>
      <c r="H98" s="321"/>
      <c r="I98" s="324">
        <f aca="true" t="shared" si="75" ref="I98:AQ98">IF(ISERR(AW$25),"",AW$25)</f>
      </c>
      <c r="J98" s="324">
        <f t="shared" si="75"/>
      </c>
      <c r="K98" s="324">
        <f t="shared" si="75"/>
      </c>
      <c r="L98" s="324">
        <f t="shared" si="75"/>
      </c>
      <c r="M98" s="324">
        <f t="shared" si="75"/>
      </c>
      <c r="N98" s="324">
        <f t="shared" si="75"/>
      </c>
      <c r="O98" s="324">
        <f t="shared" si="75"/>
      </c>
      <c r="P98" s="324">
        <f t="shared" si="75"/>
      </c>
      <c r="Q98" s="324">
        <f t="shared" si="75"/>
      </c>
      <c r="R98" s="324">
        <f t="shared" si="75"/>
      </c>
      <c r="S98" s="324">
        <f t="shared" si="75"/>
      </c>
      <c r="T98" s="324">
        <f t="shared" si="75"/>
      </c>
      <c r="U98" s="324">
        <f t="shared" si="75"/>
      </c>
      <c r="V98" s="324">
        <f t="shared" si="75"/>
      </c>
      <c r="W98" s="324">
        <f t="shared" si="75"/>
      </c>
      <c r="X98" s="324">
        <f t="shared" si="75"/>
      </c>
      <c r="Y98" s="324">
        <f t="shared" si="75"/>
      </c>
      <c r="Z98" s="324">
        <f t="shared" si="75"/>
      </c>
      <c r="AA98" s="324">
        <f t="shared" si="75"/>
      </c>
      <c r="AB98" s="324">
        <f t="shared" si="75"/>
      </c>
      <c r="AC98" s="324">
        <f t="shared" si="75"/>
      </c>
      <c r="AD98" s="324">
        <f t="shared" si="75"/>
      </c>
      <c r="AE98" s="324">
        <f t="shared" si="75"/>
      </c>
      <c r="AF98" s="324">
        <f t="shared" si="75"/>
      </c>
      <c r="AG98" s="324">
        <f t="shared" si="75"/>
      </c>
      <c r="AH98" s="324">
        <f t="shared" si="75"/>
      </c>
      <c r="AI98" s="324">
        <f t="shared" si="75"/>
      </c>
      <c r="AJ98" s="324">
        <f t="shared" si="75"/>
      </c>
      <c r="AK98" s="324">
        <f t="shared" si="75"/>
      </c>
      <c r="AL98" s="324">
        <f t="shared" si="75"/>
      </c>
      <c r="AM98" s="324">
        <f t="shared" si="75"/>
      </c>
      <c r="AN98" s="324">
        <f t="shared" si="75"/>
      </c>
      <c r="AO98" s="324">
        <f t="shared" si="75"/>
      </c>
      <c r="AP98" s="324">
        <f t="shared" si="75"/>
      </c>
      <c r="AQ98" s="324">
        <f t="shared" si="75"/>
      </c>
      <c r="AR98" s="323"/>
      <c r="AS98" s="845"/>
    </row>
    <row r="99" spans="1:45" ht="6.75" customHeight="1">
      <c r="A99" s="827"/>
      <c r="B99" s="828"/>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9"/>
      <c r="AS99" s="845"/>
    </row>
    <row r="100" spans="1:45" ht="15" customHeight="1">
      <c r="A100" s="867" t="s">
        <v>892</v>
      </c>
      <c r="B100" s="868"/>
      <c r="C100" s="868"/>
      <c r="D100" s="868"/>
      <c r="E100" s="868"/>
      <c r="F100" s="868"/>
      <c r="G100" s="868"/>
      <c r="H100" s="320"/>
      <c r="I100" s="331">
        <f aca="true" t="shared" si="76" ref="I100:W100">IF(ISERR(AW$27),"",AW$27)</f>
      </c>
      <c r="J100" s="331">
        <f t="shared" si="76"/>
      </c>
      <c r="K100" s="331">
        <f t="shared" si="76"/>
      </c>
      <c r="L100" s="331">
        <f t="shared" si="76"/>
      </c>
      <c r="M100" s="331">
        <f t="shared" si="76"/>
      </c>
      <c r="N100" s="331">
        <f t="shared" si="76"/>
      </c>
      <c r="O100" s="331">
        <f t="shared" si="76"/>
      </c>
      <c r="P100" s="331">
        <f t="shared" si="76"/>
      </c>
      <c r="Q100" s="331">
        <f t="shared" si="76"/>
      </c>
      <c r="R100" s="331">
        <f t="shared" si="76"/>
      </c>
      <c r="S100" s="331">
        <f t="shared" si="76"/>
      </c>
      <c r="T100" s="331">
        <f t="shared" si="76"/>
      </c>
      <c r="U100" s="331">
        <f t="shared" si="76"/>
      </c>
      <c r="V100" s="331">
        <f t="shared" si="76"/>
      </c>
      <c r="W100" s="331">
        <f t="shared" si="76"/>
      </c>
      <c r="X100" s="851"/>
      <c r="Y100" s="852"/>
      <c r="Z100" s="852"/>
      <c r="AA100" s="852"/>
      <c r="AB100" s="852"/>
      <c r="AC100" s="852"/>
      <c r="AD100" s="852"/>
      <c r="AE100" s="852"/>
      <c r="AF100" s="852"/>
      <c r="AG100" s="852"/>
      <c r="AH100" s="852"/>
      <c r="AI100" s="852"/>
      <c r="AJ100" s="852"/>
      <c r="AK100" s="852"/>
      <c r="AL100" s="852"/>
      <c r="AM100" s="852"/>
      <c r="AN100" s="852"/>
      <c r="AO100" s="852"/>
      <c r="AP100" s="852"/>
      <c r="AQ100" s="852"/>
      <c r="AR100" s="853"/>
      <c r="AS100" s="845"/>
    </row>
    <row r="101" spans="1:45" ht="6.75" customHeight="1" thickBot="1">
      <c r="A101" s="870"/>
      <c r="B101" s="871"/>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c r="AK101" s="871"/>
      <c r="AL101" s="871"/>
      <c r="AM101" s="871"/>
      <c r="AN101" s="871"/>
      <c r="AO101" s="871"/>
      <c r="AP101" s="871"/>
      <c r="AQ101" s="871"/>
      <c r="AR101" s="872"/>
      <c r="AS101" s="845"/>
    </row>
    <row r="102" spans="1:45" ht="15" customHeight="1" thickBot="1" thickTop="1">
      <c r="A102" s="866"/>
      <c r="B102" s="866"/>
      <c r="C102" s="866"/>
      <c r="D102" s="866"/>
      <c r="E102" s="866"/>
      <c r="F102" s="866"/>
      <c r="G102" s="866"/>
      <c r="H102" s="866"/>
      <c r="I102" s="866"/>
      <c r="J102" s="866"/>
      <c r="K102" s="866"/>
      <c r="L102" s="866"/>
      <c r="M102" s="866"/>
      <c r="N102" s="866"/>
      <c r="O102" s="866"/>
      <c r="P102" s="866"/>
      <c r="Q102" s="866"/>
      <c r="R102" s="866"/>
      <c r="S102" s="866"/>
      <c r="T102" s="866"/>
      <c r="U102" s="866"/>
      <c r="V102" s="866"/>
      <c r="W102" s="866"/>
      <c r="X102" s="866"/>
      <c r="Y102" s="866"/>
      <c r="Z102" s="866"/>
      <c r="AA102" s="866"/>
      <c r="AB102" s="866"/>
      <c r="AC102" s="866"/>
      <c r="AD102" s="866"/>
      <c r="AE102" s="866"/>
      <c r="AF102" s="866"/>
      <c r="AG102" s="866"/>
      <c r="AH102" s="866"/>
      <c r="AI102" s="866"/>
      <c r="AJ102" s="866"/>
      <c r="AK102" s="866"/>
      <c r="AL102" s="866"/>
      <c r="AM102" s="866"/>
      <c r="AN102" s="866"/>
      <c r="AO102" s="866"/>
      <c r="AP102" s="866"/>
      <c r="AQ102" s="866"/>
      <c r="AR102" s="866"/>
      <c r="AS102" s="845"/>
    </row>
    <row r="103" spans="1:45" ht="7.5" customHeight="1" thickTop="1">
      <c r="A103" s="860"/>
      <c r="B103" s="861"/>
      <c r="C103" s="861"/>
      <c r="D103" s="861"/>
      <c r="E103" s="861"/>
      <c r="F103" s="861"/>
      <c r="G103" s="861"/>
      <c r="H103" s="861"/>
      <c r="I103" s="861"/>
      <c r="J103" s="861"/>
      <c r="K103" s="861"/>
      <c r="L103" s="861"/>
      <c r="M103" s="861"/>
      <c r="N103" s="861"/>
      <c r="O103" s="861"/>
      <c r="P103" s="861"/>
      <c r="Q103" s="861"/>
      <c r="R103" s="861"/>
      <c r="S103" s="861"/>
      <c r="T103" s="861"/>
      <c r="U103" s="861"/>
      <c r="V103" s="861"/>
      <c r="W103" s="861"/>
      <c r="X103" s="861"/>
      <c r="Y103" s="861"/>
      <c r="Z103" s="861"/>
      <c r="AA103" s="861"/>
      <c r="AB103" s="861"/>
      <c r="AC103" s="861"/>
      <c r="AD103" s="861"/>
      <c r="AE103" s="861"/>
      <c r="AF103" s="861"/>
      <c r="AG103" s="861"/>
      <c r="AH103" s="861"/>
      <c r="AI103" s="861"/>
      <c r="AJ103" s="861"/>
      <c r="AK103" s="861"/>
      <c r="AL103" s="861"/>
      <c r="AM103" s="861"/>
      <c r="AN103" s="861"/>
      <c r="AO103" s="861"/>
      <c r="AP103" s="861"/>
      <c r="AQ103" s="861"/>
      <c r="AR103" s="862"/>
      <c r="AS103" s="845"/>
    </row>
    <row r="104" spans="1:45" ht="15" customHeight="1">
      <c r="A104" s="863" t="s">
        <v>893</v>
      </c>
      <c r="B104" s="864"/>
      <c r="C104" s="864"/>
      <c r="D104" s="864"/>
      <c r="E104" s="864"/>
      <c r="F104" s="864"/>
      <c r="G104" s="864"/>
      <c r="H104" s="864"/>
      <c r="I104" s="864"/>
      <c r="J104" s="864"/>
      <c r="K104" s="864"/>
      <c r="L104" s="864"/>
      <c r="M104" s="864"/>
      <c r="N104" s="864"/>
      <c r="O104" s="864"/>
      <c r="P104" s="864"/>
      <c r="Q104" s="864"/>
      <c r="R104" s="864"/>
      <c r="S104" s="864"/>
      <c r="T104" s="864"/>
      <c r="U104" s="864"/>
      <c r="V104" s="864"/>
      <c r="W104" s="864"/>
      <c r="X104" s="864"/>
      <c r="Y104" s="864"/>
      <c r="Z104" s="864"/>
      <c r="AA104" s="864"/>
      <c r="AB104" s="864"/>
      <c r="AC104" s="864"/>
      <c r="AD104" s="864"/>
      <c r="AE104" s="864"/>
      <c r="AF104" s="864"/>
      <c r="AG104" s="864"/>
      <c r="AH104" s="864"/>
      <c r="AI104" s="864"/>
      <c r="AJ104" s="864"/>
      <c r="AK104" s="864"/>
      <c r="AL104" s="864"/>
      <c r="AM104" s="864"/>
      <c r="AN104" s="864"/>
      <c r="AO104" s="864"/>
      <c r="AP104" s="864"/>
      <c r="AQ104" s="864"/>
      <c r="AR104" s="865"/>
      <c r="AS104" s="845"/>
    </row>
    <row r="105" spans="1:45" ht="9" customHeight="1">
      <c r="A105" s="827"/>
      <c r="B105" s="828"/>
      <c r="C105" s="828"/>
      <c r="D105" s="828"/>
      <c r="E105" s="828"/>
      <c r="F105" s="828"/>
      <c r="G105" s="828"/>
      <c r="H105" s="828"/>
      <c r="I105" s="828"/>
      <c r="J105" s="828"/>
      <c r="K105" s="828"/>
      <c r="L105" s="828"/>
      <c r="M105" s="828"/>
      <c r="N105" s="828"/>
      <c r="O105" s="828"/>
      <c r="P105" s="828"/>
      <c r="Q105" s="828"/>
      <c r="R105" s="828"/>
      <c r="S105" s="828"/>
      <c r="T105" s="828"/>
      <c r="U105" s="828"/>
      <c r="V105" s="828"/>
      <c r="W105" s="828"/>
      <c r="X105" s="828"/>
      <c r="Y105" s="828"/>
      <c r="Z105" s="828"/>
      <c r="AA105" s="828"/>
      <c r="AB105" s="828"/>
      <c r="AC105" s="828"/>
      <c r="AD105" s="828"/>
      <c r="AE105" s="828"/>
      <c r="AF105" s="828"/>
      <c r="AG105" s="828"/>
      <c r="AH105" s="828"/>
      <c r="AI105" s="828"/>
      <c r="AJ105" s="828"/>
      <c r="AK105" s="828"/>
      <c r="AL105" s="828"/>
      <c r="AM105" s="828"/>
      <c r="AN105" s="828"/>
      <c r="AO105" s="828"/>
      <c r="AP105" s="828"/>
      <c r="AQ105" s="828"/>
      <c r="AR105" s="829"/>
      <c r="AS105" s="845"/>
    </row>
    <row r="106" spans="1:45" ht="15" customHeight="1">
      <c r="A106" s="830" t="str">
        <f>A80</f>
        <v>NAME</v>
      </c>
      <c r="B106" s="831"/>
      <c r="C106" s="831"/>
      <c r="D106" s="831"/>
      <c r="E106" s="831"/>
      <c r="F106" s="831"/>
      <c r="G106" s="831"/>
      <c r="H106" s="320"/>
      <c r="I106" s="332">
        <f aca="true" t="shared" si="77" ref="I106:AQ106">IF(ISERR(AW$31),"",AW$31)</f>
      </c>
      <c r="J106" s="332">
        <f t="shared" si="77"/>
      </c>
      <c r="K106" s="332">
        <f t="shared" si="77"/>
      </c>
      <c r="L106" s="332">
        <f t="shared" si="77"/>
      </c>
      <c r="M106" s="332">
        <f t="shared" si="77"/>
      </c>
      <c r="N106" s="332">
        <f t="shared" si="77"/>
      </c>
      <c r="O106" s="332">
        <f t="shared" si="77"/>
      </c>
      <c r="P106" s="332">
        <f t="shared" si="77"/>
      </c>
      <c r="Q106" s="332">
        <f t="shared" si="77"/>
      </c>
      <c r="R106" s="332">
        <f t="shared" si="77"/>
      </c>
      <c r="S106" s="332">
        <f t="shared" si="77"/>
      </c>
      <c r="T106" s="332">
        <f t="shared" si="77"/>
      </c>
      <c r="U106" s="332">
        <f t="shared" si="77"/>
      </c>
      <c r="V106" s="332">
        <f t="shared" si="77"/>
      </c>
      <c r="W106" s="332">
        <f t="shared" si="77"/>
      </c>
      <c r="X106" s="332">
        <f t="shared" si="77"/>
      </c>
      <c r="Y106" s="332">
        <f t="shared" si="77"/>
      </c>
      <c r="Z106" s="332">
        <f t="shared" si="77"/>
      </c>
      <c r="AA106" s="332">
        <f t="shared" si="77"/>
      </c>
      <c r="AB106" s="332">
        <f t="shared" si="77"/>
      </c>
      <c r="AC106" s="332">
        <f t="shared" si="77"/>
      </c>
      <c r="AD106" s="332">
        <f t="shared" si="77"/>
      </c>
      <c r="AE106" s="332">
        <f t="shared" si="77"/>
      </c>
      <c r="AF106" s="332">
        <f t="shared" si="77"/>
      </c>
      <c r="AG106" s="332">
        <f t="shared" si="77"/>
      </c>
      <c r="AH106" s="332">
        <f t="shared" si="77"/>
      </c>
      <c r="AI106" s="332">
        <f t="shared" si="77"/>
      </c>
      <c r="AJ106" s="332">
        <f t="shared" si="77"/>
      </c>
      <c r="AK106" s="332">
        <f t="shared" si="77"/>
      </c>
      <c r="AL106" s="332">
        <f t="shared" si="77"/>
      </c>
      <c r="AM106" s="332">
        <f t="shared" si="77"/>
      </c>
      <c r="AN106" s="332">
        <f t="shared" si="77"/>
      </c>
      <c r="AO106" s="332">
        <f t="shared" si="77"/>
      </c>
      <c r="AP106" s="332">
        <f t="shared" si="77"/>
      </c>
      <c r="AQ106" s="332">
        <f t="shared" si="77"/>
      </c>
      <c r="AR106" s="322"/>
      <c r="AS106" s="845"/>
    </row>
    <row r="107" spans="1:45" ht="7.5" customHeight="1">
      <c r="A107" s="827"/>
      <c r="B107" s="828"/>
      <c r="C107" s="828"/>
      <c r="D107" s="828"/>
      <c r="E107" s="828"/>
      <c r="F107" s="828"/>
      <c r="G107" s="828"/>
      <c r="H107" s="828"/>
      <c r="I107" s="828"/>
      <c r="J107" s="828"/>
      <c r="K107" s="828"/>
      <c r="L107" s="828"/>
      <c r="M107" s="828"/>
      <c r="N107" s="828"/>
      <c r="O107" s="828"/>
      <c r="P107" s="828"/>
      <c r="Q107" s="828"/>
      <c r="R107" s="828"/>
      <c r="S107" s="828"/>
      <c r="T107" s="828"/>
      <c r="U107" s="828"/>
      <c r="V107" s="828"/>
      <c r="W107" s="828"/>
      <c r="X107" s="828"/>
      <c r="Y107" s="828"/>
      <c r="Z107" s="828"/>
      <c r="AA107" s="828"/>
      <c r="AB107" s="828"/>
      <c r="AC107" s="828"/>
      <c r="AD107" s="828"/>
      <c r="AE107" s="828"/>
      <c r="AF107" s="828"/>
      <c r="AG107" s="828"/>
      <c r="AH107" s="828"/>
      <c r="AI107" s="828"/>
      <c r="AJ107" s="828"/>
      <c r="AK107" s="828"/>
      <c r="AL107" s="828"/>
      <c r="AM107" s="828"/>
      <c r="AN107" s="828"/>
      <c r="AO107" s="828"/>
      <c r="AP107" s="828"/>
      <c r="AQ107" s="828"/>
      <c r="AR107" s="829"/>
      <c r="AS107" s="845"/>
    </row>
    <row r="108" spans="1:45" ht="15" customHeight="1">
      <c r="A108" s="856"/>
      <c r="B108" s="460"/>
      <c r="C108" s="460"/>
      <c r="D108" s="460"/>
      <c r="E108" s="460"/>
      <c r="F108" s="460"/>
      <c r="G108" s="460"/>
      <c r="H108" s="857"/>
      <c r="I108" s="332">
        <f aca="true" t="shared" si="78" ref="I108:AQ108">IF(ISERR(CF$31),"",CF$31)</f>
      </c>
      <c r="J108" s="332">
        <f t="shared" si="78"/>
      </c>
      <c r="K108" s="332">
        <f t="shared" si="78"/>
      </c>
      <c r="L108" s="332">
        <f t="shared" si="78"/>
      </c>
      <c r="M108" s="332">
        <f t="shared" si="78"/>
      </c>
      <c r="N108" s="332">
        <f t="shared" si="78"/>
      </c>
      <c r="O108" s="332">
        <f t="shared" si="78"/>
      </c>
      <c r="P108" s="332">
        <f t="shared" si="78"/>
      </c>
      <c r="Q108" s="332">
        <f t="shared" si="78"/>
      </c>
      <c r="R108" s="332">
        <f t="shared" si="78"/>
      </c>
      <c r="S108" s="332">
        <f t="shared" si="78"/>
      </c>
      <c r="T108" s="332">
        <f t="shared" si="78"/>
      </c>
      <c r="U108" s="332">
        <f t="shared" si="78"/>
      </c>
      <c r="V108" s="332">
        <f t="shared" si="78"/>
      </c>
      <c r="W108" s="332">
        <f t="shared" si="78"/>
      </c>
      <c r="X108" s="332">
        <f t="shared" si="78"/>
      </c>
      <c r="Y108" s="332">
        <f t="shared" si="78"/>
      </c>
      <c r="Z108" s="332">
        <f t="shared" si="78"/>
      </c>
      <c r="AA108" s="332">
        <f t="shared" si="78"/>
      </c>
      <c r="AB108" s="332">
        <f t="shared" si="78"/>
      </c>
      <c r="AC108" s="332">
        <f t="shared" si="78"/>
      </c>
      <c r="AD108" s="332">
        <f t="shared" si="78"/>
      </c>
      <c r="AE108" s="332">
        <f t="shared" si="78"/>
      </c>
      <c r="AF108" s="332">
        <f t="shared" si="78"/>
      </c>
      <c r="AG108" s="332">
        <f t="shared" si="78"/>
      </c>
      <c r="AH108" s="332">
        <f t="shared" si="78"/>
      </c>
      <c r="AI108" s="332">
        <f t="shared" si="78"/>
      </c>
      <c r="AJ108" s="332">
        <f t="shared" si="78"/>
      </c>
      <c r="AK108" s="332">
        <f t="shared" si="78"/>
      </c>
      <c r="AL108" s="332">
        <f t="shared" si="78"/>
      </c>
      <c r="AM108" s="332">
        <f t="shared" si="78"/>
      </c>
      <c r="AN108" s="332">
        <f t="shared" si="78"/>
      </c>
      <c r="AO108" s="332">
        <f t="shared" si="78"/>
      </c>
      <c r="AP108" s="332">
        <f t="shared" si="78"/>
      </c>
      <c r="AQ108" s="332">
        <f t="shared" si="78"/>
      </c>
      <c r="AR108" s="322"/>
      <c r="AS108" s="845"/>
    </row>
    <row r="109" spans="1:45" ht="9" customHeight="1">
      <c r="A109" s="827"/>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8"/>
      <c r="AL109" s="828"/>
      <c r="AM109" s="828"/>
      <c r="AN109" s="828"/>
      <c r="AO109" s="828"/>
      <c r="AP109" s="828"/>
      <c r="AQ109" s="828"/>
      <c r="AR109" s="829"/>
      <c r="AS109" s="845"/>
    </row>
    <row r="110" spans="1:45" ht="15" customHeight="1">
      <c r="A110" s="855" t="str">
        <f>A84</f>
        <v>ADDRESS</v>
      </c>
      <c r="B110" s="699"/>
      <c r="C110" s="699"/>
      <c r="D110" s="699"/>
      <c r="E110" s="699"/>
      <c r="F110" s="699"/>
      <c r="G110" s="699"/>
      <c r="H110" s="320"/>
      <c r="I110" s="332">
        <f aca="true" t="shared" si="79" ref="I110:AQ110">IF(ISERR(AW$35),"",AW$35)</f>
      </c>
      <c r="J110" s="332">
        <f t="shared" si="79"/>
      </c>
      <c r="K110" s="332">
        <f t="shared" si="79"/>
      </c>
      <c r="L110" s="332">
        <f t="shared" si="79"/>
      </c>
      <c r="M110" s="332">
        <f t="shared" si="79"/>
      </c>
      <c r="N110" s="332">
        <f t="shared" si="79"/>
      </c>
      <c r="O110" s="332">
        <f t="shared" si="79"/>
      </c>
      <c r="P110" s="332">
        <f t="shared" si="79"/>
      </c>
      <c r="Q110" s="332">
        <f t="shared" si="79"/>
      </c>
      <c r="R110" s="332">
        <f t="shared" si="79"/>
      </c>
      <c r="S110" s="332">
        <f t="shared" si="79"/>
      </c>
      <c r="T110" s="332">
        <f t="shared" si="79"/>
      </c>
      <c r="U110" s="332">
        <f t="shared" si="79"/>
      </c>
      <c r="V110" s="332">
        <f t="shared" si="79"/>
      </c>
      <c r="W110" s="332">
        <f t="shared" si="79"/>
      </c>
      <c r="X110" s="332">
        <f t="shared" si="79"/>
      </c>
      <c r="Y110" s="332">
        <f t="shared" si="79"/>
      </c>
      <c r="Z110" s="332">
        <f t="shared" si="79"/>
      </c>
      <c r="AA110" s="332">
        <f t="shared" si="79"/>
      </c>
      <c r="AB110" s="332">
        <f t="shared" si="79"/>
      </c>
      <c r="AC110" s="332">
        <f t="shared" si="79"/>
      </c>
      <c r="AD110" s="332">
        <f t="shared" si="79"/>
      </c>
      <c r="AE110" s="332">
        <f t="shared" si="79"/>
      </c>
      <c r="AF110" s="332">
        <f t="shared" si="79"/>
      </c>
      <c r="AG110" s="332">
        <f t="shared" si="79"/>
      </c>
      <c r="AH110" s="332">
        <f t="shared" si="79"/>
      </c>
      <c r="AI110" s="332">
        <f t="shared" si="79"/>
      </c>
      <c r="AJ110" s="332">
        <f t="shared" si="79"/>
      </c>
      <c r="AK110" s="332">
        <f t="shared" si="79"/>
      </c>
      <c r="AL110" s="332">
        <f t="shared" si="79"/>
      </c>
      <c r="AM110" s="332">
        <f t="shared" si="79"/>
      </c>
      <c r="AN110" s="332">
        <f t="shared" si="79"/>
      </c>
      <c r="AO110" s="332">
        <f t="shared" si="79"/>
      </c>
      <c r="AP110" s="332">
        <f t="shared" si="79"/>
      </c>
      <c r="AQ110" s="332">
        <f t="shared" si="79"/>
      </c>
      <c r="AR110" s="322"/>
      <c r="AS110" s="845"/>
    </row>
    <row r="111" spans="1:45" ht="7.5" customHeight="1">
      <c r="A111" s="827"/>
      <c r="B111" s="828"/>
      <c r="C111" s="828"/>
      <c r="D111" s="828"/>
      <c r="E111" s="828"/>
      <c r="F111" s="828"/>
      <c r="G111" s="828"/>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9"/>
      <c r="AS111" s="845"/>
    </row>
    <row r="112" spans="1:45" ht="15" customHeight="1">
      <c r="A112" s="856"/>
      <c r="B112" s="460"/>
      <c r="C112" s="460"/>
      <c r="D112" s="460"/>
      <c r="E112" s="460"/>
      <c r="F112" s="460"/>
      <c r="G112" s="460"/>
      <c r="H112" s="857"/>
      <c r="I112" s="332">
        <f aca="true" t="shared" si="80" ref="I112:AQ112">IF(ISERR(CF$35),"",CF$35)</f>
      </c>
      <c r="J112" s="332">
        <f t="shared" si="80"/>
      </c>
      <c r="K112" s="332">
        <f t="shared" si="80"/>
      </c>
      <c r="L112" s="332">
        <f t="shared" si="80"/>
      </c>
      <c r="M112" s="332">
        <f t="shared" si="80"/>
      </c>
      <c r="N112" s="332">
        <f t="shared" si="80"/>
      </c>
      <c r="O112" s="332">
        <f t="shared" si="80"/>
      </c>
      <c r="P112" s="332">
        <f t="shared" si="80"/>
      </c>
      <c r="Q112" s="332">
        <f t="shared" si="80"/>
      </c>
      <c r="R112" s="332">
        <f t="shared" si="80"/>
      </c>
      <c r="S112" s="332">
        <f t="shared" si="80"/>
      </c>
      <c r="T112" s="332">
        <f t="shared" si="80"/>
      </c>
      <c r="U112" s="332">
        <f t="shared" si="80"/>
      </c>
      <c r="V112" s="332">
        <f t="shared" si="80"/>
      </c>
      <c r="W112" s="332">
        <f t="shared" si="80"/>
      </c>
      <c r="X112" s="332">
        <f t="shared" si="80"/>
      </c>
      <c r="Y112" s="332">
        <f t="shared" si="80"/>
      </c>
      <c r="Z112" s="332">
        <f t="shared" si="80"/>
      </c>
      <c r="AA112" s="332">
        <f t="shared" si="80"/>
      </c>
      <c r="AB112" s="332">
        <f t="shared" si="80"/>
      </c>
      <c r="AC112" s="332">
        <f t="shared" si="80"/>
      </c>
      <c r="AD112" s="332">
        <f t="shared" si="80"/>
      </c>
      <c r="AE112" s="332">
        <f t="shared" si="80"/>
      </c>
      <c r="AF112" s="332">
        <f t="shared" si="80"/>
      </c>
      <c r="AG112" s="332">
        <f t="shared" si="80"/>
      </c>
      <c r="AH112" s="332">
        <f t="shared" si="80"/>
      </c>
      <c r="AI112" s="332">
        <f t="shared" si="80"/>
      </c>
      <c r="AJ112" s="332">
        <f t="shared" si="80"/>
      </c>
      <c r="AK112" s="332">
        <f t="shared" si="80"/>
      </c>
      <c r="AL112" s="332">
        <f t="shared" si="80"/>
      </c>
      <c r="AM112" s="332">
        <f t="shared" si="80"/>
      </c>
      <c r="AN112" s="332">
        <f t="shared" si="80"/>
      </c>
      <c r="AO112" s="332">
        <f t="shared" si="80"/>
      </c>
      <c r="AP112" s="332">
        <f t="shared" si="80"/>
      </c>
      <c r="AQ112" s="332">
        <f t="shared" si="80"/>
      </c>
      <c r="AR112" s="322"/>
      <c r="AS112" s="845"/>
    </row>
    <row r="113" spans="1:45" ht="7.5" customHeight="1">
      <c r="A113" s="858"/>
      <c r="B113" s="849"/>
      <c r="C113" s="849"/>
      <c r="D113" s="849"/>
      <c r="E113" s="849"/>
      <c r="F113" s="849"/>
      <c r="G113" s="849"/>
      <c r="H113" s="849"/>
      <c r="I113" s="849"/>
      <c r="J113" s="849"/>
      <c r="K113" s="849"/>
      <c r="L113" s="849"/>
      <c r="M113" s="849"/>
      <c r="N113" s="849"/>
      <c r="O113" s="849"/>
      <c r="P113" s="849"/>
      <c r="Q113" s="849"/>
      <c r="R113" s="849"/>
      <c r="S113" s="849"/>
      <c r="T113" s="849"/>
      <c r="U113" s="849"/>
      <c r="V113" s="849"/>
      <c r="W113" s="849"/>
      <c r="X113" s="849"/>
      <c r="Y113" s="849"/>
      <c r="Z113" s="849"/>
      <c r="AA113" s="849"/>
      <c r="AB113" s="849"/>
      <c r="AC113" s="849"/>
      <c r="AD113" s="849"/>
      <c r="AE113" s="849"/>
      <c r="AF113" s="849"/>
      <c r="AG113" s="849"/>
      <c r="AH113" s="849"/>
      <c r="AI113" s="849"/>
      <c r="AJ113" s="849"/>
      <c r="AK113" s="849"/>
      <c r="AL113" s="849"/>
      <c r="AM113" s="849"/>
      <c r="AN113" s="849"/>
      <c r="AO113" s="849"/>
      <c r="AP113" s="849"/>
      <c r="AQ113" s="849"/>
      <c r="AR113" s="859"/>
      <c r="AS113" s="845"/>
    </row>
    <row r="114" spans="1:45" ht="15" customHeight="1">
      <c r="A114" s="830" t="str">
        <f>A88</f>
        <v>TOWN/CITY</v>
      </c>
      <c r="B114" s="831"/>
      <c r="C114" s="831"/>
      <c r="D114" s="831"/>
      <c r="E114" s="831"/>
      <c r="F114" s="831"/>
      <c r="G114" s="831"/>
      <c r="H114" s="320"/>
      <c r="I114" s="332">
        <f aca="true" t="shared" si="81" ref="I114:AQ114">IF(ISERR(AW$39),"",AW$39)</f>
      </c>
      <c r="J114" s="332">
        <f t="shared" si="81"/>
      </c>
      <c r="K114" s="332">
        <f t="shared" si="81"/>
      </c>
      <c r="L114" s="332">
        <f t="shared" si="81"/>
      </c>
      <c r="M114" s="332">
        <f t="shared" si="81"/>
      </c>
      <c r="N114" s="332">
        <f t="shared" si="81"/>
      </c>
      <c r="O114" s="332">
        <f t="shared" si="81"/>
      </c>
      <c r="P114" s="332">
        <f t="shared" si="81"/>
      </c>
      <c r="Q114" s="332">
        <f t="shared" si="81"/>
      </c>
      <c r="R114" s="332">
        <f t="shared" si="81"/>
      </c>
      <c r="S114" s="332">
        <f t="shared" si="81"/>
      </c>
      <c r="T114" s="332">
        <f t="shared" si="81"/>
      </c>
      <c r="U114" s="332">
        <f t="shared" si="81"/>
      </c>
      <c r="V114" s="332">
        <f t="shared" si="81"/>
      </c>
      <c r="W114" s="332">
        <f t="shared" si="81"/>
      </c>
      <c r="X114" s="332">
        <f t="shared" si="81"/>
      </c>
      <c r="Y114" s="332">
        <f t="shared" si="81"/>
      </c>
      <c r="Z114" s="332">
        <f t="shared" si="81"/>
      </c>
      <c r="AA114" s="332">
        <f t="shared" si="81"/>
      </c>
      <c r="AB114" s="332">
        <f t="shared" si="81"/>
      </c>
      <c r="AC114" s="332">
        <f t="shared" si="81"/>
      </c>
      <c r="AD114" s="332">
        <f t="shared" si="81"/>
      </c>
      <c r="AE114" s="332">
        <f t="shared" si="81"/>
      </c>
      <c r="AF114" s="332">
        <f t="shared" si="81"/>
      </c>
      <c r="AG114" s="332">
        <f t="shared" si="81"/>
      </c>
      <c r="AH114" s="332">
        <f t="shared" si="81"/>
      </c>
      <c r="AI114" s="332">
        <f t="shared" si="81"/>
      </c>
      <c r="AJ114" s="332">
        <f t="shared" si="81"/>
      </c>
      <c r="AK114" s="332">
        <f t="shared" si="81"/>
      </c>
      <c r="AL114" s="332">
        <f t="shared" si="81"/>
      </c>
      <c r="AM114" s="332">
        <f t="shared" si="81"/>
      </c>
      <c r="AN114" s="332">
        <f t="shared" si="81"/>
      </c>
      <c r="AO114" s="332">
        <f t="shared" si="81"/>
      </c>
      <c r="AP114" s="332">
        <f t="shared" si="81"/>
      </c>
      <c r="AQ114" s="332">
        <f t="shared" si="81"/>
      </c>
      <c r="AR114" s="322"/>
      <c r="AS114" s="845"/>
    </row>
    <row r="115" spans="1:45" ht="7.5" customHeight="1">
      <c r="A115" s="858"/>
      <c r="B115" s="849"/>
      <c r="C115" s="849"/>
      <c r="D115" s="849"/>
      <c r="E115" s="849"/>
      <c r="F115" s="849"/>
      <c r="G115" s="849"/>
      <c r="H115" s="849"/>
      <c r="I115" s="849"/>
      <c r="J115" s="849"/>
      <c r="K115" s="849"/>
      <c r="L115" s="849"/>
      <c r="M115" s="849"/>
      <c r="N115" s="849"/>
      <c r="O115" s="849"/>
      <c r="P115" s="849"/>
      <c r="Q115" s="849"/>
      <c r="R115" s="849"/>
      <c r="S115" s="849"/>
      <c r="T115" s="849"/>
      <c r="U115" s="849"/>
      <c r="V115" s="849"/>
      <c r="W115" s="849"/>
      <c r="X115" s="849"/>
      <c r="Y115" s="849"/>
      <c r="Z115" s="849"/>
      <c r="AA115" s="849"/>
      <c r="AB115" s="849"/>
      <c r="AC115" s="849"/>
      <c r="AD115" s="849"/>
      <c r="AE115" s="849"/>
      <c r="AF115" s="849"/>
      <c r="AG115" s="849"/>
      <c r="AH115" s="849"/>
      <c r="AI115" s="849"/>
      <c r="AJ115" s="849"/>
      <c r="AK115" s="849"/>
      <c r="AL115" s="849"/>
      <c r="AM115" s="849"/>
      <c r="AN115" s="849"/>
      <c r="AO115" s="849"/>
      <c r="AP115" s="849"/>
      <c r="AQ115" s="849"/>
      <c r="AR115" s="859"/>
      <c r="AS115" s="845"/>
    </row>
    <row r="116" spans="1:45" ht="15" customHeight="1">
      <c r="A116" s="830" t="str">
        <f>A90</f>
        <v>POSTCODE</v>
      </c>
      <c r="B116" s="831"/>
      <c r="C116" s="831"/>
      <c r="D116" s="831"/>
      <c r="E116" s="831"/>
      <c r="F116" s="831"/>
      <c r="G116" s="831"/>
      <c r="H116" s="320"/>
      <c r="I116" s="332">
        <f>IF(ISERR(AW$41),"",AW$41)</f>
      </c>
      <c r="J116" s="332">
        <f>IF(ISERR(AX$41),"",AX$41)</f>
      </c>
      <c r="K116" s="332">
        <f>IF(ISERR(AY$41),"",AY$41)</f>
      </c>
      <c r="L116" s="332">
        <f>IF(ISERR(AZ$41),"",AZ$41)</f>
      </c>
      <c r="M116" s="832"/>
      <c r="N116" s="469"/>
      <c r="O116" s="469"/>
      <c r="P116" s="469"/>
      <c r="Q116" s="469"/>
      <c r="R116" s="469"/>
      <c r="S116" s="469"/>
      <c r="T116" s="469"/>
      <c r="U116" s="469"/>
      <c r="V116" s="469"/>
      <c r="W116" s="469"/>
      <c r="X116" s="469"/>
      <c r="Y116" s="469"/>
      <c r="Z116" s="469"/>
      <c r="AA116" s="469"/>
      <c r="AB116" s="469"/>
      <c r="AC116" s="469"/>
      <c r="AD116" s="469"/>
      <c r="AE116" s="469"/>
      <c r="AF116" s="469"/>
      <c r="AG116" s="469"/>
      <c r="AH116" s="469"/>
      <c r="AI116" s="469"/>
      <c r="AJ116" s="469"/>
      <c r="AK116" s="469"/>
      <c r="AL116" s="469"/>
      <c r="AM116" s="469"/>
      <c r="AN116" s="469"/>
      <c r="AO116" s="469"/>
      <c r="AP116" s="469"/>
      <c r="AQ116" s="469"/>
      <c r="AR116" s="833"/>
      <c r="AS116" s="845"/>
    </row>
    <row r="117" spans="1:45" ht="9" customHeight="1">
      <c r="A117" s="827"/>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828"/>
      <c r="Z117" s="828"/>
      <c r="AA117" s="828"/>
      <c r="AB117" s="828"/>
      <c r="AC117" s="828"/>
      <c r="AD117" s="828"/>
      <c r="AE117" s="828"/>
      <c r="AF117" s="828"/>
      <c r="AG117" s="828"/>
      <c r="AH117" s="828"/>
      <c r="AI117" s="828"/>
      <c r="AJ117" s="828"/>
      <c r="AK117" s="828"/>
      <c r="AL117" s="828"/>
      <c r="AM117" s="828"/>
      <c r="AN117" s="828"/>
      <c r="AO117" s="828"/>
      <c r="AP117" s="828"/>
      <c r="AQ117" s="828"/>
      <c r="AR117" s="829"/>
      <c r="AS117" s="845"/>
    </row>
    <row r="118" spans="1:45" ht="15" customHeight="1">
      <c r="A118" s="830" t="s">
        <v>894</v>
      </c>
      <c r="B118" s="831"/>
      <c r="C118" s="831"/>
      <c r="D118" s="831"/>
      <c r="E118" s="831"/>
      <c r="F118" s="831"/>
      <c r="G118" s="831"/>
      <c r="H118" s="320"/>
      <c r="I118" s="331">
        <f aca="true" t="shared" si="82" ref="I118:AQ118">IF(ISERR(AW$45),"",AW$45)</f>
      </c>
      <c r="J118" s="331">
        <f t="shared" si="82"/>
      </c>
      <c r="K118" s="331">
        <f t="shared" si="82"/>
      </c>
      <c r="L118" s="331">
        <f t="shared" si="82"/>
      </c>
      <c r="M118" s="331">
        <f t="shared" si="82"/>
      </c>
      <c r="N118" s="331">
        <f t="shared" si="82"/>
      </c>
      <c r="O118" s="331">
        <f t="shared" si="82"/>
      </c>
      <c r="P118" s="331">
        <f t="shared" si="82"/>
      </c>
      <c r="Q118" s="331">
        <f t="shared" si="82"/>
      </c>
      <c r="R118" s="331">
        <f t="shared" si="82"/>
      </c>
      <c r="S118" s="331">
        <f t="shared" si="82"/>
      </c>
      <c r="T118" s="331">
        <f t="shared" si="82"/>
      </c>
      <c r="U118" s="331">
        <f t="shared" si="82"/>
      </c>
      <c r="V118" s="331">
        <f t="shared" si="82"/>
      </c>
      <c r="W118" s="331">
        <f t="shared" si="82"/>
      </c>
      <c r="X118" s="331">
        <f t="shared" si="82"/>
      </c>
      <c r="Y118" s="331">
        <f t="shared" si="82"/>
      </c>
      <c r="Z118" s="331">
        <f t="shared" si="82"/>
      </c>
      <c r="AA118" s="331">
        <f t="shared" si="82"/>
      </c>
      <c r="AB118" s="331">
        <f t="shared" si="82"/>
      </c>
      <c r="AC118" s="331">
        <f t="shared" si="82"/>
      </c>
      <c r="AD118" s="331">
        <f t="shared" si="82"/>
      </c>
      <c r="AE118" s="331">
        <f t="shared" si="82"/>
      </c>
      <c r="AF118" s="331">
        <f t="shared" si="82"/>
      </c>
      <c r="AG118" s="331">
        <f t="shared" si="82"/>
      </c>
      <c r="AH118" s="331">
        <f t="shared" si="82"/>
      </c>
      <c r="AI118" s="331">
        <f t="shared" si="82"/>
      </c>
      <c r="AJ118" s="331">
        <f t="shared" si="82"/>
      </c>
      <c r="AK118" s="331">
        <f t="shared" si="82"/>
      </c>
      <c r="AL118" s="331">
        <f t="shared" si="82"/>
      </c>
      <c r="AM118" s="331">
        <f t="shared" si="82"/>
      </c>
      <c r="AN118" s="331">
        <f t="shared" si="82"/>
      </c>
      <c r="AO118" s="331">
        <f t="shared" si="82"/>
      </c>
      <c r="AP118" s="331">
        <f t="shared" si="82"/>
      </c>
      <c r="AQ118" s="332">
        <f t="shared" si="82"/>
      </c>
      <c r="AR118" s="323"/>
      <c r="AS118" s="845"/>
    </row>
    <row r="119" spans="1:45" ht="9" customHeight="1">
      <c r="A119" s="827"/>
      <c r="B119" s="828"/>
      <c r="C119" s="828"/>
      <c r="D119" s="828"/>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8"/>
      <c r="AB119" s="828"/>
      <c r="AC119" s="828"/>
      <c r="AD119" s="828"/>
      <c r="AE119" s="828"/>
      <c r="AF119" s="828"/>
      <c r="AG119" s="828"/>
      <c r="AH119" s="828"/>
      <c r="AI119" s="828"/>
      <c r="AJ119" s="828"/>
      <c r="AK119" s="828"/>
      <c r="AL119" s="828"/>
      <c r="AM119" s="828"/>
      <c r="AN119" s="828"/>
      <c r="AO119" s="828"/>
      <c r="AP119" s="828"/>
      <c r="AQ119" s="828"/>
      <c r="AR119" s="829"/>
      <c r="AS119" s="845"/>
    </row>
    <row r="120" spans="1:45" ht="15" customHeight="1">
      <c r="A120" s="830" t="s">
        <v>895</v>
      </c>
      <c r="B120" s="831"/>
      <c r="C120" s="831"/>
      <c r="D120" s="831"/>
      <c r="E120" s="831"/>
      <c r="F120" s="831"/>
      <c r="G120" s="831"/>
      <c r="H120" s="320"/>
      <c r="I120" s="332">
        <f>IF(ISERR(AW$43),"",AW$43)</f>
      </c>
      <c r="J120" s="332">
        <f>IF(ISERR(AX$43),"",AX$43)</f>
      </c>
      <c r="K120" s="332">
        <f>IF(ISERR(AY$43),"",AY$43)</f>
      </c>
      <c r="L120" s="335" t="str">
        <f>"-"</f>
        <v>-</v>
      </c>
      <c r="M120" s="332">
        <f aca="true" t="shared" si="83" ref="M120:S120">IF(ISERR(BA$43),"",BA$43)</f>
      </c>
      <c r="N120" s="332">
        <f t="shared" si="83"/>
      </c>
      <c r="O120" s="332">
        <f t="shared" si="83"/>
      </c>
      <c r="P120" s="332">
        <f t="shared" si="83"/>
      </c>
      <c r="Q120" s="332">
        <f t="shared" si="83"/>
      </c>
      <c r="R120" s="332">
        <f t="shared" si="83"/>
      </c>
      <c r="S120" s="332">
        <f t="shared" si="83"/>
      </c>
      <c r="T120" s="335" t="str">
        <f>"-"</f>
        <v>-</v>
      </c>
      <c r="U120" s="332">
        <f>IF(ISERR(BI$43),"",BI$43)</f>
      </c>
      <c r="V120" s="332">
        <f>IF(ISERR(BJ$43),"",BJ$43)</f>
      </c>
      <c r="W120" s="332">
        <f>IF(ISERR(BK$43),"",BK$43)</f>
      </c>
      <c r="X120" s="851"/>
      <c r="Y120" s="852"/>
      <c r="Z120" s="852"/>
      <c r="AA120" s="852"/>
      <c r="AB120" s="852"/>
      <c r="AC120" s="852"/>
      <c r="AD120" s="852"/>
      <c r="AE120" s="852"/>
      <c r="AF120" s="852"/>
      <c r="AG120" s="852"/>
      <c r="AH120" s="852"/>
      <c r="AI120" s="852"/>
      <c r="AJ120" s="852"/>
      <c r="AK120" s="852"/>
      <c r="AL120" s="852"/>
      <c r="AM120" s="852"/>
      <c r="AN120" s="852"/>
      <c r="AO120" s="852"/>
      <c r="AP120" s="852"/>
      <c r="AQ120" s="852"/>
      <c r="AR120" s="329"/>
      <c r="AS120" s="845"/>
    </row>
    <row r="121" spans="1:45" ht="6.75" customHeight="1">
      <c r="A121" s="827"/>
      <c r="B121" s="828"/>
      <c r="C121" s="828"/>
      <c r="D121" s="828"/>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8"/>
      <c r="AB121" s="828"/>
      <c r="AC121" s="828"/>
      <c r="AD121" s="828"/>
      <c r="AE121" s="828"/>
      <c r="AF121" s="828"/>
      <c r="AG121" s="828"/>
      <c r="AH121" s="828"/>
      <c r="AI121" s="828"/>
      <c r="AJ121" s="828"/>
      <c r="AK121" s="828"/>
      <c r="AL121" s="828"/>
      <c r="AM121" s="828"/>
      <c r="AN121" s="828"/>
      <c r="AO121" s="828"/>
      <c r="AP121" s="828"/>
      <c r="AQ121" s="828"/>
      <c r="AR121" s="829"/>
      <c r="AS121" s="845"/>
    </row>
    <row r="122" spans="1:45" ht="15" customHeight="1">
      <c r="A122" s="830" t="s">
        <v>896</v>
      </c>
      <c r="B122" s="831"/>
      <c r="C122" s="831"/>
      <c r="D122" s="831"/>
      <c r="E122" s="831"/>
      <c r="F122" s="831"/>
      <c r="G122" s="831"/>
      <c r="H122" s="320"/>
      <c r="I122" s="332">
        <f>IF(ISERR(AW$47),"",AW$47)</f>
      </c>
      <c r="J122" s="332">
        <f>IF(ISERR(AX$47),"",AX$47)</f>
      </c>
      <c r="K122" s="332">
        <f>IF(ISERR(AY$47),"",AY$47)</f>
      </c>
      <c r="L122" s="846"/>
      <c r="M122" s="847"/>
      <c r="N122" s="847"/>
      <c r="O122" s="847"/>
      <c r="P122" s="847"/>
      <c r="Q122" s="847"/>
      <c r="R122" s="847"/>
      <c r="S122" s="847"/>
      <c r="T122" s="847"/>
      <c r="U122" s="847"/>
      <c r="V122" s="847"/>
      <c r="W122" s="847"/>
      <c r="X122" s="847"/>
      <c r="Y122" s="847"/>
      <c r="Z122" s="847"/>
      <c r="AA122" s="847"/>
      <c r="AB122" s="847"/>
      <c r="AC122" s="847"/>
      <c r="AD122" s="847"/>
      <c r="AE122" s="847"/>
      <c r="AF122" s="847"/>
      <c r="AG122" s="847"/>
      <c r="AH122" s="847"/>
      <c r="AI122" s="847"/>
      <c r="AJ122" s="847"/>
      <c r="AK122" s="847"/>
      <c r="AL122" s="847"/>
      <c r="AM122" s="847"/>
      <c r="AN122" s="847"/>
      <c r="AO122" s="847"/>
      <c r="AP122" s="847"/>
      <c r="AQ122" s="847"/>
      <c r="AR122" s="848"/>
      <c r="AS122" s="845"/>
    </row>
    <row r="123" spans="1:45" ht="6.75" customHeight="1" thickBot="1">
      <c r="A123" s="834"/>
      <c r="B123" s="835"/>
      <c r="C123" s="835"/>
      <c r="D123" s="835"/>
      <c r="E123" s="835"/>
      <c r="F123" s="835"/>
      <c r="G123" s="835"/>
      <c r="H123" s="835"/>
      <c r="I123" s="835"/>
      <c r="J123" s="835"/>
      <c r="K123" s="835"/>
      <c r="L123" s="835"/>
      <c r="M123" s="835"/>
      <c r="N123" s="835"/>
      <c r="O123" s="835"/>
      <c r="P123" s="835"/>
      <c r="Q123" s="835"/>
      <c r="R123" s="835"/>
      <c r="S123" s="835"/>
      <c r="T123" s="835"/>
      <c r="U123" s="835"/>
      <c r="V123" s="835"/>
      <c r="W123" s="835"/>
      <c r="X123" s="835"/>
      <c r="Y123" s="835"/>
      <c r="Z123" s="835"/>
      <c r="AA123" s="835"/>
      <c r="AB123" s="835"/>
      <c r="AC123" s="835"/>
      <c r="AD123" s="835"/>
      <c r="AE123" s="835"/>
      <c r="AF123" s="835"/>
      <c r="AG123" s="835"/>
      <c r="AH123" s="835"/>
      <c r="AI123" s="835"/>
      <c r="AJ123" s="835"/>
      <c r="AK123" s="835"/>
      <c r="AL123" s="835"/>
      <c r="AM123" s="835"/>
      <c r="AN123" s="835"/>
      <c r="AO123" s="835"/>
      <c r="AP123" s="835"/>
      <c r="AQ123" s="835"/>
      <c r="AR123" s="836"/>
      <c r="AS123" s="845"/>
    </row>
    <row r="124" spans="1:45" ht="15" customHeight="1" thickBot="1" thickTop="1">
      <c r="A124" s="854"/>
      <c r="B124" s="854"/>
      <c r="C124" s="854"/>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4"/>
      <c r="AI124" s="854"/>
      <c r="AJ124" s="854"/>
      <c r="AK124" s="854"/>
      <c r="AL124" s="854"/>
      <c r="AM124" s="854"/>
      <c r="AN124" s="854"/>
      <c r="AO124" s="854"/>
      <c r="AP124" s="854"/>
      <c r="AQ124" s="854"/>
      <c r="AR124" s="854"/>
      <c r="AS124" s="845"/>
    </row>
    <row r="125" spans="1:45" ht="6.75" customHeight="1">
      <c r="A125" s="817"/>
      <c r="B125" s="818"/>
      <c r="C125" s="818"/>
      <c r="D125" s="818"/>
      <c r="E125" s="818"/>
      <c r="F125" s="818"/>
      <c r="G125" s="818"/>
      <c r="H125" s="818"/>
      <c r="I125" s="818"/>
      <c r="J125" s="818"/>
      <c r="K125" s="818"/>
      <c r="L125" s="818"/>
      <c r="M125" s="818"/>
      <c r="N125" s="818"/>
      <c r="O125" s="818"/>
      <c r="P125" s="818"/>
      <c r="Q125" s="818"/>
      <c r="R125" s="818"/>
      <c r="S125" s="818"/>
      <c r="T125" s="818"/>
      <c r="U125" s="818"/>
      <c r="V125" s="819"/>
      <c r="W125" s="818"/>
      <c r="X125" s="818"/>
      <c r="Y125" s="818"/>
      <c r="Z125" s="818"/>
      <c r="AA125" s="818"/>
      <c r="AB125" s="818"/>
      <c r="AC125" s="818"/>
      <c r="AD125" s="818"/>
      <c r="AE125" s="818"/>
      <c r="AF125" s="818"/>
      <c r="AG125" s="818"/>
      <c r="AH125" s="818"/>
      <c r="AI125" s="818"/>
      <c r="AJ125" s="818"/>
      <c r="AK125" s="818"/>
      <c r="AL125" s="818"/>
      <c r="AM125" s="818"/>
      <c r="AN125" s="818"/>
      <c r="AO125" s="818"/>
      <c r="AP125" s="818"/>
      <c r="AQ125" s="818"/>
      <c r="AR125" s="819"/>
      <c r="AS125" s="845"/>
    </row>
    <row r="126" spans="1:55" s="320" customFormat="1" ht="15" customHeight="1">
      <c r="A126" s="820" t="s">
        <v>911</v>
      </c>
      <c r="B126" s="821"/>
      <c r="C126" s="821"/>
      <c r="D126" s="821"/>
      <c r="E126" s="821"/>
      <c r="F126" s="821"/>
      <c r="G126" s="821"/>
      <c r="H126" s="821"/>
      <c r="I126" s="821"/>
      <c r="J126" s="821"/>
      <c r="K126" s="821"/>
      <c r="L126" s="821"/>
      <c r="M126" s="821"/>
      <c r="N126" s="821"/>
      <c r="O126" s="821"/>
      <c r="P126" s="821"/>
      <c r="Q126" s="821"/>
      <c r="R126" s="821"/>
      <c r="S126" s="821"/>
      <c r="T126" s="821"/>
      <c r="U126" s="821"/>
      <c r="V126" s="822"/>
      <c r="W126" s="823" t="s">
        <v>912</v>
      </c>
      <c r="X126" s="824"/>
      <c r="Y126" s="824"/>
      <c r="Z126" s="824"/>
      <c r="AA126" s="824"/>
      <c r="AB126" s="824"/>
      <c r="AC126" s="824"/>
      <c r="AD126" s="824"/>
      <c r="AE126" s="824"/>
      <c r="AF126" s="824"/>
      <c r="AG126" s="824"/>
      <c r="AH126" s="824"/>
      <c r="AI126" s="824"/>
      <c r="AJ126" s="824"/>
      <c r="AK126" s="824"/>
      <c r="AL126" s="824"/>
      <c r="AM126" s="824"/>
      <c r="AN126" s="824"/>
      <c r="AO126" s="824"/>
      <c r="AP126" s="824"/>
      <c r="AQ126" s="824"/>
      <c r="AR126" s="825"/>
      <c r="AS126" s="845"/>
      <c r="BC126" s="325"/>
    </row>
    <row r="127" spans="1:45" ht="15" customHeight="1">
      <c r="A127" s="820"/>
      <c r="B127" s="821"/>
      <c r="C127" s="821"/>
      <c r="D127" s="821"/>
      <c r="E127" s="821"/>
      <c r="F127" s="821"/>
      <c r="G127" s="821"/>
      <c r="H127" s="821"/>
      <c r="I127" s="821"/>
      <c r="J127" s="821"/>
      <c r="K127" s="821"/>
      <c r="L127" s="821"/>
      <c r="M127" s="821"/>
      <c r="N127" s="821"/>
      <c r="O127" s="821"/>
      <c r="P127" s="821"/>
      <c r="Q127" s="821"/>
      <c r="R127" s="821"/>
      <c r="S127" s="821"/>
      <c r="T127" s="821"/>
      <c r="U127" s="821"/>
      <c r="V127" s="822"/>
      <c r="W127" s="826"/>
      <c r="X127" s="824"/>
      <c r="Y127" s="824"/>
      <c r="Z127" s="824"/>
      <c r="AA127" s="824"/>
      <c r="AB127" s="824"/>
      <c r="AC127" s="824"/>
      <c r="AD127" s="824"/>
      <c r="AE127" s="824"/>
      <c r="AF127" s="824"/>
      <c r="AG127" s="824"/>
      <c r="AH127" s="824"/>
      <c r="AI127" s="824"/>
      <c r="AJ127" s="824"/>
      <c r="AK127" s="824"/>
      <c r="AL127" s="824"/>
      <c r="AM127" s="824"/>
      <c r="AN127" s="824"/>
      <c r="AO127" s="824"/>
      <c r="AP127" s="824"/>
      <c r="AQ127" s="824"/>
      <c r="AR127" s="825"/>
      <c r="AS127" s="845"/>
    </row>
    <row r="128" spans="1:45" ht="9" customHeight="1">
      <c r="A128" s="837"/>
      <c r="B128" s="838"/>
      <c r="C128" s="838"/>
      <c r="D128" s="838"/>
      <c r="E128" s="838"/>
      <c r="F128" s="838"/>
      <c r="G128" s="838"/>
      <c r="H128" s="838"/>
      <c r="I128" s="838"/>
      <c r="J128" s="838"/>
      <c r="K128" s="838"/>
      <c r="L128" s="838"/>
      <c r="M128" s="838"/>
      <c r="N128" s="838"/>
      <c r="O128" s="838"/>
      <c r="P128" s="838"/>
      <c r="Q128" s="838"/>
      <c r="R128" s="838"/>
      <c r="S128" s="838"/>
      <c r="T128" s="838"/>
      <c r="U128" s="838"/>
      <c r="V128" s="839"/>
      <c r="W128" s="837"/>
      <c r="X128" s="838"/>
      <c r="Y128" s="838"/>
      <c r="Z128" s="838"/>
      <c r="AA128" s="838"/>
      <c r="AB128" s="838"/>
      <c r="AC128" s="838"/>
      <c r="AD128" s="838"/>
      <c r="AE128" s="838"/>
      <c r="AF128" s="838"/>
      <c r="AG128" s="838"/>
      <c r="AH128" s="838"/>
      <c r="AI128" s="838"/>
      <c r="AJ128" s="838"/>
      <c r="AK128" s="838"/>
      <c r="AL128" s="838"/>
      <c r="AM128" s="838"/>
      <c r="AN128" s="838"/>
      <c r="AO128" s="838"/>
      <c r="AP128" s="838"/>
      <c r="AQ128" s="838"/>
      <c r="AR128" s="839"/>
      <c r="AS128" s="845"/>
    </row>
    <row r="129" spans="1:45" ht="15" customHeight="1">
      <c r="A129" s="837"/>
      <c r="B129" s="838"/>
      <c r="C129" s="838"/>
      <c r="D129" s="838"/>
      <c r="E129" s="838"/>
      <c r="F129" s="838"/>
      <c r="G129" s="838"/>
      <c r="H129" s="838"/>
      <c r="I129" s="838"/>
      <c r="J129" s="838"/>
      <c r="K129" s="838"/>
      <c r="L129" s="838"/>
      <c r="M129" s="838"/>
      <c r="N129" s="838"/>
      <c r="O129" s="838"/>
      <c r="P129" s="838"/>
      <c r="Q129" s="838"/>
      <c r="R129" s="838"/>
      <c r="S129" s="838"/>
      <c r="T129" s="838"/>
      <c r="U129" s="838"/>
      <c r="V129" s="839"/>
      <c r="W129" s="837"/>
      <c r="X129" s="838"/>
      <c r="Y129" s="838"/>
      <c r="Z129" s="838"/>
      <c r="AA129" s="838"/>
      <c r="AB129" s="838"/>
      <c r="AC129" s="838"/>
      <c r="AD129" s="838"/>
      <c r="AE129" s="838"/>
      <c r="AF129" s="838"/>
      <c r="AG129" s="838"/>
      <c r="AH129" s="838"/>
      <c r="AI129" s="838"/>
      <c r="AJ129" s="838"/>
      <c r="AK129" s="838"/>
      <c r="AL129" s="838"/>
      <c r="AM129" s="838"/>
      <c r="AN129" s="838"/>
      <c r="AO129" s="838"/>
      <c r="AP129" s="838"/>
      <c r="AQ129" s="838"/>
      <c r="AR129" s="839"/>
      <c r="AS129" s="845"/>
    </row>
    <row r="130" spans="1:45" ht="7.5" customHeight="1">
      <c r="A130" s="837"/>
      <c r="B130" s="838"/>
      <c r="C130" s="838"/>
      <c r="D130" s="838"/>
      <c r="E130" s="838"/>
      <c r="F130" s="838"/>
      <c r="G130" s="838"/>
      <c r="H130" s="838"/>
      <c r="I130" s="838"/>
      <c r="J130" s="838"/>
      <c r="K130" s="838"/>
      <c r="L130" s="838"/>
      <c r="M130" s="838"/>
      <c r="N130" s="838"/>
      <c r="O130" s="838"/>
      <c r="P130" s="838"/>
      <c r="Q130" s="838"/>
      <c r="R130" s="838"/>
      <c r="S130" s="838"/>
      <c r="T130" s="838"/>
      <c r="U130" s="838"/>
      <c r="V130" s="839"/>
      <c r="W130" s="837"/>
      <c r="X130" s="838"/>
      <c r="Y130" s="838"/>
      <c r="Z130" s="838"/>
      <c r="AA130" s="838"/>
      <c r="AB130" s="838"/>
      <c r="AC130" s="838"/>
      <c r="AD130" s="838"/>
      <c r="AE130" s="838"/>
      <c r="AF130" s="838"/>
      <c r="AG130" s="838"/>
      <c r="AH130" s="838"/>
      <c r="AI130" s="838"/>
      <c r="AJ130" s="838"/>
      <c r="AK130" s="838"/>
      <c r="AL130" s="838"/>
      <c r="AM130" s="838"/>
      <c r="AN130" s="838"/>
      <c r="AO130" s="838"/>
      <c r="AP130" s="838"/>
      <c r="AQ130" s="838"/>
      <c r="AR130" s="839"/>
      <c r="AS130" s="845"/>
    </row>
    <row r="131" spans="1:45" ht="15" customHeight="1">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9"/>
      <c r="W131" s="837"/>
      <c r="X131" s="838"/>
      <c r="Y131" s="838"/>
      <c r="Z131" s="838"/>
      <c r="AA131" s="838"/>
      <c r="AB131" s="838"/>
      <c r="AC131" s="838"/>
      <c r="AD131" s="838"/>
      <c r="AE131" s="838"/>
      <c r="AF131" s="838"/>
      <c r="AG131" s="838"/>
      <c r="AH131" s="838"/>
      <c r="AI131" s="838"/>
      <c r="AJ131" s="838"/>
      <c r="AK131" s="838"/>
      <c r="AL131" s="838"/>
      <c r="AM131" s="838"/>
      <c r="AN131" s="838"/>
      <c r="AO131" s="838"/>
      <c r="AP131" s="838"/>
      <c r="AQ131" s="838"/>
      <c r="AR131" s="839"/>
      <c r="AS131" s="845"/>
    </row>
    <row r="132" spans="1:45" ht="9" customHeight="1">
      <c r="A132" s="837"/>
      <c r="B132" s="838"/>
      <c r="C132" s="838"/>
      <c r="D132" s="838"/>
      <c r="E132" s="838"/>
      <c r="F132" s="838"/>
      <c r="G132" s="838"/>
      <c r="H132" s="838"/>
      <c r="I132" s="838"/>
      <c r="J132" s="838"/>
      <c r="K132" s="838"/>
      <c r="L132" s="838"/>
      <c r="M132" s="838"/>
      <c r="N132" s="838"/>
      <c r="O132" s="838"/>
      <c r="P132" s="838"/>
      <c r="Q132" s="838"/>
      <c r="R132" s="838"/>
      <c r="S132" s="838"/>
      <c r="T132" s="838"/>
      <c r="U132" s="838"/>
      <c r="V132" s="839"/>
      <c r="W132" s="837"/>
      <c r="X132" s="838"/>
      <c r="Y132" s="838"/>
      <c r="Z132" s="838"/>
      <c r="AA132" s="838"/>
      <c r="AB132" s="838"/>
      <c r="AC132" s="838"/>
      <c r="AD132" s="838"/>
      <c r="AE132" s="838"/>
      <c r="AF132" s="838"/>
      <c r="AG132" s="838"/>
      <c r="AH132" s="838"/>
      <c r="AI132" s="838"/>
      <c r="AJ132" s="838"/>
      <c r="AK132" s="838"/>
      <c r="AL132" s="838"/>
      <c r="AM132" s="838"/>
      <c r="AN132" s="838"/>
      <c r="AO132" s="838"/>
      <c r="AP132" s="838"/>
      <c r="AQ132" s="838"/>
      <c r="AR132" s="839"/>
      <c r="AS132" s="845"/>
    </row>
    <row r="133" spans="1:45" ht="15" customHeight="1">
      <c r="A133" s="837"/>
      <c r="B133" s="838"/>
      <c r="C133" s="838"/>
      <c r="D133" s="838"/>
      <c r="E133" s="838"/>
      <c r="F133" s="838"/>
      <c r="G133" s="838"/>
      <c r="H133" s="838"/>
      <c r="I133" s="838"/>
      <c r="J133" s="838"/>
      <c r="K133" s="838"/>
      <c r="L133" s="838"/>
      <c r="M133" s="838"/>
      <c r="N133" s="838"/>
      <c r="O133" s="838"/>
      <c r="P133" s="838"/>
      <c r="Q133" s="838"/>
      <c r="R133" s="838"/>
      <c r="S133" s="838"/>
      <c r="T133" s="838"/>
      <c r="U133" s="838"/>
      <c r="V133" s="839"/>
      <c r="W133" s="837"/>
      <c r="X133" s="838"/>
      <c r="Y133" s="838"/>
      <c r="Z133" s="838"/>
      <c r="AA133" s="838"/>
      <c r="AB133" s="838"/>
      <c r="AC133" s="838"/>
      <c r="AD133" s="838"/>
      <c r="AE133" s="838"/>
      <c r="AF133" s="838"/>
      <c r="AG133" s="838"/>
      <c r="AH133" s="838"/>
      <c r="AI133" s="838"/>
      <c r="AJ133" s="838"/>
      <c r="AK133" s="838"/>
      <c r="AL133" s="838"/>
      <c r="AM133" s="838"/>
      <c r="AN133" s="838"/>
      <c r="AO133" s="838"/>
      <c r="AP133" s="838"/>
      <c r="AQ133" s="838"/>
      <c r="AR133" s="839"/>
      <c r="AS133" s="845"/>
    </row>
    <row r="134" spans="1:45" ht="7.5" customHeight="1">
      <c r="A134" s="837"/>
      <c r="B134" s="838"/>
      <c r="C134" s="838"/>
      <c r="D134" s="838"/>
      <c r="E134" s="838"/>
      <c r="F134" s="838"/>
      <c r="G134" s="838"/>
      <c r="H134" s="838"/>
      <c r="I134" s="838"/>
      <c r="J134" s="838"/>
      <c r="K134" s="838"/>
      <c r="L134" s="838"/>
      <c r="M134" s="838"/>
      <c r="N134" s="838"/>
      <c r="O134" s="838"/>
      <c r="P134" s="838"/>
      <c r="Q134" s="838"/>
      <c r="R134" s="838"/>
      <c r="S134" s="838"/>
      <c r="T134" s="838"/>
      <c r="U134" s="838"/>
      <c r="V134" s="839"/>
      <c r="W134" s="837"/>
      <c r="X134" s="838"/>
      <c r="Y134" s="838"/>
      <c r="Z134" s="838"/>
      <c r="AA134" s="838"/>
      <c r="AB134" s="838"/>
      <c r="AC134" s="838"/>
      <c r="AD134" s="838"/>
      <c r="AE134" s="838"/>
      <c r="AF134" s="838"/>
      <c r="AG134" s="838"/>
      <c r="AH134" s="838"/>
      <c r="AI134" s="838"/>
      <c r="AJ134" s="838"/>
      <c r="AK134" s="838"/>
      <c r="AL134" s="838"/>
      <c r="AM134" s="838"/>
      <c r="AN134" s="838"/>
      <c r="AO134" s="838"/>
      <c r="AP134" s="838"/>
      <c r="AQ134" s="838"/>
      <c r="AR134" s="839"/>
      <c r="AS134" s="845"/>
    </row>
    <row r="135" spans="1:45" ht="15" customHeight="1">
      <c r="A135" s="837"/>
      <c r="B135" s="838"/>
      <c r="C135" s="838"/>
      <c r="D135" s="838"/>
      <c r="E135" s="838"/>
      <c r="F135" s="838"/>
      <c r="G135" s="838"/>
      <c r="H135" s="838"/>
      <c r="I135" s="838"/>
      <c r="J135" s="838"/>
      <c r="K135" s="838"/>
      <c r="L135" s="838"/>
      <c r="M135" s="838"/>
      <c r="N135" s="838"/>
      <c r="O135" s="838"/>
      <c r="P135" s="838"/>
      <c r="Q135" s="838"/>
      <c r="R135" s="838"/>
      <c r="S135" s="838"/>
      <c r="T135" s="838"/>
      <c r="U135" s="838"/>
      <c r="V135" s="839"/>
      <c r="W135" s="837"/>
      <c r="X135" s="838"/>
      <c r="Y135" s="838"/>
      <c r="Z135" s="838"/>
      <c r="AA135" s="838"/>
      <c r="AB135" s="838"/>
      <c r="AC135" s="838"/>
      <c r="AD135" s="838"/>
      <c r="AE135" s="838"/>
      <c r="AF135" s="838"/>
      <c r="AG135" s="838"/>
      <c r="AH135" s="838"/>
      <c r="AI135" s="838"/>
      <c r="AJ135" s="838"/>
      <c r="AK135" s="838"/>
      <c r="AL135" s="838"/>
      <c r="AM135" s="838"/>
      <c r="AN135" s="838"/>
      <c r="AO135" s="838"/>
      <c r="AP135" s="838"/>
      <c r="AQ135" s="838"/>
      <c r="AR135" s="839"/>
      <c r="AS135" s="845"/>
    </row>
    <row r="136" spans="1:45" ht="7.5" customHeight="1">
      <c r="A136" s="837"/>
      <c r="B136" s="838"/>
      <c r="C136" s="838"/>
      <c r="D136" s="838"/>
      <c r="E136" s="838"/>
      <c r="F136" s="838"/>
      <c r="G136" s="838"/>
      <c r="H136" s="838"/>
      <c r="I136" s="838"/>
      <c r="J136" s="838"/>
      <c r="K136" s="838"/>
      <c r="L136" s="838"/>
      <c r="M136" s="838"/>
      <c r="N136" s="838"/>
      <c r="O136" s="838"/>
      <c r="P136" s="838"/>
      <c r="Q136" s="838"/>
      <c r="R136" s="838"/>
      <c r="S136" s="838"/>
      <c r="T136" s="838"/>
      <c r="U136" s="838"/>
      <c r="V136" s="839"/>
      <c r="W136" s="837"/>
      <c r="X136" s="838"/>
      <c r="Y136" s="838"/>
      <c r="Z136" s="838"/>
      <c r="AA136" s="838"/>
      <c r="AB136" s="838"/>
      <c r="AC136" s="838"/>
      <c r="AD136" s="838"/>
      <c r="AE136" s="838"/>
      <c r="AF136" s="838"/>
      <c r="AG136" s="838"/>
      <c r="AH136" s="838"/>
      <c r="AI136" s="838"/>
      <c r="AJ136" s="838"/>
      <c r="AK136" s="838"/>
      <c r="AL136" s="838"/>
      <c r="AM136" s="838"/>
      <c r="AN136" s="838"/>
      <c r="AO136" s="838"/>
      <c r="AP136" s="838"/>
      <c r="AQ136" s="838"/>
      <c r="AR136" s="839"/>
      <c r="AS136" s="845"/>
    </row>
    <row r="137" spans="1:45" ht="15" customHeight="1">
      <c r="A137" s="837"/>
      <c r="B137" s="838"/>
      <c r="C137" s="838"/>
      <c r="D137" s="838"/>
      <c r="E137" s="838"/>
      <c r="F137" s="838"/>
      <c r="G137" s="838"/>
      <c r="H137" s="838"/>
      <c r="I137" s="838"/>
      <c r="J137" s="838"/>
      <c r="K137" s="838"/>
      <c r="L137" s="838"/>
      <c r="M137" s="838"/>
      <c r="N137" s="838"/>
      <c r="O137" s="838"/>
      <c r="P137" s="838"/>
      <c r="Q137" s="838"/>
      <c r="R137" s="838"/>
      <c r="S137" s="838"/>
      <c r="T137" s="838"/>
      <c r="U137" s="838"/>
      <c r="V137" s="839"/>
      <c r="W137" s="837"/>
      <c r="X137" s="838"/>
      <c r="Y137" s="838"/>
      <c r="Z137" s="838"/>
      <c r="AA137" s="838"/>
      <c r="AB137" s="838"/>
      <c r="AC137" s="838"/>
      <c r="AD137" s="838"/>
      <c r="AE137" s="838"/>
      <c r="AF137" s="838"/>
      <c r="AG137" s="838"/>
      <c r="AH137" s="838"/>
      <c r="AI137" s="838"/>
      <c r="AJ137" s="838"/>
      <c r="AK137" s="838"/>
      <c r="AL137" s="838"/>
      <c r="AM137" s="838"/>
      <c r="AN137" s="838"/>
      <c r="AO137" s="838"/>
      <c r="AP137" s="838"/>
      <c r="AQ137" s="838"/>
      <c r="AR137" s="839"/>
      <c r="AS137" s="845"/>
    </row>
    <row r="138" spans="1:45" ht="15" customHeight="1">
      <c r="A138" s="837"/>
      <c r="B138" s="838"/>
      <c r="C138" s="838"/>
      <c r="D138" s="838"/>
      <c r="E138" s="838"/>
      <c r="F138" s="838"/>
      <c r="G138" s="838"/>
      <c r="H138" s="838"/>
      <c r="I138" s="838"/>
      <c r="J138" s="838"/>
      <c r="K138" s="838"/>
      <c r="L138" s="838"/>
      <c r="M138" s="838"/>
      <c r="N138" s="838"/>
      <c r="O138" s="838"/>
      <c r="P138" s="838"/>
      <c r="Q138" s="838"/>
      <c r="R138" s="838"/>
      <c r="S138" s="838"/>
      <c r="T138" s="838"/>
      <c r="U138" s="838"/>
      <c r="V138" s="839"/>
      <c r="W138" s="837"/>
      <c r="X138" s="838"/>
      <c r="Y138" s="838"/>
      <c r="Z138" s="838"/>
      <c r="AA138" s="838"/>
      <c r="AB138" s="838"/>
      <c r="AC138" s="838"/>
      <c r="AD138" s="838"/>
      <c r="AE138" s="838"/>
      <c r="AF138" s="838"/>
      <c r="AG138" s="838"/>
      <c r="AH138" s="838"/>
      <c r="AI138" s="838"/>
      <c r="AJ138" s="838"/>
      <c r="AK138" s="838"/>
      <c r="AL138" s="838"/>
      <c r="AM138" s="838"/>
      <c r="AN138" s="838"/>
      <c r="AO138" s="838"/>
      <c r="AP138" s="838"/>
      <c r="AQ138" s="838"/>
      <c r="AR138" s="839"/>
      <c r="AS138" s="845"/>
    </row>
    <row r="139" spans="1:45" ht="15" customHeight="1">
      <c r="A139" s="837"/>
      <c r="B139" s="838"/>
      <c r="C139" s="838"/>
      <c r="D139" s="838"/>
      <c r="E139" s="838"/>
      <c r="F139" s="838"/>
      <c r="G139" s="838"/>
      <c r="H139" s="838"/>
      <c r="I139" s="838"/>
      <c r="J139" s="838"/>
      <c r="K139" s="838"/>
      <c r="L139" s="838"/>
      <c r="M139" s="838"/>
      <c r="N139" s="838"/>
      <c r="O139" s="838"/>
      <c r="P139" s="838"/>
      <c r="Q139" s="838"/>
      <c r="R139" s="838"/>
      <c r="S139" s="838"/>
      <c r="T139" s="838"/>
      <c r="U139" s="838"/>
      <c r="V139" s="839"/>
      <c r="W139" s="837"/>
      <c r="X139" s="838"/>
      <c r="Y139" s="838"/>
      <c r="Z139" s="838"/>
      <c r="AA139" s="838"/>
      <c r="AB139" s="838"/>
      <c r="AC139" s="838"/>
      <c r="AD139" s="838"/>
      <c r="AE139" s="838"/>
      <c r="AF139" s="838"/>
      <c r="AG139" s="838"/>
      <c r="AH139" s="838"/>
      <c r="AI139" s="838"/>
      <c r="AJ139" s="838"/>
      <c r="AK139" s="838"/>
      <c r="AL139" s="838"/>
      <c r="AM139" s="838"/>
      <c r="AN139" s="838"/>
      <c r="AO139" s="838"/>
      <c r="AP139" s="838"/>
      <c r="AQ139" s="838"/>
      <c r="AR139" s="839"/>
      <c r="AS139" s="845"/>
    </row>
    <row r="140" spans="1:45" ht="15" customHeight="1" thickBot="1">
      <c r="A140" s="840"/>
      <c r="B140" s="841"/>
      <c r="C140" s="841"/>
      <c r="D140" s="841"/>
      <c r="E140" s="841"/>
      <c r="F140" s="841"/>
      <c r="G140" s="841"/>
      <c r="H140" s="841"/>
      <c r="I140" s="841"/>
      <c r="J140" s="841"/>
      <c r="K140" s="841"/>
      <c r="L140" s="841"/>
      <c r="M140" s="841"/>
      <c r="N140" s="841"/>
      <c r="O140" s="841"/>
      <c r="P140" s="841"/>
      <c r="Q140" s="841"/>
      <c r="R140" s="841"/>
      <c r="S140" s="841"/>
      <c r="T140" s="841"/>
      <c r="U140" s="841"/>
      <c r="V140" s="842"/>
      <c r="W140" s="840"/>
      <c r="X140" s="841"/>
      <c r="Y140" s="841"/>
      <c r="Z140" s="841"/>
      <c r="AA140" s="841"/>
      <c r="AB140" s="841"/>
      <c r="AC140" s="841"/>
      <c r="AD140" s="841"/>
      <c r="AE140" s="841"/>
      <c r="AF140" s="841"/>
      <c r="AG140" s="841"/>
      <c r="AH140" s="841"/>
      <c r="AI140" s="841"/>
      <c r="AJ140" s="841"/>
      <c r="AK140" s="841"/>
      <c r="AL140" s="841"/>
      <c r="AM140" s="841"/>
      <c r="AN140" s="841"/>
      <c r="AO140" s="841"/>
      <c r="AP140" s="841"/>
      <c r="AQ140" s="841"/>
      <c r="AR140" s="842"/>
      <c r="AS140" s="845"/>
    </row>
    <row r="141" spans="1:45" ht="15" customHeight="1">
      <c r="A141" s="849"/>
      <c r="B141" s="849"/>
      <c r="C141" s="849"/>
      <c r="D141" s="849"/>
      <c r="E141" s="849"/>
      <c r="F141" s="849"/>
      <c r="G141" s="849"/>
      <c r="H141" s="849"/>
      <c r="I141" s="849"/>
      <c r="J141" s="849"/>
      <c r="K141" s="849"/>
      <c r="L141" s="849"/>
      <c r="M141" s="849"/>
      <c r="N141" s="849"/>
      <c r="O141" s="849"/>
      <c r="P141" s="849"/>
      <c r="Q141" s="849"/>
      <c r="R141" s="849"/>
      <c r="S141" s="849"/>
      <c r="T141" s="849"/>
      <c r="U141" s="849"/>
      <c r="V141" s="849"/>
      <c r="W141" s="849"/>
      <c r="X141" s="849"/>
      <c r="Y141" s="849"/>
      <c r="Z141" s="849"/>
      <c r="AA141" s="849"/>
      <c r="AB141" s="849"/>
      <c r="AC141" s="849"/>
      <c r="AD141" s="849"/>
      <c r="AE141" s="849"/>
      <c r="AF141" s="849"/>
      <c r="AG141" s="849"/>
      <c r="AH141" s="849"/>
      <c r="AI141" s="849"/>
      <c r="AJ141" s="849"/>
      <c r="AK141" s="849"/>
      <c r="AL141" s="849"/>
      <c r="AM141" s="849"/>
      <c r="AN141" s="849"/>
      <c r="AO141" s="849"/>
      <c r="AP141" s="849"/>
      <c r="AQ141" s="849"/>
      <c r="AR141" s="849"/>
      <c r="AS141" s="845"/>
    </row>
    <row r="142" spans="1:45" ht="15" customHeight="1">
      <c r="A142" s="844" t="s">
        <v>897</v>
      </c>
      <c r="B142" s="844"/>
      <c r="C142" s="843"/>
      <c r="D142" s="843"/>
      <c r="E142" s="843"/>
      <c r="F142" s="843"/>
      <c r="G142" s="843"/>
      <c r="H142" s="843"/>
      <c r="I142" s="843"/>
      <c r="J142" s="843"/>
      <c r="K142" s="843"/>
      <c r="L142" s="843"/>
      <c r="M142" s="843"/>
      <c r="N142" s="843"/>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N142" s="843"/>
      <c r="AO142" s="843"/>
      <c r="AP142" s="843"/>
      <c r="AQ142" s="843"/>
      <c r="AR142" s="320"/>
      <c r="AS142" s="845"/>
    </row>
    <row r="143" spans="1:45" ht="15" customHeight="1">
      <c r="A143" s="849"/>
      <c r="B143" s="849"/>
      <c r="C143" s="843"/>
      <c r="D143" s="843"/>
      <c r="E143" s="843"/>
      <c r="F143" s="843"/>
      <c r="G143" s="843"/>
      <c r="H143" s="843"/>
      <c r="I143" s="843"/>
      <c r="J143" s="843"/>
      <c r="K143" s="843"/>
      <c r="L143" s="843"/>
      <c r="M143" s="843"/>
      <c r="N143" s="843"/>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N143" s="843"/>
      <c r="AO143" s="843"/>
      <c r="AP143" s="843"/>
      <c r="AQ143" s="843"/>
      <c r="AR143" s="320"/>
      <c r="AS143" s="845"/>
    </row>
    <row r="144" spans="1:45" ht="15" customHeight="1">
      <c r="A144" s="844"/>
      <c r="B144" s="844"/>
      <c r="C144" s="843"/>
      <c r="D144" s="843"/>
      <c r="E144" s="843"/>
      <c r="F144" s="843"/>
      <c r="G144" s="843"/>
      <c r="H144" s="843"/>
      <c r="I144" s="843"/>
      <c r="J144" s="843"/>
      <c r="K144" s="843"/>
      <c r="L144" s="843"/>
      <c r="M144" s="843"/>
      <c r="N144" s="843"/>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N144" s="843"/>
      <c r="AO144" s="843"/>
      <c r="AP144" s="843"/>
      <c r="AQ144" s="843"/>
      <c r="AR144" s="320"/>
      <c r="AS144" s="845"/>
    </row>
    <row r="145" spans="1:45" ht="97.5" customHeight="1">
      <c r="A145" s="849"/>
      <c r="B145" s="849"/>
      <c r="C145" s="849"/>
      <c r="D145" s="849"/>
      <c r="E145" s="849"/>
      <c r="F145" s="849"/>
      <c r="G145" s="849"/>
      <c r="H145" s="849"/>
      <c r="I145" s="849"/>
      <c r="J145" s="849"/>
      <c r="K145" s="849"/>
      <c r="L145" s="849"/>
      <c r="M145" s="849"/>
      <c r="N145" s="849"/>
      <c r="O145" s="849"/>
      <c r="P145" s="849"/>
      <c r="Q145" s="849"/>
      <c r="R145" s="849"/>
      <c r="S145" s="849"/>
      <c r="T145" s="849"/>
      <c r="U145" s="849"/>
      <c r="V145" s="849"/>
      <c r="W145" s="849"/>
      <c r="X145" s="849"/>
      <c r="Y145" s="849"/>
      <c r="Z145" s="849"/>
      <c r="AA145" s="849"/>
      <c r="AB145" s="849"/>
      <c r="AC145" s="849"/>
      <c r="AD145" s="849"/>
      <c r="AE145" s="849"/>
      <c r="AF145" s="849"/>
      <c r="AG145" s="849"/>
      <c r="AH145" s="849"/>
      <c r="AI145" s="849"/>
      <c r="AJ145" s="849"/>
      <c r="AK145" s="849"/>
      <c r="AL145" s="849"/>
      <c r="AM145" s="849"/>
      <c r="AN145" s="849"/>
      <c r="AO145" s="849"/>
      <c r="AP145" s="849"/>
      <c r="AQ145" s="849"/>
      <c r="AR145" s="849"/>
      <c r="AS145" s="845"/>
    </row>
    <row r="146" spans="1:45" ht="15" customHeight="1">
      <c r="A146" s="877" t="s">
        <v>898</v>
      </c>
      <c r="B146" s="877"/>
      <c r="C146" s="877"/>
      <c r="D146" s="877"/>
      <c r="E146" s="877"/>
      <c r="F146" s="877"/>
      <c r="G146" s="877"/>
      <c r="H146" s="877"/>
      <c r="I146" s="877"/>
      <c r="J146" s="877"/>
      <c r="K146" s="877"/>
      <c r="L146" s="877"/>
      <c r="M146" s="877"/>
      <c r="N146" s="877"/>
      <c r="O146" s="877"/>
      <c r="P146" s="877"/>
      <c r="Q146" s="877"/>
      <c r="R146" s="877"/>
      <c r="S146" s="877"/>
      <c r="T146" s="877"/>
      <c r="U146" s="877"/>
      <c r="V146" s="877"/>
      <c r="W146" s="877"/>
      <c r="X146" s="877"/>
      <c r="Y146" s="877"/>
      <c r="Z146" s="877"/>
      <c r="AA146" s="877"/>
      <c r="AB146" s="877"/>
      <c r="AC146" s="877"/>
      <c r="AD146" s="877"/>
      <c r="AE146" s="877"/>
      <c r="AF146" s="877"/>
      <c r="AG146" s="877"/>
      <c r="AH146" s="877"/>
      <c r="AI146" s="877"/>
      <c r="AJ146" s="877"/>
      <c r="AK146" s="877"/>
      <c r="AL146" s="877"/>
      <c r="AM146" s="877"/>
      <c r="AN146" s="877"/>
      <c r="AO146" s="877"/>
      <c r="AP146" s="877"/>
      <c r="AQ146" s="877"/>
      <c r="AR146" s="877"/>
      <c r="AS146" s="845"/>
    </row>
    <row r="147" spans="1:45" ht="15" customHeight="1">
      <c r="A147" s="878" t="s">
        <v>625</v>
      </c>
      <c r="B147" s="878"/>
      <c r="C147" s="878"/>
      <c r="D147" s="878"/>
      <c r="E147" s="878"/>
      <c r="F147" s="878"/>
      <c r="G147" s="878"/>
      <c r="H147" s="878"/>
      <c r="I147" s="878"/>
      <c r="J147" s="878"/>
      <c r="K147" s="878"/>
      <c r="L147" s="878"/>
      <c r="M147" s="878"/>
      <c r="N147" s="878"/>
      <c r="O147" s="878"/>
      <c r="P147" s="878"/>
      <c r="Q147" s="878"/>
      <c r="R147" s="878"/>
      <c r="S147" s="878"/>
      <c r="T147" s="878"/>
      <c r="U147" s="878"/>
      <c r="V147" s="878"/>
      <c r="W147" s="878"/>
      <c r="X147" s="878"/>
      <c r="Y147" s="878"/>
      <c r="Z147" s="878"/>
      <c r="AA147" s="878"/>
      <c r="AB147" s="878"/>
      <c r="AC147" s="878"/>
      <c r="AD147" s="878"/>
      <c r="AE147" s="878"/>
      <c r="AF147" s="878"/>
      <c r="AG147" s="878"/>
      <c r="AH147" s="878"/>
      <c r="AI147" s="878"/>
      <c r="AJ147" s="878"/>
      <c r="AK147" s="878"/>
      <c r="AL147" s="878"/>
      <c r="AM147" s="878"/>
      <c r="AN147" s="878"/>
      <c r="AO147" s="878"/>
      <c r="AP147" s="878"/>
      <c r="AQ147" s="878"/>
      <c r="AR147" s="878"/>
      <c r="AS147" s="845"/>
    </row>
    <row r="148" spans="1:45" ht="15" customHeight="1" thickBot="1">
      <c r="A148" s="879"/>
      <c r="B148" s="879"/>
      <c r="C148" s="879"/>
      <c r="D148" s="879"/>
      <c r="E148" s="879"/>
      <c r="F148" s="879"/>
      <c r="G148" s="879"/>
      <c r="H148" s="879"/>
      <c r="I148" s="879"/>
      <c r="J148" s="879"/>
      <c r="K148" s="879"/>
      <c r="L148" s="879"/>
      <c r="M148" s="879"/>
      <c r="N148" s="879"/>
      <c r="O148" s="879"/>
      <c r="P148" s="879"/>
      <c r="Q148" s="879"/>
      <c r="R148" s="879"/>
      <c r="S148" s="879"/>
      <c r="T148" s="879"/>
      <c r="U148" s="879"/>
      <c r="V148" s="879"/>
      <c r="W148" s="879"/>
      <c r="X148" s="879"/>
      <c r="Y148" s="879"/>
      <c r="Z148" s="879"/>
      <c r="AA148" s="879"/>
      <c r="AB148" s="879"/>
      <c r="AC148" s="879"/>
      <c r="AD148" s="879"/>
      <c r="AE148" s="879"/>
      <c r="AF148" s="879"/>
      <c r="AG148" s="879"/>
      <c r="AH148" s="879"/>
      <c r="AI148" s="879"/>
      <c r="AJ148" s="879"/>
      <c r="AK148" s="879"/>
      <c r="AL148" s="879"/>
      <c r="AM148" s="879"/>
      <c r="AN148" s="879"/>
      <c r="AO148" s="879"/>
      <c r="AP148" s="879"/>
      <c r="AQ148" s="879"/>
      <c r="AR148" s="879"/>
      <c r="AS148" s="845"/>
    </row>
    <row r="149" spans="1:55" s="320" customFormat="1" ht="15" customHeight="1" thickTop="1">
      <c r="A149" s="875"/>
      <c r="B149" s="854"/>
      <c r="C149" s="854"/>
      <c r="D149" s="854"/>
      <c r="E149" s="854"/>
      <c r="F149" s="854"/>
      <c r="G149" s="854"/>
      <c r="H149" s="854"/>
      <c r="I149" s="854"/>
      <c r="J149" s="854"/>
      <c r="K149" s="854"/>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4"/>
      <c r="AK149" s="854"/>
      <c r="AL149" s="854"/>
      <c r="AM149" s="854"/>
      <c r="AN149" s="854"/>
      <c r="AO149" s="854"/>
      <c r="AP149" s="854"/>
      <c r="AQ149" s="854"/>
      <c r="AR149" s="876"/>
      <c r="AS149" s="845"/>
      <c r="BC149" s="325"/>
    </row>
    <row r="150" spans="1:45" ht="15">
      <c r="A150" s="863" t="s">
        <v>899</v>
      </c>
      <c r="B150" s="864"/>
      <c r="C150" s="864"/>
      <c r="D150" s="864"/>
      <c r="E150" s="864"/>
      <c r="F150" s="864"/>
      <c r="G150" s="864"/>
      <c r="H150" s="864"/>
      <c r="I150" s="864"/>
      <c r="J150" s="864"/>
      <c r="K150" s="864"/>
      <c r="L150" s="864"/>
      <c r="M150" s="864"/>
      <c r="N150" s="864"/>
      <c r="O150" s="864"/>
      <c r="P150" s="864"/>
      <c r="Q150" s="864"/>
      <c r="R150" s="864"/>
      <c r="S150" s="864"/>
      <c r="T150" s="864"/>
      <c r="U150" s="864"/>
      <c r="V150" s="864"/>
      <c r="W150" s="864"/>
      <c r="X150" s="864"/>
      <c r="Y150" s="864"/>
      <c r="Z150" s="864"/>
      <c r="AA150" s="864"/>
      <c r="AB150" s="864"/>
      <c r="AC150" s="864"/>
      <c r="AD150" s="864"/>
      <c r="AE150" s="864"/>
      <c r="AF150" s="864"/>
      <c r="AG150" s="864"/>
      <c r="AH150" s="864"/>
      <c r="AI150" s="864"/>
      <c r="AJ150" s="864"/>
      <c r="AK150" s="864"/>
      <c r="AL150" s="864"/>
      <c r="AM150" s="864"/>
      <c r="AN150" s="864"/>
      <c r="AO150" s="864"/>
      <c r="AP150" s="864"/>
      <c r="AQ150" s="864"/>
      <c r="AR150" s="865"/>
      <c r="AS150" s="845"/>
    </row>
    <row r="151" spans="1:45" ht="9" customHeight="1">
      <c r="A151" s="858"/>
      <c r="B151" s="849"/>
      <c r="C151" s="849"/>
      <c r="D151" s="849"/>
      <c r="E151" s="849"/>
      <c r="F151" s="849"/>
      <c r="G151" s="849"/>
      <c r="H151" s="849"/>
      <c r="I151" s="849"/>
      <c r="J151" s="849"/>
      <c r="K151" s="849"/>
      <c r="L151" s="849"/>
      <c r="M151" s="849"/>
      <c r="N151" s="849"/>
      <c r="O151" s="849"/>
      <c r="P151" s="849"/>
      <c r="Q151" s="849"/>
      <c r="R151" s="849"/>
      <c r="S151" s="849"/>
      <c r="T151" s="849"/>
      <c r="U151" s="849"/>
      <c r="V151" s="849"/>
      <c r="W151" s="849"/>
      <c r="X151" s="849"/>
      <c r="Y151" s="849"/>
      <c r="Z151" s="849"/>
      <c r="AA151" s="849"/>
      <c r="AB151" s="849"/>
      <c r="AC151" s="849"/>
      <c r="AD151" s="849"/>
      <c r="AE151" s="849"/>
      <c r="AF151" s="849"/>
      <c r="AG151" s="849"/>
      <c r="AH151" s="849"/>
      <c r="AI151" s="849"/>
      <c r="AJ151" s="849"/>
      <c r="AK151" s="849"/>
      <c r="AL151" s="849"/>
      <c r="AM151" s="849"/>
      <c r="AN151" s="849"/>
      <c r="AO151" s="849"/>
      <c r="AP151" s="849"/>
      <c r="AQ151" s="849"/>
      <c r="AR151" s="859"/>
      <c r="AS151" s="845"/>
    </row>
    <row r="152" spans="1:45" ht="15" customHeight="1">
      <c r="A152" s="830" t="s">
        <v>900</v>
      </c>
      <c r="B152" s="831"/>
      <c r="C152" s="831"/>
      <c r="D152" s="831"/>
      <c r="E152" s="831"/>
      <c r="F152" s="831"/>
      <c r="G152" s="831"/>
      <c r="H152" s="330"/>
      <c r="I152" s="331">
        <f aca="true" t="shared" si="84" ref="I152:AQ152">IF(ISERR(AW$7),"",AW$7)</f>
      </c>
      <c r="J152" s="331">
        <f t="shared" si="84"/>
      </c>
      <c r="K152" s="331">
        <f t="shared" si="84"/>
      </c>
      <c r="L152" s="331">
        <f t="shared" si="84"/>
      </c>
      <c r="M152" s="331">
        <f t="shared" si="84"/>
      </c>
      <c r="N152" s="331">
        <f t="shared" si="84"/>
      </c>
      <c r="O152" s="331">
        <f t="shared" si="84"/>
      </c>
      <c r="P152" s="331">
        <f t="shared" si="84"/>
      </c>
      <c r="Q152" s="331">
        <f t="shared" si="84"/>
      </c>
      <c r="R152" s="331">
        <f t="shared" si="84"/>
      </c>
      <c r="S152" s="331">
        <f t="shared" si="84"/>
      </c>
      <c r="T152" s="331">
        <f t="shared" si="84"/>
      </c>
      <c r="U152" s="331">
        <f t="shared" si="84"/>
      </c>
      <c r="V152" s="331">
        <f t="shared" si="84"/>
      </c>
      <c r="W152" s="331">
        <f t="shared" si="84"/>
      </c>
      <c r="X152" s="331">
        <f t="shared" si="84"/>
      </c>
      <c r="Y152" s="331">
        <f t="shared" si="84"/>
      </c>
      <c r="Z152" s="331">
        <f t="shared" si="84"/>
      </c>
      <c r="AA152" s="331">
        <f t="shared" si="84"/>
      </c>
      <c r="AB152" s="331">
        <f t="shared" si="84"/>
      </c>
      <c r="AC152" s="331">
        <f t="shared" si="84"/>
      </c>
      <c r="AD152" s="331">
        <f t="shared" si="84"/>
      </c>
      <c r="AE152" s="331">
        <f t="shared" si="84"/>
      </c>
      <c r="AF152" s="331">
        <f t="shared" si="84"/>
      </c>
      <c r="AG152" s="331">
        <f t="shared" si="84"/>
      </c>
      <c r="AH152" s="331">
        <f t="shared" si="84"/>
      </c>
      <c r="AI152" s="331">
        <f t="shared" si="84"/>
      </c>
      <c r="AJ152" s="331">
        <f t="shared" si="84"/>
      </c>
      <c r="AK152" s="331">
        <f t="shared" si="84"/>
      </c>
      <c r="AL152" s="331">
        <f t="shared" si="84"/>
      </c>
      <c r="AM152" s="331">
        <f t="shared" si="84"/>
      </c>
      <c r="AN152" s="331">
        <f t="shared" si="84"/>
      </c>
      <c r="AO152" s="331">
        <f t="shared" si="84"/>
      </c>
      <c r="AP152" s="331">
        <f t="shared" si="84"/>
      </c>
      <c r="AQ152" s="332">
        <f t="shared" si="84"/>
      </c>
      <c r="AR152" s="322"/>
      <c r="AS152" s="845"/>
    </row>
    <row r="153" spans="1:45" ht="7.5" customHeight="1">
      <c r="A153" s="856"/>
      <c r="B153" s="460"/>
      <c r="C153" s="460"/>
      <c r="D153" s="460"/>
      <c r="E153" s="460"/>
      <c r="F153" s="460"/>
      <c r="G153" s="460"/>
      <c r="H153" s="460"/>
      <c r="I153" s="460"/>
      <c r="J153" s="460"/>
      <c r="K153" s="460"/>
      <c r="L153" s="460"/>
      <c r="M153" s="460"/>
      <c r="N153" s="460"/>
      <c r="O153" s="460"/>
      <c r="P153" s="460"/>
      <c r="Q153" s="460"/>
      <c r="R153" s="460"/>
      <c r="S153" s="460"/>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c r="AO153" s="460"/>
      <c r="AP153" s="460"/>
      <c r="AQ153" s="460"/>
      <c r="AR153" s="873"/>
      <c r="AS153" s="845"/>
    </row>
    <row r="154" spans="1:45" ht="15">
      <c r="A154" s="858"/>
      <c r="B154" s="849"/>
      <c r="C154" s="849"/>
      <c r="D154" s="849"/>
      <c r="E154" s="849"/>
      <c r="F154" s="849"/>
      <c r="G154" s="849"/>
      <c r="H154" s="869"/>
      <c r="I154" s="331">
        <f aca="true" t="shared" si="85" ref="I154:AQ154">IF(ISERR(CF$7),"",CF$7)</f>
      </c>
      <c r="J154" s="331">
        <f t="shared" si="85"/>
      </c>
      <c r="K154" s="331">
        <f t="shared" si="85"/>
      </c>
      <c r="L154" s="331">
        <f t="shared" si="85"/>
      </c>
      <c r="M154" s="331">
        <f t="shared" si="85"/>
      </c>
      <c r="N154" s="331">
        <f t="shared" si="85"/>
      </c>
      <c r="O154" s="331">
        <f t="shared" si="85"/>
      </c>
      <c r="P154" s="331">
        <f t="shared" si="85"/>
      </c>
      <c r="Q154" s="331">
        <f t="shared" si="85"/>
      </c>
      <c r="R154" s="331">
        <f t="shared" si="85"/>
      </c>
      <c r="S154" s="331">
        <f t="shared" si="85"/>
      </c>
      <c r="T154" s="331">
        <f t="shared" si="85"/>
      </c>
      <c r="U154" s="331">
        <f t="shared" si="85"/>
      </c>
      <c r="V154" s="331">
        <f t="shared" si="85"/>
      </c>
      <c r="W154" s="331">
        <f t="shared" si="85"/>
      </c>
      <c r="X154" s="331">
        <f t="shared" si="85"/>
      </c>
      <c r="Y154" s="331">
        <f t="shared" si="85"/>
      </c>
      <c r="Z154" s="331">
        <f t="shared" si="85"/>
      </c>
      <c r="AA154" s="331">
        <f t="shared" si="85"/>
      </c>
      <c r="AB154" s="331">
        <f t="shared" si="85"/>
      </c>
      <c r="AC154" s="331">
        <f t="shared" si="85"/>
      </c>
      <c r="AD154" s="331">
        <f t="shared" si="85"/>
      </c>
      <c r="AE154" s="331">
        <f t="shared" si="85"/>
      </c>
      <c r="AF154" s="331">
        <f t="shared" si="85"/>
      </c>
      <c r="AG154" s="331">
        <f t="shared" si="85"/>
      </c>
      <c r="AH154" s="331">
        <f t="shared" si="85"/>
      </c>
      <c r="AI154" s="331">
        <f t="shared" si="85"/>
      </c>
      <c r="AJ154" s="331">
        <f t="shared" si="85"/>
      </c>
      <c r="AK154" s="331">
        <f t="shared" si="85"/>
      </c>
      <c r="AL154" s="331">
        <f t="shared" si="85"/>
      </c>
      <c r="AM154" s="331">
        <f t="shared" si="85"/>
      </c>
      <c r="AN154" s="331">
        <f t="shared" si="85"/>
      </c>
      <c r="AO154" s="331">
        <f t="shared" si="85"/>
      </c>
      <c r="AP154" s="331">
        <f t="shared" si="85"/>
      </c>
      <c r="AQ154" s="332">
        <f t="shared" si="85"/>
      </c>
      <c r="AR154" s="322"/>
      <c r="AS154" s="845"/>
    </row>
    <row r="155" spans="1:45" ht="9" customHeight="1">
      <c r="A155" s="858"/>
      <c r="B155" s="849"/>
      <c r="C155" s="849"/>
      <c r="D155" s="849"/>
      <c r="E155" s="849"/>
      <c r="F155" s="849"/>
      <c r="G155" s="849"/>
      <c r="H155" s="849"/>
      <c r="I155" s="849"/>
      <c r="J155" s="849"/>
      <c r="K155" s="849"/>
      <c r="L155" s="849"/>
      <c r="M155" s="849"/>
      <c r="N155" s="849"/>
      <c r="O155" s="849"/>
      <c r="P155" s="849"/>
      <c r="Q155" s="849"/>
      <c r="R155" s="849"/>
      <c r="S155" s="849"/>
      <c r="T155" s="849"/>
      <c r="U155" s="849"/>
      <c r="V155" s="849"/>
      <c r="W155" s="849"/>
      <c r="X155" s="849"/>
      <c r="Y155" s="849"/>
      <c r="Z155" s="849"/>
      <c r="AA155" s="849"/>
      <c r="AB155" s="849"/>
      <c r="AC155" s="849"/>
      <c r="AD155" s="849"/>
      <c r="AE155" s="849"/>
      <c r="AF155" s="849"/>
      <c r="AG155" s="849"/>
      <c r="AH155" s="849"/>
      <c r="AI155" s="849"/>
      <c r="AJ155" s="849"/>
      <c r="AK155" s="849"/>
      <c r="AL155" s="849"/>
      <c r="AM155" s="849"/>
      <c r="AN155" s="849"/>
      <c r="AO155" s="849"/>
      <c r="AP155" s="849"/>
      <c r="AQ155" s="849"/>
      <c r="AR155" s="859"/>
      <c r="AS155" s="845"/>
    </row>
    <row r="156" spans="1:45" ht="15.75" customHeight="1">
      <c r="A156" s="867" t="s">
        <v>901</v>
      </c>
      <c r="B156" s="868"/>
      <c r="C156" s="868"/>
      <c r="D156" s="868"/>
      <c r="E156" s="868"/>
      <c r="F156" s="868"/>
      <c r="G156" s="868"/>
      <c r="H156" s="330"/>
      <c r="I156" s="331">
        <f aca="true" t="shared" si="86" ref="I156:AQ156">IF(ISERR(AW$11),"",AW$11)</f>
      </c>
      <c r="J156" s="331">
        <f t="shared" si="86"/>
      </c>
      <c r="K156" s="331">
        <f t="shared" si="86"/>
      </c>
      <c r="L156" s="331">
        <f t="shared" si="86"/>
      </c>
      <c r="M156" s="331">
        <f t="shared" si="86"/>
      </c>
      <c r="N156" s="331">
        <f t="shared" si="86"/>
      </c>
      <c r="O156" s="331">
        <f t="shared" si="86"/>
      </c>
      <c r="P156" s="331">
        <f t="shared" si="86"/>
      </c>
      <c r="Q156" s="331">
        <f t="shared" si="86"/>
      </c>
      <c r="R156" s="331">
        <f t="shared" si="86"/>
      </c>
      <c r="S156" s="331">
        <f t="shared" si="86"/>
      </c>
      <c r="T156" s="331">
        <f t="shared" si="86"/>
      </c>
      <c r="U156" s="331">
        <f t="shared" si="86"/>
      </c>
      <c r="V156" s="331">
        <f t="shared" si="86"/>
      </c>
      <c r="W156" s="331">
        <f t="shared" si="86"/>
      </c>
      <c r="X156" s="331">
        <f t="shared" si="86"/>
      </c>
      <c r="Y156" s="331">
        <f t="shared" si="86"/>
      </c>
      <c r="Z156" s="331">
        <f t="shared" si="86"/>
      </c>
      <c r="AA156" s="331">
        <f t="shared" si="86"/>
      </c>
      <c r="AB156" s="331">
        <f t="shared" si="86"/>
      </c>
      <c r="AC156" s="331">
        <f t="shared" si="86"/>
      </c>
      <c r="AD156" s="331">
        <f t="shared" si="86"/>
      </c>
      <c r="AE156" s="331">
        <f t="shared" si="86"/>
      </c>
      <c r="AF156" s="331">
        <f t="shared" si="86"/>
      </c>
      <c r="AG156" s="331">
        <f t="shared" si="86"/>
      </c>
      <c r="AH156" s="331">
        <f t="shared" si="86"/>
      </c>
      <c r="AI156" s="331">
        <f t="shared" si="86"/>
      </c>
      <c r="AJ156" s="331">
        <f t="shared" si="86"/>
      </c>
      <c r="AK156" s="331">
        <f t="shared" si="86"/>
      </c>
      <c r="AL156" s="331">
        <f t="shared" si="86"/>
      </c>
      <c r="AM156" s="331">
        <f t="shared" si="86"/>
      </c>
      <c r="AN156" s="331">
        <f t="shared" si="86"/>
      </c>
      <c r="AO156" s="331">
        <f t="shared" si="86"/>
      </c>
      <c r="AP156" s="331">
        <f t="shared" si="86"/>
      </c>
      <c r="AQ156" s="332">
        <f t="shared" si="86"/>
      </c>
      <c r="AR156" s="322"/>
      <c r="AS156" s="845"/>
    </row>
    <row r="157" spans="1:45" ht="7.5" customHeight="1">
      <c r="A157" s="858"/>
      <c r="B157" s="849"/>
      <c r="C157" s="849"/>
      <c r="D157" s="849"/>
      <c r="E157" s="849"/>
      <c r="F157" s="849"/>
      <c r="G157" s="849"/>
      <c r="H157" s="849"/>
      <c r="I157" s="849"/>
      <c r="J157" s="849"/>
      <c r="K157" s="849"/>
      <c r="L157" s="849"/>
      <c r="M157" s="849"/>
      <c r="N157" s="849"/>
      <c r="O157" s="849"/>
      <c r="P157" s="849"/>
      <c r="Q157" s="849"/>
      <c r="R157" s="849"/>
      <c r="S157" s="849"/>
      <c r="T157" s="849"/>
      <c r="U157" s="849"/>
      <c r="V157" s="849"/>
      <c r="W157" s="849"/>
      <c r="X157" s="849"/>
      <c r="Y157" s="849"/>
      <c r="Z157" s="849"/>
      <c r="AA157" s="849"/>
      <c r="AB157" s="849"/>
      <c r="AC157" s="849"/>
      <c r="AD157" s="849"/>
      <c r="AE157" s="849"/>
      <c r="AF157" s="849"/>
      <c r="AG157" s="849"/>
      <c r="AH157" s="849"/>
      <c r="AI157" s="849"/>
      <c r="AJ157" s="849"/>
      <c r="AK157" s="849"/>
      <c r="AL157" s="849"/>
      <c r="AM157" s="849"/>
      <c r="AN157" s="849"/>
      <c r="AO157" s="849"/>
      <c r="AP157" s="849"/>
      <c r="AQ157" s="849"/>
      <c r="AR157" s="859"/>
      <c r="AS157" s="845"/>
    </row>
    <row r="158" spans="1:45" ht="15.75" customHeight="1">
      <c r="A158" s="858"/>
      <c r="B158" s="849"/>
      <c r="C158" s="849"/>
      <c r="D158" s="849"/>
      <c r="E158" s="849"/>
      <c r="F158" s="849"/>
      <c r="G158" s="849"/>
      <c r="H158" s="869"/>
      <c r="I158" s="331">
        <f aca="true" t="shared" si="87" ref="I158:AQ158">IF(ISERR(AW$13),"",AW$13)</f>
      </c>
      <c r="J158" s="331">
        <f t="shared" si="87"/>
      </c>
      <c r="K158" s="331">
        <f t="shared" si="87"/>
      </c>
      <c r="L158" s="331">
        <f t="shared" si="87"/>
      </c>
      <c r="M158" s="331">
        <f t="shared" si="87"/>
      </c>
      <c r="N158" s="331">
        <f t="shared" si="87"/>
      </c>
      <c r="O158" s="331">
        <f t="shared" si="87"/>
      </c>
      <c r="P158" s="331">
        <f t="shared" si="87"/>
      </c>
      <c r="Q158" s="331">
        <f t="shared" si="87"/>
      </c>
      <c r="R158" s="331">
        <f t="shared" si="87"/>
      </c>
      <c r="S158" s="331">
        <f t="shared" si="87"/>
      </c>
      <c r="T158" s="331">
        <f t="shared" si="87"/>
      </c>
      <c r="U158" s="331">
        <f t="shared" si="87"/>
      </c>
      <c r="V158" s="331">
        <f t="shared" si="87"/>
      </c>
      <c r="W158" s="331">
        <f t="shared" si="87"/>
      </c>
      <c r="X158" s="331">
        <f t="shared" si="87"/>
      </c>
      <c r="Y158" s="331">
        <f t="shared" si="87"/>
      </c>
      <c r="Z158" s="331">
        <f t="shared" si="87"/>
      </c>
      <c r="AA158" s="331">
        <f t="shared" si="87"/>
      </c>
      <c r="AB158" s="331">
        <f t="shared" si="87"/>
      </c>
      <c r="AC158" s="331">
        <f t="shared" si="87"/>
      </c>
      <c r="AD158" s="331">
        <f t="shared" si="87"/>
      </c>
      <c r="AE158" s="331">
        <f t="shared" si="87"/>
      </c>
      <c r="AF158" s="331">
        <f t="shared" si="87"/>
      </c>
      <c r="AG158" s="331">
        <f t="shared" si="87"/>
      </c>
      <c r="AH158" s="331">
        <f t="shared" si="87"/>
      </c>
      <c r="AI158" s="331">
        <f t="shared" si="87"/>
      </c>
      <c r="AJ158" s="331">
        <f t="shared" si="87"/>
      </c>
      <c r="AK158" s="331">
        <f t="shared" si="87"/>
      </c>
      <c r="AL158" s="331">
        <f t="shared" si="87"/>
      </c>
      <c r="AM158" s="331">
        <f t="shared" si="87"/>
      </c>
      <c r="AN158" s="331">
        <f t="shared" si="87"/>
      </c>
      <c r="AO158" s="331">
        <f t="shared" si="87"/>
      </c>
      <c r="AP158" s="331">
        <f t="shared" si="87"/>
      </c>
      <c r="AQ158" s="332">
        <f t="shared" si="87"/>
      </c>
      <c r="AR158" s="322"/>
      <c r="AS158" s="845"/>
    </row>
    <row r="159" spans="1:45" ht="7.5" customHeight="1">
      <c r="A159" s="858"/>
      <c r="B159" s="849"/>
      <c r="C159" s="849"/>
      <c r="D159" s="849"/>
      <c r="E159" s="849"/>
      <c r="F159" s="849"/>
      <c r="G159" s="849"/>
      <c r="H159" s="849"/>
      <c r="I159" s="849"/>
      <c r="J159" s="849"/>
      <c r="K159" s="849"/>
      <c r="L159" s="849"/>
      <c r="M159" s="849"/>
      <c r="N159" s="849"/>
      <c r="O159" s="849"/>
      <c r="P159" s="849"/>
      <c r="Q159" s="849"/>
      <c r="R159" s="849"/>
      <c r="S159" s="849"/>
      <c r="T159" s="849"/>
      <c r="U159" s="849"/>
      <c r="V159" s="849"/>
      <c r="W159" s="849"/>
      <c r="X159" s="849"/>
      <c r="Y159" s="849"/>
      <c r="Z159" s="849"/>
      <c r="AA159" s="849"/>
      <c r="AB159" s="849"/>
      <c r="AC159" s="849"/>
      <c r="AD159" s="849"/>
      <c r="AE159" s="849"/>
      <c r="AF159" s="849"/>
      <c r="AG159" s="849"/>
      <c r="AH159" s="849"/>
      <c r="AI159" s="849"/>
      <c r="AJ159" s="849"/>
      <c r="AK159" s="849"/>
      <c r="AL159" s="849"/>
      <c r="AM159" s="849"/>
      <c r="AN159" s="849"/>
      <c r="AO159" s="849"/>
      <c r="AP159" s="849"/>
      <c r="AQ159" s="849"/>
      <c r="AR159" s="859"/>
      <c r="AS159" s="845"/>
    </row>
    <row r="160" spans="1:45" ht="15.75" customHeight="1">
      <c r="A160" s="880" t="s">
        <v>902</v>
      </c>
      <c r="B160" s="881"/>
      <c r="C160" s="881"/>
      <c r="D160" s="881"/>
      <c r="E160" s="881"/>
      <c r="F160" s="881"/>
      <c r="G160" s="881"/>
      <c r="H160" s="330"/>
      <c r="I160" s="331">
        <f aca="true" t="shared" si="88" ref="I160:AQ160">IF(ISERR(AW$15),"",AW$15)</f>
      </c>
      <c r="J160" s="331">
        <f t="shared" si="88"/>
      </c>
      <c r="K160" s="331">
        <f t="shared" si="88"/>
      </c>
      <c r="L160" s="331">
        <f t="shared" si="88"/>
      </c>
      <c r="M160" s="331">
        <f t="shared" si="88"/>
      </c>
      <c r="N160" s="331">
        <f t="shared" si="88"/>
      </c>
      <c r="O160" s="331">
        <f t="shared" si="88"/>
      </c>
      <c r="P160" s="331">
        <f t="shared" si="88"/>
      </c>
      <c r="Q160" s="331">
        <f t="shared" si="88"/>
      </c>
      <c r="R160" s="331">
        <f t="shared" si="88"/>
      </c>
      <c r="S160" s="331">
        <f t="shared" si="88"/>
      </c>
      <c r="T160" s="331">
        <f t="shared" si="88"/>
      </c>
      <c r="U160" s="331">
        <f t="shared" si="88"/>
      </c>
      <c r="V160" s="331">
        <f t="shared" si="88"/>
      </c>
      <c r="W160" s="331">
        <f t="shared" si="88"/>
      </c>
      <c r="X160" s="331">
        <f t="shared" si="88"/>
      </c>
      <c r="Y160" s="331">
        <f t="shared" si="88"/>
      </c>
      <c r="Z160" s="331">
        <f t="shared" si="88"/>
      </c>
      <c r="AA160" s="331">
        <f t="shared" si="88"/>
      </c>
      <c r="AB160" s="331">
        <f t="shared" si="88"/>
      </c>
      <c r="AC160" s="331">
        <f t="shared" si="88"/>
      </c>
      <c r="AD160" s="331">
        <f t="shared" si="88"/>
      </c>
      <c r="AE160" s="331">
        <f t="shared" si="88"/>
      </c>
      <c r="AF160" s="331">
        <f t="shared" si="88"/>
      </c>
      <c r="AG160" s="331">
        <f t="shared" si="88"/>
      </c>
      <c r="AH160" s="331">
        <f t="shared" si="88"/>
      </c>
      <c r="AI160" s="331">
        <f t="shared" si="88"/>
      </c>
      <c r="AJ160" s="331">
        <f t="shared" si="88"/>
      </c>
      <c r="AK160" s="331">
        <f t="shared" si="88"/>
      </c>
      <c r="AL160" s="331">
        <f t="shared" si="88"/>
      </c>
      <c r="AM160" s="331">
        <f t="shared" si="88"/>
      </c>
      <c r="AN160" s="331">
        <f t="shared" si="88"/>
      </c>
      <c r="AO160" s="331">
        <f t="shared" si="88"/>
      </c>
      <c r="AP160" s="331">
        <f t="shared" si="88"/>
      </c>
      <c r="AQ160" s="332">
        <f t="shared" si="88"/>
      </c>
      <c r="AR160" s="322"/>
      <c r="AS160" s="845"/>
    </row>
    <row r="161" spans="1:45" ht="7.5" customHeight="1">
      <c r="A161" s="858"/>
      <c r="B161" s="849"/>
      <c r="C161" s="849"/>
      <c r="D161" s="849"/>
      <c r="E161" s="849"/>
      <c r="F161" s="849"/>
      <c r="G161" s="849"/>
      <c r="H161" s="849"/>
      <c r="I161" s="849"/>
      <c r="J161" s="849"/>
      <c r="K161" s="849"/>
      <c r="L161" s="849"/>
      <c r="M161" s="849"/>
      <c r="N161" s="849"/>
      <c r="O161" s="849"/>
      <c r="P161" s="849"/>
      <c r="Q161" s="849"/>
      <c r="R161" s="849"/>
      <c r="S161" s="849"/>
      <c r="T161" s="849"/>
      <c r="U161" s="849"/>
      <c r="V161" s="849"/>
      <c r="W161" s="849"/>
      <c r="X161" s="849"/>
      <c r="Y161" s="849"/>
      <c r="Z161" s="849"/>
      <c r="AA161" s="849"/>
      <c r="AB161" s="849"/>
      <c r="AC161" s="849"/>
      <c r="AD161" s="849"/>
      <c r="AE161" s="849"/>
      <c r="AF161" s="849"/>
      <c r="AG161" s="849"/>
      <c r="AH161" s="849"/>
      <c r="AI161" s="849"/>
      <c r="AJ161" s="849"/>
      <c r="AK161" s="849"/>
      <c r="AL161" s="849"/>
      <c r="AM161" s="849"/>
      <c r="AN161" s="849"/>
      <c r="AO161" s="849"/>
      <c r="AP161" s="849"/>
      <c r="AQ161" s="849"/>
      <c r="AR161" s="859"/>
      <c r="AS161" s="845"/>
    </row>
    <row r="162" spans="1:45" ht="15.75" customHeight="1">
      <c r="A162" s="880" t="s">
        <v>903</v>
      </c>
      <c r="B162" s="881"/>
      <c r="C162" s="881"/>
      <c r="D162" s="881"/>
      <c r="E162" s="881"/>
      <c r="F162" s="881"/>
      <c r="G162" s="881"/>
      <c r="H162" s="330"/>
      <c r="I162" s="331">
        <f>IF(ISERR(AW$17),"",AW$17)</f>
      </c>
      <c r="J162" s="331">
        <f>IF(ISERR(AX$17),"",AX$17)</f>
      </c>
      <c r="K162" s="331">
        <f>IF(ISERR(AY$17),"",AY$17)</f>
      </c>
      <c r="L162" s="331">
        <f>IF(ISERR(AZ$17),"",AZ$17)</f>
      </c>
      <c r="M162" s="832"/>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833"/>
      <c r="AS162" s="845"/>
    </row>
    <row r="163" spans="1:45" ht="7.5" customHeight="1">
      <c r="A163" s="827"/>
      <c r="B163" s="828"/>
      <c r="C163" s="828"/>
      <c r="D163" s="828"/>
      <c r="E163" s="828"/>
      <c r="F163" s="828"/>
      <c r="G163" s="828"/>
      <c r="H163" s="828"/>
      <c r="I163" s="828"/>
      <c r="J163" s="828"/>
      <c r="K163" s="828"/>
      <c r="L163" s="828"/>
      <c r="M163" s="828"/>
      <c r="N163" s="828"/>
      <c r="O163" s="828"/>
      <c r="P163" s="828"/>
      <c r="Q163" s="828"/>
      <c r="R163" s="828"/>
      <c r="S163" s="828"/>
      <c r="T163" s="828"/>
      <c r="U163" s="828"/>
      <c r="V163" s="828"/>
      <c r="W163" s="828"/>
      <c r="X163" s="828"/>
      <c r="Y163" s="828"/>
      <c r="Z163" s="828"/>
      <c r="AA163" s="828"/>
      <c r="AB163" s="828"/>
      <c r="AC163" s="828"/>
      <c r="AD163" s="828"/>
      <c r="AE163" s="828"/>
      <c r="AF163" s="828"/>
      <c r="AG163" s="828"/>
      <c r="AH163" s="828"/>
      <c r="AI163" s="828"/>
      <c r="AJ163" s="828"/>
      <c r="AK163" s="828"/>
      <c r="AL163" s="828"/>
      <c r="AM163" s="828"/>
      <c r="AN163" s="828"/>
      <c r="AO163" s="828"/>
      <c r="AP163" s="828"/>
      <c r="AQ163" s="828"/>
      <c r="AR163" s="829"/>
      <c r="AS163" s="845"/>
    </row>
    <row r="164" spans="1:45" ht="15.75" customHeight="1">
      <c r="A164" s="880" t="s">
        <v>904</v>
      </c>
      <c r="B164" s="881"/>
      <c r="C164" s="881"/>
      <c r="D164" s="881"/>
      <c r="E164" s="881"/>
      <c r="F164" s="881"/>
      <c r="G164" s="881"/>
      <c r="H164" s="330"/>
      <c r="I164" s="331">
        <f aca="true" t="shared" si="89" ref="I164:AQ164">IF(ISERR(AW$19),"",AW$19)</f>
      </c>
      <c r="J164" s="331">
        <f t="shared" si="89"/>
      </c>
      <c r="K164" s="331">
        <f t="shared" si="89"/>
      </c>
      <c r="L164" s="331">
        <f t="shared" si="89"/>
      </c>
      <c r="M164" s="331">
        <f t="shared" si="89"/>
      </c>
      <c r="N164" s="331">
        <f t="shared" si="89"/>
      </c>
      <c r="O164" s="331">
        <f t="shared" si="89"/>
      </c>
      <c r="P164" s="331">
        <f t="shared" si="89"/>
      </c>
      <c r="Q164" s="331">
        <f t="shared" si="89"/>
      </c>
      <c r="R164" s="331">
        <f t="shared" si="89"/>
      </c>
      <c r="S164" s="331">
        <f t="shared" si="89"/>
      </c>
      <c r="T164" s="331">
        <f t="shared" si="89"/>
      </c>
      <c r="U164" s="331">
        <f t="shared" si="89"/>
      </c>
      <c r="V164" s="331">
        <f t="shared" si="89"/>
      </c>
      <c r="W164" s="331">
        <f t="shared" si="89"/>
      </c>
      <c r="X164" s="331">
        <f t="shared" si="89"/>
      </c>
      <c r="Y164" s="331">
        <f t="shared" si="89"/>
      </c>
      <c r="Z164" s="331">
        <f t="shared" si="89"/>
      </c>
      <c r="AA164" s="331">
        <f t="shared" si="89"/>
      </c>
      <c r="AB164" s="331">
        <f t="shared" si="89"/>
      </c>
      <c r="AC164" s="331">
        <f t="shared" si="89"/>
      </c>
      <c r="AD164" s="331">
        <f t="shared" si="89"/>
      </c>
      <c r="AE164" s="331">
        <f t="shared" si="89"/>
      </c>
      <c r="AF164" s="331">
        <f t="shared" si="89"/>
      </c>
      <c r="AG164" s="331">
        <f t="shared" si="89"/>
      </c>
      <c r="AH164" s="331">
        <f t="shared" si="89"/>
      </c>
      <c r="AI164" s="331">
        <f t="shared" si="89"/>
      </c>
      <c r="AJ164" s="331">
        <f t="shared" si="89"/>
      </c>
      <c r="AK164" s="331">
        <f t="shared" si="89"/>
      </c>
      <c r="AL164" s="331">
        <f t="shared" si="89"/>
      </c>
      <c r="AM164" s="331">
        <f t="shared" si="89"/>
      </c>
      <c r="AN164" s="331">
        <f t="shared" si="89"/>
      </c>
      <c r="AO164" s="331">
        <f t="shared" si="89"/>
      </c>
      <c r="AP164" s="331">
        <f t="shared" si="89"/>
      </c>
      <c r="AQ164" s="332">
        <f t="shared" si="89"/>
      </c>
      <c r="AR164" s="322"/>
      <c r="AS164" s="845"/>
    </row>
    <row r="165" spans="1:45" ht="7.5" customHeight="1">
      <c r="A165" s="827"/>
      <c r="B165" s="828"/>
      <c r="C165" s="828"/>
      <c r="D165" s="828"/>
      <c r="E165" s="828"/>
      <c r="F165" s="828"/>
      <c r="G165" s="828"/>
      <c r="H165" s="828"/>
      <c r="I165" s="828"/>
      <c r="J165" s="828"/>
      <c r="K165" s="828"/>
      <c r="L165" s="828"/>
      <c r="M165" s="828"/>
      <c r="N165" s="828"/>
      <c r="O165" s="828"/>
      <c r="P165" s="828"/>
      <c r="Q165" s="828"/>
      <c r="R165" s="828"/>
      <c r="S165" s="828"/>
      <c r="T165" s="828"/>
      <c r="U165" s="828"/>
      <c r="V165" s="828"/>
      <c r="W165" s="828"/>
      <c r="X165" s="828"/>
      <c r="Y165" s="828"/>
      <c r="Z165" s="828"/>
      <c r="AA165" s="828"/>
      <c r="AB165" s="828"/>
      <c r="AC165" s="828"/>
      <c r="AD165" s="828"/>
      <c r="AE165" s="828"/>
      <c r="AF165" s="828"/>
      <c r="AG165" s="828"/>
      <c r="AH165" s="828"/>
      <c r="AI165" s="828"/>
      <c r="AJ165" s="828"/>
      <c r="AK165" s="828"/>
      <c r="AL165" s="828"/>
      <c r="AM165" s="828"/>
      <c r="AN165" s="828"/>
      <c r="AO165" s="828"/>
      <c r="AP165" s="828"/>
      <c r="AQ165" s="828"/>
      <c r="AR165" s="829"/>
      <c r="AS165" s="845"/>
    </row>
    <row r="166" spans="1:45" ht="15.75" customHeight="1">
      <c r="A166" s="880" t="s">
        <v>905</v>
      </c>
      <c r="B166" s="881"/>
      <c r="C166" s="881"/>
      <c r="D166" s="881"/>
      <c r="E166" s="881"/>
      <c r="F166" s="881"/>
      <c r="G166" s="881"/>
      <c r="H166" s="330"/>
      <c r="I166" s="331">
        <f aca="true" t="shared" si="90" ref="I166:AL166">IF(ISERR(AW$21),"",AW$21)</f>
      </c>
      <c r="J166" s="331">
        <f t="shared" si="90"/>
      </c>
      <c r="K166" s="331">
        <f t="shared" si="90"/>
      </c>
      <c r="L166" s="331">
        <f t="shared" si="90"/>
      </c>
      <c r="M166" s="331">
        <f t="shared" si="90"/>
      </c>
      <c r="N166" s="331">
        <f t="shared" si="90"/>
      </c>
      <c r="O166" s="331">
        <f t="shared" si="90"/>
      </c>
      <c r="P166" s="331">
        <f t="shared" si="90"/>
      </c>
      <c r="Q166" s="331">
        <f t="shared" si="90"/>
      </c>
      <c r="R166" s="331">
        <f t="shared" si="90"/>
      </c>
      <c r="S166" s="331">
        <f t="shared" si="90"/>
      </c>
      <c r="T166" s="331">
        <f t="shared" si="90"/>
      </c>
      <c r="U166" s="331">
        <f t="shared" si="90"/>
      </c>
      <c r="V166" s="331">
        <f t="shared" si="90"/>
      </c>
      <c r="W166" s="331">
        <f t="shared" si="90"/>
      </c>
      <c r="X166" s="331">
        <f t="shared" si="90"/>
      </c>
      <c r="Y166" s="331">
        <f t="shared" si="90"/>
      </c>
      <c r="Z166" s="331">
        <f t="shared" si="90"/>
      </c>
      <c r="AA166" s="331">
        <f t="shared" si="90"/>
      </c>
      <c r="AB166" s="331">
        <f t="shared" si="90"/>
      </c>
      <c r="AC166" s="331">
        <f t="shared" si="90"/>
      </c>
      <c r="AD166" s="331">
        <f t="shared" si="90"/>
      </c>
      <c r="AE166" s="331">
        <f t="shared" si="90"/>
      </c>
      <c r="AF166" s="331">
        <f t="shared" si="90"/>
      </c>
      <c r="AG166" s="331">
        <f t="shared" si="90"/>
      </c>
      <c r="AH166" s="331">
        <f t="shared" si="90"/>
      </c>
      <c r="AI166" s="331">
        <f t="shared" si="90"/>
      </c>
      <c r="AJ166" s="331">
        <f t="shared" si="90"/>
      </c>
      <c r="AK166" s="331">
        <f t="shared" si="90"/>
      </c>
      <c r="AL166" s="332">
        <f t="shared" si="90"/>
      </c>
      <c r="AM166" s="851"/>
      <c r="AN166" s="852"/>
      <c r="AO166" s="852"/>
      <c r="AP166" s="852"/>
      <c r="AQ166" s="852"/>
      <c r="AR166" s="329"/>
      <c r="AS166" s="845"/>
    </row>
    <row r="167" spans="1:45" ht="9" customHeight="1">
      <c r="A167" s="827"/>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828"/>
      <c r="AL167" s="828"/>
      <c r="AM167" s="828"/>
      <c r="AN167" s="828"/>
      <c r="AO167" s="828"/>
      <c r="AP167" s="828"/>
      <c r="AQ167" s="828"/>
      <c r="AR167" s="829"/>
      <c r="AS167" s="845"/>
    </row>
    <row r="168" spans="1:45" ht="15" customHeight="1">
      <c r="A168" s="880" t="s">
        <v>1891</v>
      </c>
      <c r="B168" s="881"/>
      <c r="C168" s="881"/>
      <c r="D168" s="881"/>
      <c r="E168" s="881"/>
      <c r="F168" s="881"/>
      <c r="G168" s="881"/>
      <c r="H168" s="330"/>
      <c r="I168" s="331">
        <f aca="true" t="shared" si="91" ref="I168:AL168">IF(ISERR(AW$23),"",AW$23)</f>
      </c>
      <c r="J168" s="331">
        <f t="shared" si="91"/>
      </c>
      <c r="K168" s="331">
        <f t="shared" si="91"/>
      </c>
      <c r="L168" s="331">
        <f t="shared" si="91"/>
      </c>
      <c r="M168" s="331">
        <f t="shared" si="91"/>
      </c>
      <c r="N168" s="331">
        <f t="shared" si="91"/>
      </c>
      <c r="O168" s="331">
        <f t="shared" si="91"/>
      </c>
      <c r="P168" s="331">
        <f t="shared" si="91"/>
      </c>
      <c r="Q168" s="331">
        <f t="shared" si="91"/>
      </c>
      <c r="R168" s="331">
        <f t="shared" si="91"/>
      </c>
      <c r="S168" s="331">
        <f t="shared" si="91"/>
      </c>
      <c r="T168" s="331">
        <f t="shared" si="91"/>
      </c>
      <c r="U168" s="331">
        <f t="shared" si="91"/>
      </c>
      <c r="V168" s="331">
        <f t="shared" si="91"/>
      </c>
      <c r="W168" s="331">
        <f t="shared" si="91"/>
      </c>
      <c r="X168" s="331">
        <f t="shared" si="91"/>
      </c>
      <c r="Y168" s="331">
        <f t="shared" si="91"/>
      </c>
      <c r="Z168" s="331">
        <f t="shared" si="91"/>
      </c>
      <c r="AA168" s="331">
        <f t="shared" si="91"/>
      </c>
      <c r="AB168" s="331">
        <f t="shared" si="91"/>
      </c>
      <c r="AC168" s="331">
        <f t="shared" si="91"/>
      </c>
      <c r="AD168" s="331">
        <f t="shared" si="91"/>
      </c>
      <c r="AE168" s="331">
        <f t="shared" si="91"/>
      </c>
      <c r="AF168" s="331">
        <f t="shared" si="91"/>
      </c>
      <c r="AG168" s="331">
        <f t="shared" si="91"/>
      </c>
      <c r="AH168" s="331">
        <f t="shared" si="91"/>
      </c>
      <c r="AI168" s="331">
        <f t="shared" si="91"/>
      </c>
      <c r="AJ168" s="331">
        <f t="shared" si="91"/>
      </c>
      <c r="AK168" s="331">
        <f t="shared" si="91"/>
      </c>
      <c r="AL168" s="332">
        <f t="shared" si="91"/>
      </c>
      <c r="AM168" s="851"/>
      <c r="AN168" s="852"/>
      <c r="AO168" s="852"/>
      <c r="AP168" s="852"/>
      <c r="AQ168" s="852"/>
      <c r="AR168" s="329"/>
      <c r="AS168" s="845"/>
    </row>
    <row r="169" spans="1:45" ht="6.75" customHeight="1">
      <c r="A169" s="827"/>
      <c r="B169" s="828"/>
      <c r="C169" s="828"/>
      <c r="D169" s="828"/>
      <c r="E169" s="828"/>
      <c r="F169" s="828"/>
      <c r="G169" s="828"/>
      <c r="H169" s="828"/>
      <c r="I169" s="828"/>
      <c r="J169" s="828"/>
      <c r="K169" s="828"/>
      <c r="L169" s="828"/>
      <c r="M169" s="828"/>
      <c r="N169" s="828"/>
      <c r="O169" s="828"/>
      <c r="P169" s="828"/>
      <c r="Q169" s="828"/>
      <c r="R169" s="828"/>
      <c r="S169" s="828"/>
      <c r="T169" s="828"/>
      <c r="U169" s="828"/>
      <c r="V169" s="828"/>
      <c r="W169" s="828"/>
      <c r="X169" s="828"/>
      <c r="Y169" s="828"/>
      <c r="Z169" s="828"/>
      <c r="AA169" s="828"/>
      <c r="AB169" s="828"/>
      <c r="AC169" s="828"/>
      <c r="AD169" s="828"/>
      <c r="AE169" s="828"/>
      <c r="AF169" s="828"/>
      <c r="AG169" s="828"/>
      <c r="AH169" s="828"/>
      <c r="AI169" s="828"/>
      <c r="AJ169" s="828"/>
      <c r="AK169" s="828"/>
      <c r="AL169" s="828"/>
      <c r="AM169" s="828"/>
      <c r="AN169" s="828"/>
      <c r="AO169" s="828"/>
      <c r="AP169" s="828"/>
      <c r="AQ169" s="828"/>
      <c r="AR169" s="829"/>
      <c r="AS169" s="845"/>
    </row>
    <row r="170" spans="1:45" ht="15" customHeight="1">
      <c r="A170" s="855" t="s">
        <v>1889</v>
      </c>
      <c r="B170" s="699"/>
      <c r="C170" s="699"/>
      <c r="D170" s="699"/>
      <c r="E170" s="699"/>
      <c r="F170" s="699"/>
      <c r="G170" s="699"/>
      <c r="H170" s="333"/>
      <c r="I170" s="328">
        <f aca="true" t="shared" si="92" ref="I170:AQ170">IF(ISERR(AW$25),"",AW$25)</f>
      </c>
      <c r="J170" s="328">
        <f t="shared" si="92"/>
      </c>
      <c r="K170" s="328">
        <f t="shared" si="92"/>
      </c>
      <c r="L170" s="328">
        <f t="shared" si="92"/>
      </c>
      <c r="M170" s="328">
        <f t="shared" si="92"/>
      </c>
      <c r="N170" s="328">
        <f t="shared" si="92"/>
      </c>
      <c r="O170" s="328">
        <f t="shared" si="92"/>
      </c>
      <c r="P170" s="328">
        <f t="shared" si="92"/>
      </c>
      <c r="Q170" s="328">
        <f t="shared" si="92"/>
      </c>
      <c r="R170" s="328">
        <f t="shared" si="92"/>
      </c>
      <c r="S170" s="328">
        <f t="shared" si="92"/>
      </c>
      <c r="T170" s="328">
        <f t="shared" si="92"/>
      </c>
      <c r="U170" s="328">
        <f t="shared" si="92"/>
      </c>
      <c r="V170" s="328">
        <f t="shared" si="92"/>
      </c>
      <c r="W170" s="328">
        <f t="shared" si="92"/>
      </c>
      <c r="X170" s="328">
        <f t="shared" si="92"/>
      </c>
      <c r="Y170" s="328">
        <f t="shared" si="92"/>
      </c>
      <c r="Z170" s="328">
        <f t="shared" si="92"/>
      </c>
      <c r="AA170" s="328">
        <f t="shared" si="92"/>
      </c>
      <c r="AB170" s="328">
        <f t="shared" si="92"/>
      </c>
      <c r="AC170" s="328">
        <f t="shared" si="92"/>
      </c>
      <c r="AD170" s="328">
        <f t="shared" si="92"/>
      </c>
      <c r="AE170" s="328">
        <f t="shared" si="92"/>
      </c>
      <c r="AF170" s="328">
        <f t="shared" si="92"/>
      </c>
      <c r="AG170" s="328">
        <f t="shared" si="92"/>
      </c>
      <c r="AH170" s="328">
        <f t="shared" si="92"/>
      </c>
      <c r="AI170" s="328">
        <f t="shared" si="92"/>
      </c>
      <c r="AJ170" s="328">
        <f t="shared" si="92"/>
      </c>
      <c r="AK170" s="328">
        <f t="shared" si="92"/>
      </c>
      <c r="AL170" s="328">
        <f t="shared" si="92"/>
      </c>
      <c r="AM170" s="328">
        <f t="shared" si="92"/>
      </c>
      <c r="AN170" s="328">
        <f t="shared" si="92"/>
      </c>
      <c r="AO170" s="328">
        <f t="shared" si="92"/>
      </c>
      <c r="AP170" s="328">
        <f t="shared" si="92"/>
      </c>
      <c r="AQ170" s="328">
        <f t="shared" si="92"/>
      </c>
      <c r="AR170" s="334"/>
      <c r="AS170" s="845"/>
    </row>
    <row r="171" spans="1:45" ht="6.75" customHeight="1">
      <c r="A171" s="827"/>
      <c r="B171" s="828"/>
      <c r="C171" s="828"/>
      <c r="D171" s="828"/>
      <c r="E171" s="828"/>
      <c r="F171" s="828"/>
      <c r="G171" s="828"/>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9"/>
      <c r="AS171" s="845"/>
    </row>
    <row r="172" spans="1:45" ht="15.75" customHeight="1">
      <c r="A172" s="867" t="s">
        <v>906</v>
      </c>
      <c r="B172" s="868"/>
      <c r="C172" s="868"/>
      <c r="D172" s="868"/>
      <c r="E172" s="868"/>
      <c r="F172" s="868"/>
      <c r="G172" s="868"/>
      <c r="H172" s="330"/>
      <c r="I172" s="331">
        <f aca="true" t="shared" si="93" ref="I172:W172">IF(ISERR(AW$27),"",AW$27)</f>
      </c>
      <c r="J172" s="331">
        <f t="shared" si="93"/>
      </c>
      <c r="K172" s="331">
        <f t="shared" si="93"/>
      </c>
      <c r="L172" s="331">
        <f t="shared" si="93"/>
      </c>
      <c r="M172" s="331">
        <f t="shared" si="93"/>
      </c>
      <c r="N172" s="331">
        <f t="shared" si="93"/>
      </c>
      <c r="O172" s="331">
        <f t="shared" si="93"/>
      </c>
      <c r="P172" s="331">
        <f t="shared" si="93"/>
      </c>
      <c r="Q172" s="331">
        <f t="shared" si="93"/>
      </c>
      <c r="R172" s="331">
        <f t="shared" si="93"/>
      </c>
      <c r="S172" s="331">
        <f t="shared" si="93"/>
      </c>
      <c r="T172" s="331">
        <f t="shared" si="93"/>
      </c>
      <c r="U172" s="331">
        <f t="shared" si="93"/>
      </c>
      <c r="V172" s="331">
        <f t="shared" si="93"/>
      </c>
      <c r="W172" s="331">
        <f t="shared" si="93"/>
      </c>
      <c r="X172" s="851"/>
      <c r="Y172" s="852"/>
      <c r="Z172" s="852"/>
      <c r="AA172" s="852"/>
      <c r="AB172" s="852"/>
      <c r="AC172" s="852"/>
      <c r="AD172" s="852"/>
      <c r="AE172" s="852"/>
      <c r="AF172" s="852"/>
      <c r="AG172" s="852"/>
      <c r="AH172" s="852"/>
      <c r="AI172" s="852"/>
      <c r="AJ172" s="852"/>
      <c r="AK172" s="852"/>
      <c r="AL172" s="852"/>
      <c r="AM172" s="852"/>
      <c r="AN172" s="852"/>
      <c r="AO172" s="852"/>
      <c r="AP172" s="852"/>
      <c r="AQ172" s="852"/>
      <c r="AR172" s="853"/>
      <c r="AS172" s="845"/>
    </row>
    <row r="173" spans="1:45" ht="7.5" customHeight="1" thickBot="1">
      <c r="A173" s="870"/>
      <c r="B173" s="871"/>
      <c r="C173" s="871"/>
      <c r="D173" s="871"/>
      <c r="E173" s="871"/>
      <c r="F173" s="871"/>
      <c r="G173" s="871"/>
      <c r="H173" s="871"/>
      <c r="I173" s="871"/>
      <c r="J173" s="871"/>
      <c r="K173" s="871"/>
      <c r="L173" s="871"/>
      <c r="M173" s="871"/>
      <c r="N173" s="871"/>
      <c r="O173" s="871"/>
      <c r="P173" s="871"/>
      <c r="Q173" s="871"/>
      <c r="R173" s="871"/>
      <c r="S173" s="871"/>
      <c r="T173" s="871"/>
      <c r="U173" s="871"/>
      <c r="V173" s="871"/>
      <c r="W173" s="871"/>
      <c r="X173" s="871"/>
      <c r="Y173" s="871"/>
      <c r="Z173" s="871"/>
      <c r="AA173" s="871"/>
      <c r="AB173" s="871"/>
      <c r="AC173" s="871"/>
      <c r="AD173" s="871"/>
      <c r="AE173" s="871"/>
      <c r="AF173" s="871"/>
      <c r="AG173" s="871"/>
      <c r="AH173" s="871"/>
      <c r="AI173" s="871"/>
      <c r="AJ173" s="871"/>
      <c r="AK173" s="871"/>
      <c r="AL173" s="871"/>
      <c r="AM173" s="871"/>
      <c r="AN173" s="871"/>
      <c r="AO173" s="871"/>
      <c r="AP173" s="871"/>
      <c r="AQ173" s="871"/>
      <c r="AR173" s="872"/>
      <c r="AS173" s="845"/>
    </row>
    <row r="174" spans="1:45" ht="15.75" customHeight="1" thickBot="1" thickTop="1">
      <c r="A174" s="866"/>
      <c r="B174" s="866"/>
      <c r="C174" s="866"/>
      <c r="D174" s="866"/>
      <c r="E174" s="866"/>
      <c r="F174" s="866"/>
      <c r="G174" s="866"/>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66"/>
      <c r="AL174" s="866"/>
      <c r="AM174" s="866"/>
      <c r="AN174" s="866"/>
      <c r="AO174" s="866"/>
      <c r="AP174" s="866"/>
      <c r="AQ174" s="866"/>
      <c r="AR174" s="866"/>
      <c r="AS174" s="845"/>
    </row>
    <row r="175" spans="1:45" ht="9" customHeight="1" thickTop="1">
      <c r="A175" s="860"/>
      <c r="B175" s="861"/>
      <c r="C175" s="861"/>
      <c r="D175" s="861"/>
      <c r="E175" s="861"/>
      <c r="F175" s="861"/>
      <c r="G175" s="861"/>
      <c r="H175" s="861"/>
      <c r="I175" s="861"/>
      <c r="J175" s="861"/>
      <c r="K175" s="861"/>
      <c r="L175" s="861"/>
      <c r="M175" s="861"/>
      <c r="N175" s="861"/>
      <c r="O175" s="861"/>
      <c r="P175" s="861"/>
      <c r="Q175" s="861"/>
      <c r="R175" s="861"/>
      <c r="S175" s="861"/>
      <c r="T175" s="861"/>
      <c r="U175" s="861"/>
      <c r="V175" s="861"/>
      <c r="W175" s="861"/>
      <c r="X175" s="861"/>
      <c r="Y175" s="861"/>
      <c r="Z175" s="861"/>
      <c r="AA175" s="861"/>
      <c r="AB175" s="861"/>
      <c r="AC175" s="861"/>
      <c r="AD175" s="861"/>
      <c r="AE175" s="861"/>
      <c r="AF175" s="861"/>
      <c r="AG175" s="861"/>
      <c r="AH175" s="861"/>
      <c r="AI175" s="861"/>
      <c r="AJ175" s="861"/>
      <c r="AK175" s="861"/>
      <c r="AL175" s="861"/>
      <c r="AM175" s="861"/>
      <c r="AN175" s="861"/>
      <c r="AO175" s="861"/>
      <c r="AP175" s="861"/>
      <c r="AQ175" s="861"/>
      <c r="AR175" s="862"/>
      <c r="AS175" s="845"/>
    </row>
    <row r="176" spans="1:45" ht="15.75" customHeight="1">
      <c r="A176" s="863" t="s">
        <v>893</v>
      </c>
      <c r="B176" s="864"/>
      <c r="C176" s="864"/>
      <c r="D176" s="864"/>
      <c r="E176" s="864"/>
      <c r="F176" s="864"/>
      <c r="G176" s="864"/>
      <c r="H176" s="864"/>
      <c r="I176" s="864"/>
      <c r="J176" s="864"/>
      <c r="K176" s="864"/>
      <c r="L176" s="864"/>
      <c r="M176" s="864"/>
      <c r="N176" s="864"/>
      <c r="O176" s="864"/>
      <c r="P176" s="864"/>
      <c r="Q176" s="864"/>
      <c r="R176" s="864"/>
      <c r="S176" s="864"/>
      <c r="T176" s="864"/>
      <c r="U176" s="864"/>
      <c r="V176" s="864"/>
      <c r="W176" s="864"/>
      <c r="X176" s="864"/>
      <c r="Y176" s="864"/>
      <c r="Z176" s="864"/>
      <c r="AA176" s="864"/>
      <c r="AB176" s="864"/>
      <c r="AC176" s="864"/>
      <c r="AD176" s="864"/>
      <c r="AE176" s="864"/>
      <c r="AF176" s="864"/>
      <c r="AG176" s="864"/>
      <c r="AH176" s="864"/>
      <c r="AI176" s="864"/>
      <c r="AJ176" s="864"/>
      <c r="AK176" s="864"/>
      <c r="AL176" s="864"/>
      <c r="AM176" s="864"/>
      <c r="AN176" s="864"/>
      <c r="AO176" s="864"/>
      <c r="AP176" s="864"/>
      <c r="AQ176" s="864"/>
      <c r="AR176" s="865"/>
      <c r="AS176" s="845"/>
    </row>
    <row r="177" spans="1:45" ht="7.5" customHeight="1">
      <c r="A177" s="827"/>
      <c r="B177" s="828"/>
      <c r="C177" s="828"/>
      <c r="D177" s="828"/>
      <c r="E177" s="828"/>
      <c r="F177" s="828"/>
      <c r="G177" s="828"/>
      <c r="H177" s="828"/>
      <c r="I177" s="828"/>
      <c r="J177" s="828"/>
      <c r="K177" s="828"/>
      <c r="L177" s="828"/>
      <c r="M177" s="828"/>
      <c r="N177" s="828"/>
      <c r="O177" s="828"/>
      <c r="P177" s="828"/>
      <c r="Q177" s="828"/>
      <c r="R177" s="828"/>
      <c r="S177" s="828"/>
      <c r="T177" s="828"/>
      <c r="U177" s="828"/>
      <c r="V177" s="828"/>
      <c r="W177" s="828"/>
      <c r="X177" s="828"/>
      <c r="Y177" s="828"/>
      <c r="Z177" s="828"/>
      <c r="AA177" s="828"/>
      <c r="AB177" s="828"/>
      <c r="AC177" s="828"/>
      <c r="AD177" s="828"/>
      <c r="AE177" s="828"/>
      <c r="AF177" s="828"/>
      <c r="AG177" s="828"/>
      <c r="AH177" s="828"/>
      <c r="AI177" s="828"/>
      <c r="AJ177" s="828"/>
      <c r="AK177" s="828"/>
      <c r="AL177" s="828"/>
      <c r="AM177" s="828"/>
      <c r="AN177" s="828"/>
      <c r="AO177" s="828"/>
      <c r="AP177" s="828"/>
      <c r="AQ177" s="828"/>
      <c r="AR177" s="829"/>
      <c r="AS177" s="845"/>
    </row>
    <row r="178" spans="1:45" ht="15.75" customHeight="1">
      <c r="A178" s="830" t="str">
        <f>A152</f>
        <v>NAAM</v>
      </c>
      <c r="B178" s="831"/>
      <c r="C178" s="831"/>
      <c r="D178" s="831"/>
      <c r="E178" s="831"/>
      <c r="F178" s="831"/>
      <c r="G178" s="831"/>
      <c r="H178" s="320"/>
      <c r="I178" s="332">
        <f aca="true" t="shared" si="94" ref="I178:AQ178">IF(ISERR(AW$31),"",AW$31)</f>
      </c>
      <c r="J178" s="332">
        <f t="shared" si="94"/>
      </c>
      <c r="K178" s="332">
        <f t="shared" si="94"/>
      </c>
      <c r="L178" s="332">
        <f t="shared" si="94"/>
      </c>
      <c r="M178" s="332">
        <f t="shared" si="94"/>
      </c>
      <c r="N178" s="332">
        <f t="shared" si="94"/>
      </c>
      <c r="O178" s="332">
        <f t="shared" si="94"/>
      </c>
      <c r="P178" s="332">
        <f t="shared" si="94"/>
      </c>
      <c r="Q178" s="332">
        <f t="shared" si="94"/>
      </c>
      <c r="R178" s="332">
        <f t="shared" si="94"/>
      </c>
      <c r="S178" s="332">
        <f t="shared" si="94"/>
      </c>
      <c r="T178" s="332">
        <f t="shared" si="94"/>
      </c>
      <c r="U178" s="332">
        <f t="shared" si="94"/>
      </c>
      <c r="V178" s="332">
        <f t="shared" si="94"/>
      </c>
      <c r="W178" s="332">
        <f t="shared" si="94"/>
      </c>
      <c r="X178" s="332">
        <f t="shared" si="94"/>
      </c>
      <c r="Y178" s="332">
        <f t="shared" si="94"/>
      </c>
      <c r="Z178" s="332">
        <f t="shared" si="94"/>
      </c>
      <c r="AA178" s="332">
        <f t="shared" si="94"/>
      </c>
      <c r="AB178" s="332">
        <f t="shared" si="94"/>
      </c>
      <c r="AC178" s="332">
        <f t="shared" si="94"/>
      </c>
      <c r="AD178" s="332">
        <f t="shared" si="94"/>
      </c>
      <c r="AE178" s="332">
        <f t="shared" si="94"/>
      </c>
      <c r="AF178" s="332">
        <f t="shared" si="94"/>
      </c>
      <c r="AG178" s="332">
        <f t="shared" si="94"/>
      </c>
      <c r="AH178" s="332">
        <f t="shared" si="94"/>
      </c>
      <c r="AI178" s="332">
        <f t="shared" si="94"/>
      </c>
      <c r="AJ178" s="332">
        <f t="shared" si="94"/>
      </c>
      <c r="AK178" s="332">
        <f t="shared" si="94"/>
      </c>
      <c r="AL178" s="332">
        <f t="shared" si="94"/>
      </c>
      <c r="AM178" s="332">
        <f t="shared" si="94"/>
      </c>
      <c r="AN178" s="332">
        <f t="shared" si="94"/>
      </c>
      <c r="AO178" s="332">
        <f t="shared" si="94"/>
      </c>
      <c r="AP178" s="332">
        <f t="shared" si="94"/>
      </c>
      <c r="AQ178" s="332">
        <f t="shared" si="94"/>
      </c>
      <c r="AR178" s="322"/>
      <c r="AS178" s="845"/>
    </row>
    <row r="179" spans="1:45" ht="9" customHeight="1">
      <c r="A179" s="827"/>
      <c r="B179" s="828"/>
      <c r="C179" s="828"/>
      <c r="D179" s="828"/>
      <c r="E179" s="828"/>
      <c r="F179" s="828"/>
      <c r="G179" s="828"/>
      <c r="H179" s="828"/>
      <c r="I179" s="828"/>
      <c r="J179" s="828"/>
      <c r="K179" s="828"/>
      <c r="L179" s="828"/>
      <c r="M179" s="828"/>
      <c r="N179" s="828"/>
      <c r="O179" s="828"/>
      <c r="P179" s="828"/>
      <c r="Q179" s="828"/>
      <c r="R179" s="828"/>
      <c r="S179" s="828"/>
      <c r="T179" s="828"/>
      <c r="U179" s="828"/>
      <c r="V179" s="828"/>
      <c r="W179" s="828"/>
      <c r="X179" s="828"/>
      <c r="Y179" s="828"/>
      <c r="Z179" s="828"/>
      <c r="AA179" s="828"/>
      <c r="AB179" s="828"/>
      <c r="AC179" s="828"/>
      <c r="AD179" s="828"/>
      <c r="AE179" s="828"/>
      <c r="AF179" s="828"/>
      <c r="AG179" s="828"/>
      <c r="AH179" s="828"/>
      <c r="AI179" s="828"/>
      <c r="AJ179" s="828"/>
      <c r="AK179" s="828"/>
      <c r="AL179" s="828"/>
      <c r="AM179" s="828"/>
      <c r="AN179" s="828"/>
      <c r="AO179" s="828"/>
      <c r="AP179" s="828"/>
      <c r="AQ179" s="828"/>
      <c r="AR179" s="829"/>
      <c r="AS179" s="845"/>
    </row>
    <row r="180" spans="1:45" ht="15.75" customHeight="1">
      <c r="A180" s="856"/>
      <c r="B180" s="460"/>
      <c r="C180" s="460"/>
      <c r="D180" s="460"/>
      <c r="E180" s="460"/>
      <c r="F180" s="460"/>
      <c r="G180" s="460"/>
      <c r="H180" s="857"/>
      <c r="I180" s="332">
        <f aca="true" t="shared" si="95" ref="I180:AQ180">IF(ISERR(CF$31),"",CF$31)</f>
      </c>
      <c r="J180" s="332">
        <f t="shared" si="95"/>
      </c>
      <c r="K180" s="332">
        <f t="shared" si="95"/>
      </c>
      <c r="L180" s="332">
        <f t="shared" si="95"/>
      </c>
      <c r="M180" s="332">
        <f t="shared" si="95"/>
      </c>
      <c r="N180" s="332">
        <f t="shared" si="95"/>
      </c>
      <c r="O180" s="332">
        <f t="shared" si="95"/>
      </c>
      <c r="P180" s="332">
        <f t="shared" si="95"/>
      </c>
      <c r="Q180" s="332">
        <f t="shared" si="95"/>
      </c>
      <c r="R180" s="332">
        <f t="shared" si="95"/>
      </c>
      <c r="S180" s="332">
        <f t="shared" si="95"/>
      </c>
      <c r="T180" s="332">
        <f t="shared" si="95"/>
      </c>
      <c r="U180" s="332">
        <f t="shared" si="95"/>
      </c>
      <c r="V180" s="332">
        <f t="shared" si="95"/>
      </c>
      <c r="W180" s="332">
        <f t="shared" si="95"/>
      </c>
      <c r="X180" s="332">
        <f t="shared" si="95"/>
      </c>
      <c r="Y180" s="332">
        <f t="shared" si="95"/>
      </c>
      <c r="Z180" s="332">
        <f t="shared" si="95"/>
      </c>
      <c r="AA180" s="332">
        <f t="shared" si="95"/>
      </c>
      <c r="AB180" s="332">
        <f t="shared" si="95"/>
      </c>
      <c r="AC180" s="332">
        <f t="shared" si="95"/>
      </c>
      <c r="AD180" s="332">
        <f t="shared" si="95"/>
      </c>
      <c r="AE180" s="332">
        <f t="shared" si="95"/>
      </c>
      <c r="AF180" s="332">
        <f t="shared" si="95"/>
      </c>
      <c r="AG180" s="332">
        <f t="shared" si="95"/>
      </c>
      <c r="AH180" s="332">
        <f t="shared" si="95"/>
      </c>
      <c r="AI180" s="332">
        <f t="shared" si="95"/>
      </c>
      <c r="AJ180" s="332">
        <f t="shared" si="95"/>
      </c>
      <c r="AK180" s="332">
        <f t="shared" si="95"/>
      </c>
      <c r="AL180" s="332">
        <f t="shared" si="95"/>
      </c>
      <c r="AM180" s="332">
        <f t="shared" si="95"/>
      </c>
      <c r="AN180" s="332">
        <f t="shared" si="95"/>
      </c>
      <c r="AO180" s="332">
        <f t="shared" si="95"/>
      </c>
      <c r="AP180" s="332">
        <f t="shared" si="95"/>
      </c>
      <c r="AQ180" s="332">
        <f t="shared" si="95"/>
      </c>
      <c r="AR180" s="322"/>
      <c r="AS180" s="845"/>
    </row>
    <row r="181" spans="1:45" ht="7.5" customHeight="1">
      <c r="A181" s="827"/>
      <c r="B181" s="828"/>
      <c r="C181" s="828"/>
      <c r="D181" s="828"/>
      <c r="E181" s="828"/>
      <c r="F181" s="828"/>
      <c r="G181" s="828"/>
      <c r="H181" s="828"/>
      <c r="I181" s="828"/>
      <c r="J181" s="828"/>
      <c r="K181" s="828"/>
      <c r="L181" s="828"/>
      <c r="M181" s="828"/>
      <c r="N181" s="828"/>
      <c r="O181" s="828"/>
      <c r="P181" s="828"/>
      <c r="Q181" s="828"/>
      <c r="R181" s="828"/>
      <c r="S181" s="828"/>
      <c r="T181" s="828"/>
      <c r="U181" s="828"/>
      <c r="V181" s="828"/>
      <c r="W181" s="828"/>
      <c r="X181" s="828"/>
      <c r="Y181" s="828"/>
      <c r="Z181" s="828"/>
      <c r="AA181" s="828"/>
      <c r="AB181" s="828"/>
      <c r="AC181" s="828"/>
      <c r="AD181" s="828"/>
      <c r="AE181" s="828"/>
      <c r="AF181" s="828"/>
      <c r="AG181" s="828"/>
      <c r="AH181" s="828"/>
      <c r="AI181" s="828"/>
      <c r="AJ181" s="828"/>
      <c r="AK181" s="828"/>
      <c r="AL181" s="828"/>
      <c r="AM181" s="828"/>
      <c r="AN181" s="828"/>
      <c r="AO181" s="828"/>
      <c r="AP181" s="828"/>
      <c r="AQ181" s="828"/>
      <c r="AR181" s="829"/>
      <c r="AS181" s="845"/>
    </row>
    <row r="182" spans="1:45" ht="15.75" customHeight="1">
      <c r="A182" s="855" t="str">
        <f>A156</f>
        <v>ADRES</v>
      </c>
      <c r="B182" s="699"/>
      <c r="C182" s="699"/>
      <c r="D182" s="699"/>
      <c r="E182" s="699"/>
      <c r="F182" s="699"/>
      <c r="G182" s="699"/>
      <c r="H182" s="320"/>
      <c r="I182" s="332">
        <f aca="true" t="shared" si="96" ref="I182:AQ182">IF(ISERR(AW$35),"",AW$35)</f>
      </c>
      <c r="J182" s="332">
        <f t="shared" si="96"/>
      </c>
      <c r="K182" s="332">
        <f t="shared" si="96"/>
      </c>
      <c r="L182" s="332">
        <f t="shared" si="96"/>
      </c>
      <c r="M182" s="332">
        <f t="shared" si="96"/>
      </c>
      <c r="N182" s="332">
        <f t="shared" si="96"/>
      </c>
      <c r="O182" s="332">
        <f t="shared" si="96"/>
      </c>
      <c r="P182" s="332">
        <f t="shared" si="96"/>
      </c>
      <c r="Q182" s="332">
        <f t="shared" si="96"/>
      </c>
      <c r="R182" s="332">
        <f t="shared" si="96"/>
      </c>
      <c r="S182" s="332">
        <f t="shared" si="96"/>
      </c>
      <c r="T182" s="332">
        <f t="shared" si="96"/>
      </c>
      <c r="U182" s="332">
        <f t="shared" si="96"/>
      </c>
      <c r="V182" s="332">
        <f t="shared" si="96"/>
      </c>
      <c r="W182" s="332">
        <f t="shared" si="96"/>
      </c>
      <c r="X182" s="332">
        <f t="shared" si="96"/>
      </c>
      <c r="Y182" s="332">
        <f t="shared" si="96"/>
      </c>
      <c r="Z182" s="332">
        <f t="shared" si="96"/>
      </c>
      <c r="AA182" s="332">
        <f t="shared" si="96"/>
      </c>
      <c r="AB182" s="332">
        <f t="shared" si="96"/>
      </c>
      <c r="AC182" s="332">
        <f t="shared" si="96"/>
      </c>
      <c r="AD182" s="332">
        <f t="shared" si="96"/>
      </c>
      <c r="AE182" s="332">
        <f t="shared" si="96"/>
      </c>
      <c r="AF182" s="332">
        <f t="shared" si="96"/>
      </c>
      <c r="AG182" s="332">
        <f t="shared" si="96"/>
      </c>
      <c r="AH182" s="332">
        <f t="shared" si="96"/>
      </c>
      <c r="AI182" s="332">
        <f t="shared" si="96"/>
      </c>
      <c r="AJ182" s="332">
        <f t="shared" si="96"/>
      </c>
      <c r="AK182" s="332">
        <f t="shared" si="96"/>
      </c>
      <c r="AL182" s="332">
        <f t="shared" si="96"/>
      </c>
      <c r="AM182" s="332">
        <f t="shared" si="96"/>
      </c>
      <c r="AN182" s="332">
        <f t="shared" si="96"/>
      </c>
      <c r="AO182" s="332">
        <f t="shared" si="96"/>
      </c>
      <c r="AP182" s="332">
        <f t="shared" si="96"/>
      </c>
      <c r="AQ182" s="332">
        <f t="shared" si="96"/>
      </c>
      <c r="AR182" s="322"/>
      <c r="AS182" s="845"/>
    </row>
    <row r="183" spans="1:45" ht="7.5" customHeight="1">
      <c r="A183" s="827"/>
      <c r="B183" s="828"/>
      <c r="C183" s="828"/>
      <c r="D183" s="828"/>
      <c r="E183" s="828"/>
      <c r="F183" s="828"/>
      <c r="G183" s="828"/>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28"/>
      <c r="AK183" s="828"/>
      <c r="AL183" s="828"/>
      <c r="AM183" s="828"/>
      <c r="AN183" s="828"/>
      <c r="AO183" s="828"/>
      <c r="AP183" s="828"/>
      <c r="AQ183" s="828"/>
      <c r="AR183" s="829"/>
      <c r="AS183" s="845"/>
    </row>
    <row r="184" spans="1:45" ht="15.75" customHeight="1">
      <c r="A184" s="856"/>
      <c r="B184" s="460"/>
      <c r="C184" s="460"/>
      <c r="D184" s="460"/>
      <c r="E184" s="460"/>
      <c r="F184" s="460"/>
      <c r="G184" s="460"/>
      <c r="H184" s="857"/>
      <c r="I184" s="332">
        <f aca="true" t="shared" si="97" ref="I184:AQ184">IF(ISERR(CF$35),"",CF$35)</f>
      </c>
      <c r="J184" s="332">
        <f t="shared" si="97"/>
      </c>
      <c r="K184" s="332">
        <f t="shared" si="97"/>
      </c>
      <c r="L184" s="332">
        <f t="shared" si="97"/>
      </c>
      <c r="M184" s="332">
        <f t="shared" si="97"/>
      </c>
      <c r="N184" s="332">
        <f t="shared" si="97"/>
      </c>
      <c r="O184" s="332">
        <f t="shared" si="97"/>
      </c>
      <c r="P184" s="332">
        <f t="shared" si="97"/>
      </c>
      <c r="Q184" s="332">
        <f t="shared" si="97"/>
      </c>
      <c r="R184" s="332">
        <f t="shared" si="97"/>
      </c>
      <c r="S184" s="332">
        <f t="shared" si="97"/>
      </c>
      <c r="T184" s="332">
        <f t="shared" si="97"/>
      </c>
      <c r="U184" s="332">
        <f t="shared" si="97"/>
      </c>
      <c r="V184" s="332">
        <f t="shared" si="97"/>
      </c>
      <c r="W184" s="332">
        <f t="shared" si="97"/>
      </c>
      <c r="X184" s="332">
        <f t="shared" si="97"/>
      </c>
      <c r="Y184" s="332">
        <f t="shared" si="97"/>
      </c>
      <c r="Z184" s="332">
        <f t="shared" si="97"/>
      </c>
      <c r="AA184" s="332">
        <f t="shared" si="97"/>
      </c>
      <c r="AB184" s="332">
        <f t="shared" si="97"/>
      </c>
      <c r="AC184" s="332">
        <f t="shared" si="97"/>
      </c>
      <c r="AD184" s="332">
        <f t="shared" si="97"/>
      </c>
      <c r="AE184" s="332">
        <f t="shared" si="97"/>
      </c>
      <c r="AF184" s="332">
        <f t="shared" si="97"/>
      </c>
      <c r="AG184" s="332">
        <f t="shared" si="97"/>
      </c>
      <c r="AH184" s="332">
        <f t="shared" si="97"/>
      </c>
      <c r="AI184" s="332">
        <f t="shared" si="97"/>
      </c>
      <c r="AJ184" s="332">
        <f t="shared" si="97"/>
      </c>
      <c r="AK184" s="332">
        <f t="shared" si="97"/>
      </c>
      <c r="AL184" s="332">
        <f t="shared" si="97"/>
      </c>
      <c r="AM184" s="332">
        <f t="shared" si="97"/>
      </c>
      <c r="AN184" s="332">
        <f t="shared" si="97"/>
      </c>
      <c r="AO184" s="332">
        <f t="shared" si="97"/>
      </c>
      <c r="AP184" s="332">
        <f t="shared" si="97"/>
      </c>
      <c r="AQ184" s="332">
        <f t="shared" si="97"/>
      </c>
      <c r="AR184" s="322"/>
      <c r="AS184" s="845"/>
    </row>
    <row r="185" spans="1:45" ht="7.5" customHeight="1">
      <c r="A185" s="858"/>
      <c r="B185" s="849"/>
      <c r="C185" s="849"/>
      <c r="D185" s="849"/>
      <c r="E185" s="849"/>
      <c r="F185" s="849"/>
      <c r="G185" s="849"/>
      <c r="H185" s="849"/>
      <c r="I185" s="849"/>
      <c r="J185" s="849"/>
      <c r="K185" s="849"/>
      <c r="L185" s="849"/>
      <c r="M185" s="849"/>
      <c r="N185" s="849"/>
      <c r="O185" s="849"/>
      <c r="P185" s="849"/>
      <c r="Q185" s="849"/>
      <c r="R185" s="849"/>
      <c r="S185" s="849"/>
      <c r="T185" s="849"/>
      <c r="U185" s="849"/>
      <c r="V185" s="849"/>
      <c r="W185" s="849"/>
      <c r="X185" s="849"/>
      <c r="Y185" s="849"/>
      <c r="Z185" s="849"/>
      <c r="AA185" s="849"/>
      <c r="AB185" s="849"/>
      <c r="AC185" s="849"/>
      <c r="AD185" s="849"/>
      <c r="AE185" s="849"/>
      <c r="AF185" s="849"/>
      <c r="AG185" s="849"/>
      <c r="AH185" s="849"/>
      <c r="AI185" s="849"/>
      <c r="AJ185" s="849"/>
      <c r="AK185" s="849"/>
      <c r="AL185" s="849"/>
      <c r="AM185" s="849"/>
      <c r="AN185" s="849"/>
      <c r="AO185" s="849"/>
      <c r="AP185" s="849"/>
      <c r="AQ185" s="849"/>
      <c r="AR185" s="859"/>
      <c r="AS185" s="845"/>
    </row>
    <row r="186" spans="1:45" ht="15.75" customHeight="1">
      <c r="A186" s="830" t="str">
        <f>A160</f>
        <v>GEMEENTE/STAD</v>
      </c>
      <c r="B186" s="831"/>
      <c r="C186" s="831"/>
      <c r="D186" s="831"/>
      <c r="E186" s="831"/>
      <c r="F186" s="831"/>
      <c r="G186" s="831"/>
      <c r="H186" s="320"/>
      <c r="I186" s="332">
        <f aca="true" t="shared" si="98" ref="I186:AQ186">IF(ISERR(AW$39),"",AW$39)</f>
      </c>
      <c r="J186" s="332">
        <f t="shared" si="98"/>
      </c>
      <c r="K186" s="332">
        <f t="shared" si="98"/>
      </c>
      <c r="L186" s="332">
        <f t="shared" si="98"/>
      </c>
      <c r="M186" s="332">
        <f t="shared" si="98"/>
      </c>
      <c r="N186" s="332">
        <f t="shared" si="98"/>
      </c>
      <c r="O186" s="332">
        <f t="shared" si="98"/>
      </c>
      <c r="P186" s="332">
        <f t="shared" si="98"/>
      </c>
      <c r="Q186" s="332">
        <f t="shared" si="98"/>
      </c>
      <c r="R186" s="332">
        <f t="shared" si="98"/>
      </c>
      <c r="S186" s="332">
        <f t="shared" si="98"/>
      </c>
      <c r="T186" s="332">
        <f t="shared" si="98"/>
      </c>
      <c r="U186" s="332">
        <f t="shared" si="98"/>
      </c>
      <c r="V186" s="332">
        <f t="shared" si="98"/>
      </c>
      <c r="W186" s="332">
        <f t="shared" si="98"/>
      </c>
      <c r="X186" s="332">
        <f t="shared" si="98"/>
      </c>
      <c r="Y186" s="332">
        <f t="shared" si="98"/>
      </c>
      <c r="Z186" s="332">
        <f t="shared" si="98"/>
      </c>
      <c r="AA186" s="332">
        <f t="shared" si="98"/>
      </c>
      <c r="AB186" s="332">
        <f t="shared" si="98"/>
      </c>
      <c r="AC186" s="332">
        <f t="shared" si="98"/>
      </c>
      <c r="AD186" s="332">
        <f t="shared" si="98"/>
      </c>
      <c r="AE186" s="332">
        <f t="shared" si="98"/>
      </c>
      <c r="AF186" s="332">
        <f t="shared" si="98"/>
      </c>
      <c r="AG186" s="332">
        <f t="shared" si="98"/>
      </c>
      <c r="AH186" s="332">
        <f t="shared" si="98"/>
      </c>
      <c r="AI186" s="332">
        <f t="shared" si="98"/>
      </c>
      <c r="AJ186" s="332">
        <f t="shared" si="98"/>
      </c>
      <c r="AK186" s="332">
        <f t="shared" si="98"/>
      </c>
      <c r="AL186" s="332">
        <f t="shared" si="98"/>
      </c>
      <c r="AM186" s="332">
        <f t="shared" si="98"/>
      </c>
      <c r="AN186" s="332">
        <f t="shared" si="98"/>
      </c>
      <c r="AO186" s="332">
        <f t="shared" si="98"/>
      </c>
      <c r="AP186" s="332">
        <f t="shared" si="98"/>
      </c>
      <c r="AQ186" s="332">
        <f t="shared" si="98"/>
      </c>
      <c r="AR186" s="322"/>
      <c r="AS186" s="845"/>
    </row>
    <row r="187" spans="1:45" ht="9" customHeight="1">
      <c r="A187" s="858"/>
      <c r="B187" s="849"/>
      <c r="C187" s="849"/>
      <c r="D187" s="849"/>
      <c r="E187" s="849"/>
      <c r="F187" s="849"/>
      <c r="G187" s="849"/>
      <c r="H187" s="849"/>
      <c r="I187" s="849"/>
      <c r="J187" s="849"/>
      <c r="K187" s="849"/>
      <c r="L187" s="849"/>
      <c r="M187" s="849"/>
      <c r="N187" s="849"/>
      <c r="O187" s="849"/>
      <c r="P187" s="849"/>
      <c r="Q187" s="849"/>
      <c r="R187" s="849"/>
      <c r="S187" s="849"/>
      <c r="T187" s="849"/>
      <c r="U187" s="849"/>
      <c r="V187" s="849"/>
      <c r="W187" s="849"/>
      <c r="X187" s="849"/>
      <c r="Y187" s="849"/>
      <c r="Z187" s="849"/>
      <c r="AA187" s="849"/>
      <c r="AB187" s="849"/>
      <c r="AC187" s="849"/>
      <c r="AD187" s="849"/>
      <c r="AE187" s="849"/>
      <c r="AF187" s="849"/>
      <c r="AG187" s="849"/>
      <c r="AH187" s="849"/>
      <c r="AI187" s="849"/>
      <c r="AJ187" s="849"/>
      <c r="AK187" s="849"/>
      <c r="AL187" s="849"/>
      <c r="AM187" s="849"/>
      <c r="AN187" s="849"/>
      <c r="AO187" s="849"/>
      <c r="AP187" s="849"/>
      <c r="AQ187" s="849"/>
      <c r="AR187" s="859"/>
      <c r="AS187" s="845"/>
    </row>
    <row r="188" spans="1:45" ht="15" customHeight="1">
      <c r="A188" s="830" t="str">
        <f>A162</f>
        <v>POSTNUMMER</v>
      </c>
      <c r="B188" s="831"/>
      <c r="C188" s="831"/>
      <c r="D188" s="831"/>
      <c r="E188" s="831"/>
      <c r="F188" s="831"/>
      <c r="G188" s="831"/>
      <c r="H188" s="320"/>
      <c r="I188" s="332">
        <f>IF(ISERR(AW$41),"",AW$41)</f>
      </c>
      <c r="J188" s="332">
        <f>IF(ISERR(AX$41),"",AX$41)</f>
      </c>
      <c r="K188" s="332">
        <f>IF(ISERR(AY$41),"",AY$41)</f>
      </c>
      <c r="L188" s="332">
        <f>IF(ISERR(AZ$41),"",AZ$41)</f>
      </c>
      <c r="M188" s="832"/>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469"/>
      <c r="AK188" s="469"/>
      <c r="AL188" s="469"/>
      <c r="AM188" s="469"/>
      <c r="AN188" s="469"/>
      <c r="AO188" s="469"/>
      <c r="AP188" s="469"/>
      <c r="AQ188" s="469"/>
      <c r="AR188" s="833"/>
      <c r="AS188" s="845"/>
    </row>
    <row r="189" spans="1:45" ht="6.75" customHeight="1">
      <c r="A189" s="827"/>
      <c r="B189" s="828"/>
      <c r="C189" s="828"/>
      <c r="D189" s="828"/>
      <c r="E189" s="828"/>
      <c r="F189" s="828"/>
      <c r="G189" s="828"/>
      <c r="H189" s="828"/>
      <c r="I189" s="828"/>
      <c r="J189" s="828"/>
      <c r="K189" s="828"/>
      <c r="L189" s="828"/>
      <c r="M189" s="828"/>
      <c r="N189" s="828"/>
      <c r="O189" s="828"/>
      <c r="P189" s="828"/>
      <c r="Q189" s="828"/>
      <c r="R189" s="828"/>
      <c r="S189" s="828"/>
      <c r="T189" s="828"/>
      <c r="U189" s="828"/>
      <c r="V189" s="828"/>
      <c r="W189" s="828"/>
      <c r="X189" s="828"/>
      <c r="Y189" s="828"/>
      <c r="Z189" s="828"/>
      <c r="AA189" s="828"/>
      <c r="AB189" s="828"/>
      <c r="AC189" s="828"/>
      <c r="AD189" s="828"/>
      <c r="AE189" s="828"/>
      <c r="AF189" s="828"/>
      <c r="AG189" s="828"/>
      <c r="AH189" s="828"/>
      <c r="AI189" s="828"/>
      <c r="AJ189" s="828"/>
      <c r="AK189" s="828"/>
      <c r="AL189" s="828"/>
      <c r="AM189" s="828"/>
      <c r="AN189" s="828"/>
      <c r="AO189" s="828"/>
      <c r="AP189" s="828"/>
      <c r="AQ189" s="828"/>
      <c r="AR189" s="829"/>
      <c r="AS189" s="845"/>
    </row>
    <row r="190" spans="1:45" ht="15" customHeight="1">
      <c r="A190" s="830" t="s">
        <v>907</v>
      </c>
      <c r="B190" s="831"/>
      <c r="C190" s="831"/>
      <c r="D190" s="831"/>
      <c r="E190" s="831"/>
      <c r="F190" s="831"/>
      <c r="G190" s="831"/>
      <c r="H190" s="320"/>
      <c r="I190" s="331">
        <f aca="true" t="shared" si="99" ref="I190:AQ190">IF(ISERR(AW$45),"",AW$45)</f>
      </c>
      <c r="J190" s="331">
        <f t="shared" si="99"/>
      </c>
      <c r="K190" s="331">
        <f t="shared" si="99"/>
      </c>
      <c r="L190" s="331">
        <f t="shared" si="99"/>
      </c>
      <c r="M190" s="331">
        <f t="shared" si="99"/>
      </c>
      <c r="N190" s="331">
        <f t="shared" si="99"/>
      </c>
      <c r="O190" s="331">
        <f t="shared" si="99"/>
      </c>
      <c r="P190" s="331">
        <f t="shared" si="99"/>
      </c>
      <c r="Q190" s="331">
        <f t="shared" si="99"/>
      </c>
      <c r="R190" s="331">
        <f t="shared" si="99"/>
      </c>
      <c r="S190" s="331">
        <f t="shared" si="99"/>
      </c>
      <c r="T190" s="331">
        <f t="shared" si="99"/>
      </c>
      <c r="U190" s="331">
        <f t="shared" si="99"/>
      </c>
      <c r="V190" s="331">
        <f t="shared" si="99"/>
      </c>
      <c r="W190" s="331">
        <f t="shared" si="99"/>
      </c>
      <c r="X190" s="331">
        <f t="shared" si="99"/>
      </c>
      <c r="Y190" s="331">
        <f t="shared" si="99"/>
      </c>
      <c r="Z190" s="331">
        <f t="shared" si="99"/>
      </c>
      <c r="AA190" s="331">
        <f t="shared" si="99"/>
      </c>
      <c r="AB190" s="331">
        <f t="shared" si="99"/>
      </c>
      <c r="AC190" s="331">
        <f t="shared" si="99"/>
      </c>
      <c r="AD190" s="331">
        <f t="shared" si="99"/>
      </c>
      <c r="AE190" s="331">
        <f t="shared" si="99"/>
      </c>
      <c r="AF190" s="331">
        <f t="shared" si="99"/>
      </c>
      <c r="AG190" s="331">
        <f t="shared" si="99"/>
      </c>
      <c r="AH190" s="331">
        <f t="shared" si="99"/>
      </c>
      <c r="AI190" s="331">
        <f t="shared" si="99"/>
      </c>
      <c r="AJ190" s="331">
        <f t="shared" si="99"/>
      </c>
      <c r="AK190" s="331">
        <f t="shared" si="99"/>
      </c>
      <c r="AL190" s="331">
        <f t="shared" si="99"/>
      </c>
      <c r="AM190" s="331">
        <f t="shared" si="99"/>
      </c>
      <c r="AN190" s="331">
        <f t="shared" si="99"/>
      </c>
      <c r="AO190" s="331">
        <f t="shared" si="99"/>
      </c>
      <c r="AP190" s="331">
        <f t="shared" si="99"/>
      </c>
      <c r="AQ190" s="332">
        <f t="shared" si="99"/>
      </c>
      <c r="AR190" s="323"/>
      <c r="AS190" s="845"/>
    </row>
    <row r="191" spans="1:45" ht="6.75" customHeight="1">
      <c r="A191" s="827"/>
      <c r="B191" s="828"/>
      <c r="C191" s="828"/>
      <c r="D191" s="828"/>
      <c r="E191" s="828"/>
      <c r="F191" s="828"/>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28"/>
      <c r="AK191" s="828"/>
      <c r="AL191" s="828"/>
      <c r="AM191" s="828"/>
      <c r="AN191" s="828"/>
      <c r="AO191" s="828"/>
      <c r="AP191" s="828"/>
      <c r="AQ191" s="828"/>
      <c r="AR191" s="829"/>
      <c r="AS191" s="845"/>
    </row>
    <row r="192" spans="1:45" ht="15">
      <c r="A192" s="830" t="s">
        <v>908</v>
      </c>
      <c r="B192" s="831"/>
      <c r="C192" s="831"/>
      <c r="D192" s="831"/>
      <c r="E192" s="831"/>
      <c r="F192" s="831"/>
      <c r="G192" s="831"/>
      <c r="H192" s="320"/>
      <c r="I192" s="332">
        <f>IF(ISERR(AW$43),"",AW$43)</f>
      </c>
      <c r="J192" s="332">
        <f>IF(ISERR(AX$43),"",AX$43)</f>
      </c>
      <c r="K192" s="332">
        <f>IF(ISERR(AY$43),"",AY$43)</f>
      </c>
      <c r="L192" s="335" t="str">
        <f>"-"</f>
        <v>-</v>
      </c>
      <c r="M192" s="332">
        <f aca="true" t="shared" si="100" ref="M192:S192">IF(ISERR(BA$43),"",BA$43)</f>
      </c>
      <c r="N192" s="332">
        <f t="shared" si="100"/>
      </c>
      <c r="O192" s="332">
        <f t="shared" si="100"/>
      </c>
      <c r="P192" s="332">
        <f t="shared" si="100"/>
      </c>
      <c r="Q192" s="332">
        <f t="shared" si="100"/>
      </c>
      <c r="R192" s="332">
        <f t="shared" si="100"/>
      </c>
      <c r="S192" s="332">
        <f t="shared" si="100"/>
      </c>
      <c r="T192" s="335" t="str">
        <f>"-"</f>
        <v>-</v>
      </c>
      <c r="U192" s="332">
        <f>IF(ISERR(BI$43),"",BI$43)</f>
      </c>
      <c r="V192" s="332">
        <f>IF(ISERR(BJ$43),"",BJ$43)</f>
      </c>
      <c r="W192" s="332">
        <f>IF(ISERR(BK$43),"",BK$43)</f>
      </c>
      <c r="X192" s="851"/>
      <c r="Y192" s="852"/>
      <c r="Z192" s="852"/>
      <c r="AA192" s="852"/>
      <c r="AB192" s="852"/>
      <c r="AC192" s="852"/>
      <c r="AD192" s="852"/>
      <c r="AE192" s="852"/>
      <c r="AF192" s="852"/>
      <c r="AG192" s="852"/>
      <c r="AH192" s="852"/>
      <c r="AI192" s="852"/>
      <c r="AJ192" s="852"/>
      <c r="AK192" s="852"/>
      <c r="AL192" s="852"/>
      <c r="AM192" s="852"/>
      <c r="AN192" s="852"/>
      <c r="AO192" s="852"/>
      <c r="AP192" s="852"/>
      <c r="AQ192" s="852"/>
      <c r="AR192" s="329"/>
      <c r="AS192" s="845"/>
    </row>
    <row r="193" spans="1:45" ht="12.75" customHeight="1">
      <c r="A193" s="827"/>
      <c r="B193" s="828"/>
      <c r="C193" s="828"/>
      <c r="D193" s="828"/>
      <c r="E193" s="828"/>
      <c r="F193" s="828"/>
      <c r="G193" s="828"/>
      <c r="H193" s="828"/>
      <c r="I193" s="828"/>
      <c r="J193" s="828"/>
      <c r="K193" s="828"/>
      <c r="L193" s="828"/>
      <c r="M193" s="828"/>
      <c r="N193" s="828"/>
      <c r="O193" s="828"/>
      <c r="P193" s="828"/>
      <c r="Q193" s="828"/>
      <c r="R193" s="828"/>
      <c r="S193" s="828"/>
      <c r="T193" s="828"/>
      <c r="U193" s="828"/>
      <c r="V193" s="828"/>
      <c r="W193" s="828"/>
      <c r="X193" s="828"/>
      <c r="Y193" s="828"/>
      <c r="Z193" s="828"/>
      <c r="AA193" s="828"/>
      <c r="AB193" s="828"/>
      <c r="AC193" s="828"/>
      <c r="AD193" s="828"/>
      <c r="AE193" s="828"/>
      <c r="AF193" s="828"/>
      <c r="AG193" s="828"/>
      <c r="AH193" s="828"/>
      <c r="AI193" s="828"/>
      <c r="AJ193" s="828"/>
      <c r="AK193" s="828"/>
      <c r="AL193" s="828"/>
      <c r="AM193" s="828"/>
      <c r="AN193" s="828"/>
      <c r="AO193" s="828"/>
      <c r="AP193" s="828"/>
      <c r="AQ193" s="828"/>
      <c r="AR193" s="829"/>
      <c r="AS193" s="845"/>
    </row>
    <row r="194" spans="1:45" ht="15" customHeight="1">
      <c r="A194" s="830" t="s">
        <v>909</v>
      </c>
      <c r="B194" s="831"/>
      <c r="C194" s="831"/>
      <c r="D194" s="831"/>
      <c r="E194" s="831"/>
      <c r="F194" s="831"/>
      <c r="G194" s="831"/>
      <c r="H194" s="320"/>
      <c r="I194" s="332">
        <f>IF(ISERR(AW$47),"",AW$47)</f>
      </c>
      <c r="J194" s="332">
        <f>IF(ISERR(AX$47),"",AX$47)</f>
      </c>
      <c r="K194" s="332">
        <f>IF(ISERR(AY$47),"",AY$47)</f>
      </c>
      <c r="L194" s="332">
        <f>IF(ISERR(AZ$47),"",AZ$47)</f>
      </c>
      <c r="M194" s="332">
        <f>IF(ISERR(BA$47),"",BA$47)</f>
      </c>
      <c r="N194" s="832"/>
      <c r="O194" s="469"/>
      <c r="P194" s="469"/>
      <c r="Q194" s="469"/>
      <c r="R194" s="469"/>
      <c r="S194" s="469"/>
      <c r="T194" s="469"/>
      <c r="U194" s="469"/>
      <c r="V194" s="469"/>
      <c r="W194" s="469"/>
      <c r="X194" s="469"/>
      <c r="Y194" s="469"/>
      <c r="Z194" s="469"/>
      <c r="AA194" s="469"/>
      <c r="AB194" s="469"/>
      <c r="AC194" s="469"/>
      <c r="AD194" s="469"/>
      <c r="AE194" s="469"/>
      <c r="AF194" s="469"/>
      <c r="AG194" s="469"/>
      <c r="AH194" s="469"/>
      <c r="AI194" s="469"/>
      <c r="AJ194" s="469"/>
      <c r="AK194" s="469"/>
      <c r="AL194" s="469"/>
      <c r="AM194" s="469"/>
      <c r="AN194" s="469"/>
      <c r="AO194" s="469"/>
      <c r="AP194" s="469"/>
      <c r="AQ194" s="469"/>
      <c r="AR194" s="833"/>
      <c r="AS194" s="845"/>
    </row>
    <row r="195" spans="1:45" ht="6.75" customHeight="1" thickBot="1">
      <c r="A195" s="834"/>
      <c r="B195" s="835"/>
      <c r="C195" s="835"/>
      <c r="D195" s="835"/>
      <c r="E195" s="835"/>
      <c r="F195" s="835"/>
      <c r="G195" s="835"/>
      <c r="H195" s="835"/>
      <c r="I195" s="835"/>
      <c r="J195" s="835"/>
      <c r="K195" s="835"/>
      <c r="L195" s="835"/>
      <c r="M195" s="835"/>
      <c r="N195" s="835"/>
      <c r="O195" s="835"/>
      <c r="P195" s="835"/>
      <c r="Q195" s="835"/>
      <c r="R195" s="835"/>
      <c r="S195" s="835"/>
      <c r="T195" s="835"/>
      <c r="U195" s="835"/>
      <c r="V195" s="835"/>
      <c r="W195" s="835"/>
      <c r="X195" s="835"/>
      <c r="Y195" s="835"/>
      <c r="Z195" s="835"/>
      <c r="AA195" s="835"/>
      <c r="AB195" s="835"/>
      <c r="AC195" s="835"/>
      <c r="AD195" s="835"/>
      <c r="AE195" s="835"/>
      <c r="AF195" s="835"/>
      <c r="AG195" s="835"/>
      <c r="AH195" s="835"/>
      <c r="AI195" s="835"/>
      <c r="AJ195" s="835"/>
      <c r="AK195" s="835"/>
      <c r="AL195" s="835"/>
      <c r="AM195" s="835"/>
      <c r="AN195" s="835"/>
      <c r="AO195" s="835"/>
      <c r="AP195" s="835"/>
      <c r="AQ195" s="835"/>
      <c r="AR195" s="836"/>
      <c r="AS195" s="845"/>
    </row>
    <row r="196" spans="1:55" s="320" customFormat="1" ht="7.5" customHeight="1" thickBot="1" thickTop="1">
      <c r="A196" s="854"/>
      <c r="B196" s="854"/>
      <c r="C196" s="854"/>
      <c r="D196" s="854"/>
      <c r="E196" s="854"/>
      <c r="F196" s="854"/>
      <c r="G196" s="854"/>
      <c r="H196" s="854"/>
      <c r="I196" s="854"/>
      <c r="J196" s="854"/>
      <c r="K196" s="854"/>
      <c r="L196" s="854"/>
      <c r="M196" s="854"/>
      <c r="N196" s="854"/>
      <c r="O196" s="854"/>
      <c r="P196" s="854"/>
      <c r="Q196" s="854"/>
      <c r="R196" s="854"/>
      <c r="S196" s="854"/>
      <c r="T196" s="854"/>
      <c r="U196" s="854"/>
      <c r="V196" s="854"/>
      <c r="W196" s="854"/>
      <c r="X196" s="854"/>
      <c r="Y196" s="854"/>
      <c r="Z196" s="854"/>
      <c r="AA196" s="854"/>
      <c r="AB196" s="854"/>
      <c r="AC196" s="854"/>
      <c r="AD196" s="854"/>
      <c r="AE196" s="854"/>
      <c r="AF196" s="854"/>
      <c r="AG196" s="854"/>
      <c r="AH196" s="854"/>
      <c r="AI196" s="854"/>
      <c r="AJ196" s="854"/>
      <c r="AK196" s="854"/>
      <c r="AL196" s="854"/>
      <c r="AM196" s="854"/>
      <c r="AN196" s="854"/>
      <c r="AO196" s="854"/>
      <c r="AP196" s="854"/>
      <c r="AQ196" s="854"/>
      <c r="AR196" s="854"/>
      <c r="AS196" s="845"/>
      <c r="BC196" s="325"/>
    </row>
    <row r="197" spans="1:45" ht="6.75" customHeight="1">
      <c r="A197" s="817"/>
      <c r="B197" s="818"/>
      <c r="C197" s="818"/>
      <c r="D197" s="818"/>
      <c r="E197" s="818"/>
      <c r="F197" s="818"/>
      <c r="G197" s="818"/>
      <c r="H197" s="818"/>
      <c r="I197" s="818"/>
      <c r="J197" s="818"/>
      <c r="K197" s="818"/>
      <c r="L197" s="818"/>
      <c r="M197" s="818"/>
      <c r="N197" s="818"/>
      <c r="O197" s="818"/>
      <c r="P197" s="818"/>
      <c r="Q197" s="818"/>
      <c r="R197" s="818"/>
      <c r="S197" s="818"/>
      <c r="T197" s="818"/>
      <c r="U197" s="818"/>
      <c r="V197" s="819"/>
      <c r="W197" s="818"/>
      <c r="X197" s="818"/>
      <c r="Y197" s="818"/>
      <c r="Z197" s="818"/>
      <c r="AA197" s="818"/>
      <c r="AB197" s="818"/>
      <c r="AC197" s="818"/>
      <c r="AD197" s="818"/>
      <c r="AE197" s="818"/>
      <c r="AF197" s="818"/>
      <c r="AG197" s="818"/>
      <c r="AH197" s="818"/>
      <c r="AI197" s="818"/>
      <c r="AJ197" s="818"/>
      <c r="AK197" s="818"/>
      <c r="AL197" s="818"/>
      <c r="AM197" s="818"/>
      <c r="AN197" s="818"/>
      <c r="AO197" s="818"/>
      <c r="AP197" s="818"/>
      <c r="AQ197" s="818"/>
      <c r="AR197" s="819"/>
      <c r="AS197" s="845"/>
    </row>
    <row r="198" spans="1:45" ht="15" customHeight="1">
      <c r="A198" s="820" t="s">
        <v>911</v>
      </c>
      <c r="B198" s="821"/>
      <c r="C198" s="821"/>
      <c r="D198" s="821"/>
      <c r="E198" s="821"/>
      <c r="F198" s="821"/>
      <c r="G198" s="821"/>
      <c r="H198" s="821"/>
      <c r="I198" s="821"/>
      <c r="J198" s="821"/>
      <c r="K198" s="821"/>
      <c r="L198" s="821"/>
      <c r="M198" s="821"/>
      <c r="N198" s="821"/>
      <c r="O198" s="821"/>
      <c r="P198" s="821"/>
      <c r="Q198" s="821"/>
      <c r="R198" s="821"/>
      <c r="S198" s="821"/>
      <c r="T198" s="821"/>
      <c r="U198" s="821"/>
      <c r="V198" s="822"/>
      <c r="W198" s="823" t="s">
        <v>912</v>
      </c>
      <c r="X198" s="824"/>
      <c r="Y198" s="824"/>
      <c r="Z198" s="824"/>
      <c r="AA198" s="824"/>
      <c r="AB198" s="824"/>
      <c r="AC198" s="824"/>
      <c r="AD198" s="824"/>
      <c r="AE198" s="824"/>
      <c r="AF198" s="824"/>
      <c r="AG198" s="824"/>
      <c r="AH198" s="824"/>
      <c r="AI198" s="824"/>
      <c r="AJ198" s="824"/>
      <c r="AK198" s="824"/>
      <c r="AL198" s="824"/>
      <c r="AM198" s="824"/>
      <c r="AN198" s="824"/>
      <c r="AO198" s="824"/>
      <c r="AP198" s="824"/>
      <c r="AQ198" s="824"/>
      <c r="AR198" s="825"/>
      <c r="AS198" s="845"/>
    </row>
    <row r="199" spans="1:45" ht="15" customHeight="1">
      <c r="A199" s="820"/>
      <c r="B199" s="821"/>
      <c r="C199" s="821"/>
      <c r="D199" s="821"/>
      <c r="E199" s="821"/>
      <c r="F199" s="821"/>
      <c r="G199" s="821"/>
      <c r="H199" s="821"/>
      <c r="I199" s="821"/>
      <c r="J199" s="821"/>
      <c r="K199" s="821"/>
      <c r="L199" s="821"/>
      <c r="M199" s="821"/>
      <c r="N199" s="821"/>
      <c r="O199" s="821"/>
      <c r="P199" s="821"/>
      <c r="Q199" s="821"/>
      <c r="R199" s="821"/>
      <c r="S199" s="821"/>
      <c r="T199" s="821"/>
      <c r="U199" s="821"/>
      <c r="V199" s="822"/>
      <c r="W199" s="826"/>
      <c r="X199" s="824"/>
      <c r="Y199" s="824"/>
      <c r="Z199" s="824"/>
      <c r="AA199" s="824"/>
      <c r="AB199" s="824"/>
      <c r="AC199" s="824"/>
      <c r="AD199" s="824"/>
      <c r="AE199" s="824"/>
      <c r="AF199" s="824"/>
      <c r="AG199" s="824"/>
      <c r="AH199" s="824"/>
      <c r="AI199" s="824"/>
      <c r="AJ199" s="824"/>
      <c r="AK199" s="824"/>
      <c r="AL199" s="824"/>
      <c r="AM199" s="824"/>
      <c r="AN199" s="824"/>
      <c r="AO199" s="824"/>
      <c r="AP199" s="824"/>
      <c r="AQ199" s="824"/>
      <c r="AR199" s="825"/>
      <c r="AS199" s="845"/>
    </row>
    <row r="200" spans="1:45" ht="7.5" customHeight="1">
      <c r="A200" s="837"/>
      <c r="B200" s="838"/>
      <c r="C200" s="838"/>
      <c r="D200" s="838"/>
      <c r="E200" s="838"/>
      <c r="F200" s="838"/>
      <c r="G200" s="838"/>
      <c r="H200" s="838"/>
      <c r="I200" s="838"/>
      <c r="J200" s="838"/>
      <c r="K200" s="838"/>
      <c r="L200" s="838"/>
      <c r="M200" s="838"/>
      <c r="N200" s="838"/>
      <c r="O200" s="838"/>
      <c r="P200" s="838"/>
      <c r="Q200" s="838"/>
      <c r="R200" s="838"/>
      <c r="S200" s="838"/>
      <c r="T200" s="838"/>
      <c r="U200" s="838"/>
      <c r="V200" s="839"/>
      <c r="W200" s="837"/>
      <c r="X200" s="838"/>
      <c r="Y200" s="838"/>
      <c r="Z200" s="838"/>
      <c r="AA200" s="838"/>
      <c r="AB200" s="838"/>
      <c r="AC200" s="838"/>
      <c r="AD200" s="838"/>
      <c r="AE200" s="838"/>
      <c r="AF200" s="838"/>
      <c r="AG200" s="838"/>
      <c r="AH200" s="838"/>
      <c r="AI200" s="838"/>
      <c r="AJ200" s="838"/>
      <c r="AK200" s="838"/>
      <c r="AL200" s="838"/>
      <c r="AM200" s="838"/>
      <c r="AN200" s="838"/>
      <c r="AO200" s="838"/>
      <c r="AP200" s="838"/>
      <c r="AQ200" s="838"/>
      <c r="AR200" s="839"/>
      <c r="AS200" s="845"/>
    </row>
    <row r="201" spans="1:45" ht="15">
      <c r="A201" s="837"/>
      <c r="B201" s="838"/>
      <c r="C201" s="838"/>
      <c r="D201" s="838"/>
      <c r="E201" s="838"/>
      <c r="F201" s="838"/>
      <c r="G201" s="838"/>
      <c r="H201" s="838"/>
      <c r="I201" s="838"/>
      <c r="J201" s="838"/>
      <c r="K201" s="838"/>
      <c r="L201" s="838"/>
      <c r="M201" s="838"/>
      <c r="N201" s="838"/>
      <c r="O201" s="838"/>
      <c r="P201" s="838"/>
      <c r="Q201" s="838"/>
      <c r="R201" s="838"/>
      <c r="S201" s="838"/>
      <c r="T201" s="838"/>
      <c r="U201" s="838"/>
      <c r="V201" s="839"/>
      <c r="W201" s="837"/>
      <c r="X201" s="838"/>
      <c r="Y201" s="838"/>
      <c r="Z201" s="838"/>
      <c r="AA201" s="838"/>
      <c r="AB201" s="838"/>
      <c r="AC201" s="838"/>
      <c r="AD201" s="838"/>
      <c r="AE201" s="838"/>
      <c r="AF201" s="838"/>
      <c r="AG201" s="838"/>
      <c r="AH201" s="838"/>
      <c r="AI201" s="838"/>
      <c r="AJ201" s="838"/>
      <c r="AK201" s="838"/>
      <c r="AL201" s="838"/>
      <c r="AM201" s="838"/>
      <c r="AN201" s="838"/>
      <c r="AO201" s="838"/>
      <c r="AP201" s="838"/>
      <c r="AQ201" s="838"/>
      <c r="AR201" s="839"/>
      <c r="AS201" s="845"/>
    </row>
    <row r="202" spans="1:45" ht="9" customHeight="1">
      <c r="A202" s="837"/>
      <c r="B202" s="838"/>
      <c r="C202" s="838"/>
      <c r="D202" s="838"/>
      <c r="E202" s="838"/>
      <c r="F202" s="838"/>
      <c r="G202" s="838"/>
      <c r="H202" s="838"/>
      <c r="I202" s="838"/>
      <c r="J202" s="838"/>
      <c r="K202" s="838"/>
      <c r="L202" s="838"/>
      <c r="M202" s="838"/>
      <c r="N202" s="838"/>
      <c r="O202" s="838"/>
      <c r="P202" s="838"/>
      <c r="Q202" s="838"/>
      <c r="R202" s="838"/>
      <c r="S202" s="838"/>
      <c r="T202" s="838"/>
      <c r="U202" s="838"/>
      <c r="V202" s="839"/>
      <c r="W202" s="837"/>
      <c r="X202" s="838"/>
      <c r="Y202" s="838"/>
      <c r="Z202" s="838"/>
      <c r="AA202" s="838"/>
      <c r="AB202" s="838"/>
      <c r="AC202" s="838"/>
      <c r="AD202" s="838"/>
      <c r="AE202" s="838"/>
      <c r="AF202" s="838"/>
      <c r="AG202" s="838"/>
      <c r="AH202" s="838"/>
      <c r="AI202" s="838"/>
      <c r="AJ202" s="838"/>
      <c r="AK202" s="838"/>
      <c r="AL202" s="838"/>
      <c r="AM202" s="838"/>
      <c r="AN202" s="838"/>
      <c r="AO202" s="838"/>
      <c r="AP202" s="838"/>
      <c r="AQ202" s="838"/>
      <c r="AR202" s="839"/>
      <c r="AS202" s="845"/>
    </row>
    <row r="203" spans="1:45" ht="15.75" customHeight="1">
      <c r="A203" s="837"/>
      <c r="B203" s="838"/>
      <c r="C203" s="838"/>
      <c r="D203" s="838"/>
      <c r="E203" s="838"/>
      <c r="F203" s="838"/>
      <c r="G203" s="838"/>
      <c r="H203" s="838"/>
      <c r="I203" s="838"/>
      <c r="J203" s="838"/>
      <c r="K203" s="838"/>
      <c r="L203" s="838"/>
      <c r="M203" s="838"/>
      <c r="N203" s="838"/>
      <c r="O203" s="838"/>
      <c r="P203" s="838"/>
      <c r="Q203" s="838"/>
      <c r="R203" s="838"/>
      <c r="S203" s="838"/>
      <c r="T203" s="838"/>
      <c r="U203" s="838"/>
      <c r="V203" s="839"/>
      <c r="W203" s="837"/>
      <c r="X203" s="838"/>
      <c r="Y203" s="838"/>
      <c r="Z203" s="838"/>
      <c r="AA203" s="838"/>
      <c r="AB203" s="838"/>
      <c r="AC203" s="838"/>
      <c r="AD203" s="838"/>
      <c r="AE203" s="838"/>
      <c r="AF203" s="838"/>
      <c r="AG203" s="838"/>
      <c r="AH203" s="838"/>
      <c r="AI203" s="838"/>
      <c r="AJ203" s="838"/>
      <c r="AK203" s="838"/>
      <c r="AL203" s="838"/>
      <c r="AM203" s="838"/>
      <c r="AN203" s="838"/>
      <c r="AO203" s="838"/>
      <c r="AP203" s="838"/>
      <c r="AQ203" s="838"/>
      <c r="AR203" s="839"/>
      <c r="AS203" s="845"/>
    </row>
    <row r="204" spans="1:45" ht="7.5" customHeight="1">
      <c r="A204" s="837"/>
      <c r="B204" s="838"/>
      <c r="C204" s="838"/>
      <c r="D204" s="838"/>
      <c r="E204" s="838"/>
      <c r="F204" s="838"/>
      <c r="G204" s="838"/>
      <c r="H204" s="838"/>
      <c r="I204" s="838"/>
      <c r="J204" s="838"/>
      <c r="K204" s="838"/>
      <c r="L204" s="838"/>
      <c r="M204" s="838"/>
      <c r="N204" s="838"/>
      <c r="O204" s="838"/>
      <c r="P204" s="838"/>
      <c r="Q204" s="838"/>
      <c r="R204" s="838"/>
      <c r="S204" s="838"/>
      <c r="T204" s="838"/>
      <c r="U204" s="838"/>
      <c r="V204" s="839"/>
      <c r="W204" s="837"/>
      <c r="X204" s="838"/>
      <c r="Y204" s="838"/>
      <c r="Z204" s="838"/>
      <c r="AA204" s="838"/>
      <c r="AB204" s="838"/>
      <c r="AC204" s="838"/>
      <c r="AD204" s="838"/>
      <c r="AE204" s="838"/>
      <c r="AF204" s="838"/>
      <c r="AG204" s="838"/>
      <c r="AH204" s="838"/>
      <c r="AI204" s="838"/>
      <c r="AJ204" s="838"/>
      <c r="AK204" s="838"/>
      <c r="AL204" s="838"/>
      <c r="AM204" s="838"/>
      <c r="AN204" s="838"/>
      <c r="AO204" s="838"/>
      <c r="AP204" s="838"/>
      <c r="AQ204" s="838"/>
      <c r="AR204" s="839"/>
      <c r="AS204" s="845"/>
    </row>
    <row r="205" spans="1:45" ht="15.75" customHeight="1">
      <c r="A205" s="837"/>
      <c r="B205" s="838"/>
      <c r="C205" s="838"/>
      <c r="D205" s="838"/>
      <c r="E205" s="838"/>
      <c r="F205" s="838"/>
      <c r="G205" s="838"/>
      <c r="H205" s="838"/>
      <c r="I205" s="838"/>
      <c r="J205" s="838"/>
      <c r="K205" s="838"/>
      <c r="L205" s="838"/>
      <c r="M205" s="838"/>
      <c r="N205" s="838"/>
      <c r="O205" s="838"/>
      <c r="P205" s="838"/>
      <c r="Q205" s="838"/>
      <c r="R205" s="838"/>
      <c r="S205" s="838"/>
      <c r="T205" s="838"/>
      <c r="U205" s="838"/>
      <c r="V205" s="839"/>
      <c r="W205" s="837"/>
      <c r="X205" s="838"/>
      <c r="Y205" s="838"/>
      <c r="Z205" s="838"/>
      <c r="AA205" s="838"/>
      <c r="AB205" s="838"/>
      <c r="AC205" s="838"/>
      <c r="AD205" s="838"/>
      <c r="AE205" s="838"/>
      <c r="AF205" s="838"/>
      <c r="AG205" s="838"/>
      <c r="AH205" s="838"/>
      <c r="AI205" s="838"/>
      <c r="AJ205" s="838"/>
      <c r="AK205" s="838"/>
      <c r="AL205" s="838"/>
      <c r="AM205" s="838"/>
      <c r="AN205" s="838"/>
      <c r="AO205" s="838"/>
      <c r="AP205" s="838"/>
      <c r="AQ205" s="838"/>
      <c r="AR205" s="839"/>
      <c r="AS205" s="845"/>
    </row>
    <row r="206" spans="1:45" ht="7.5" customHeight="1">
      <c r="A206" s="837"/>
      <c r="B206" s="838"/>
      <c r="C206" s="838"/>
      <c r="D206" s="838"/>
      <c r="E206" s="838"/>
      <c r="F206" s="838"/>
      <c r="G206" s="838"/>
      <c r="H206" s="838"/>
      <c r="I206" s="838"/>
      <c r="J206" s="838"/>
      <c r="K206" s="838"/>
      <c r="L206" s="838"/>
      <c r="M206" s="838"/>
      <c r="N206" s="838"/>
      <c r="O206" s="838"/>
      <c r="P206" s="838"/>
      <c r="Q206" s="838"/>
      <c r="R206" s="838"/>
      <c r="S206" s="838"/>
      <c r="T206" s="838"/>
      <c r="U206" s="838"/>
      <c r="V206" s="839"/>
      <c r="W206" s="837"/>
      <c r="X206" s="838"/>
      <c r="Y206" s="838"/>
      <c r="Z206" s="838"/>
      <c r="AA206" s="838"/>
      <c r="AB206" s="838"/>
      <c r="AC206" s="838"/>
      <c r="AD206" s="838"/>
      <c r="AE206" s="838"/>
      <c r="AF206" s="838"/>
      <c r="AG206" s="838"/>
      <c r="AH206" s="838"/>
      <c r="AI206" s="838"/>
      <c r="AJ206" s="838"/>
      <c r="AK206" s="838"/>
      <c r="AL206" s="838"/>
      <c r="AM206" s="838"/>
      <c r="AN206" s="838"/>
      <c r="AO206" s="838"/>
      <c r="AP206" s="838"/>
      <c r="AQ206" s="838"/>
      <c r="AR206" s="839"/>
      <c r="AS206" s="845"/>
    </row>
    <row r="207" spans="1:45" ht="15" customHeight="1">
      <c r="A207" s="837"/>
      <c r="B207" s="838"/>
      <c r="C207" s="838"/>
      <c r="D207" s="838"/>
      <c r="E207" s="838"/>
      <c r="F207" s="838"/>
      <c r="G207" s="838"/>
      <c r="H207" s="838"/>
      <c r="I207" s="838"/>
      <c r="J207" s="838"/>
      <c r="K207" s="838"/>
      <c r="L207" s="838"/>
      <c r="M207" s="838"/>
      <c r="N207" s="838"/>
      <c r="O207" s="838"/>
      <c r="P207" s="838"/>
      <c r="Q207" s="838"/>
      <c r="R207" s="838"/>
      <c r="S207" s="838"/>
      <c r="T207" s="838"/>
      <c r="U207" s="838"/>
      <c r="V207" s="839"/>
      <c r="W207" s="837"/>
      <c r="X207" s="838"/>
      <c r="Y207" s="838"/>
      <c r="Z207" s="838"/>
      <c r="AA207" s="838"/>
      <c r="AB207" s="838"/>
      <c r="AC207" s="838"/>
      <c r="AD207" s="838"/>
      <c r="AE207" s="838"/>
      <c r="AF207" s="838"/>
      <c r="AG207" s="838"/>
      <c r="AH207" s="838"/>
      <c r="AI207" s="838"/>
      <c r="AJ207" s="838"/>
      <c r="AK207" s="838"/>
      <c r="AL207" s="838"/>
      <c r="AM207" s="838"/>
      <c r="AN207" s="838"/>
      <c r="AO207" s="838"/>
      <c r="AP207" s="838"/>
      <c r="AQ207" s="838"/>
      <c r="AR207" s="839"/>
      <c r="AS207" s="845"/>
    </row>
    <row r="208" spans="1:45" ht="15" customHeight="1">
      <c r="A208" s="837"/>
      <c r="B208" s="838"/>
      <c r="C208" s="838"/>
      <c r="D208" s="838"/>
      <c r="E208" s="838"/>
      <c r="F208" s="838"/>
      <c r="G208" s="838"/>
      <c r="H208" s="838"/>
      <c r="I208" s="838"/>
      <c r="J208" s="838"/>
      <c r="K208" s="838"/>
      <c r="L208" s="838"/>
      <c r="M208" s="838"/>
      <c r="N208" s="838"/>
      <c r="O208" s="838"/>
      <c r="P208" s="838"/>
      <c r="Q208" s="838"/>
      <c r="R208" s="838"/>
      <c r="S208" s="838"/>
      <c r="T208" s="838"/>
      <c r="U208" s="838"/>
      <c r="V208" s="839"/>
      <c r="W208" s="837"/>
      <c r="X208" s="838"/>
      <c r="Y208" s="838"/>
      <c r="Z208" s="838"/>
      <c r="AA208" s="838"/>
      <c r="AB208" s="838"/>
      <c r="AC208" s="838"/>
      <c r="AD208" s="838"/>
      <c r="AE208" s="838"/>
      <c r="AF208" s="838"/>
      <c r="AG208" s="838"/>
      <c r="AH208" s="838"/>
      <c r="AI208" s="838"/>
      <c r="AJ208" s="838"/>
      <c r="AK208" s="838"/>
      <c r="AL208" s="838"/>
      <c r="AM208" s="838"/>
      <c r="AN208" s="838"/>
      <c r="AO208" s="838"/>
      <c r="AP208" s="838"/>
      <c r="AQ208" s="838"/>
      <c r="AR208" s="839"/>
      <c r="AS208" s="845"/>
    </row>
    <row r="209" spans="1:45" ht="15" customHeight="1">
      <c r="A209" s="837"/>
      <c r="B209" s="838"/>
      <c r="C209" s="838"/>
      <c r="D209" s="838"/>
      <c r="E209" s="838"/>
      <c r="F209" s="838"/>
      <c r="G209" s="838"/>
      <c r="H209" s="838"/>
      <c r="I209" s="838"/>
      <c r="J209" s="838"/>
      <c r="K209" s="838"/>
      <c r="L209" s="838"/>
      <c r="M209" s="838"/>
      <c r="N209" s="838"/>
      <c r="O209" s="838"/>
      <c r="P209" s="838"/>
      <c r="Q209" s="838"/>
      <c r="R209" s="838"/>
      <c r="S209" s="838"/>
      <c r="T209" s="838"/>
      <c r="U209" s="838"/>
      <c r="V209" s="839"/>
      <c r="W209" s="837"/>
      <c r="X209" s="838"/>
      <c r="Y209" s="838"/>
      <c r="Z209" s="838"/>
      <c r="AA209" s="838"/>
      <c r="AB209" s="838"/>
      <c r="AC209" s="838"/>
      <c r="AD209" s="838"/>
      <c r="AE209" s="838"/>
      <c r="AF209" s="838"/>
      <c r="AG209" s="838"/>
      <c r="AH209" s="838"/>
      <c r="AI209" s="838"/>
      <c r="AJ209" s="838"/>
      <c r="AK209" s="838"/>
      <c r="AL209" s="838"/>
      <c r="AM209" s="838"/>
      <c r="AN209" s="838"/>
      <c r="AO209" s="838"/>
      <c r="AP209" s="838"/>
      <c r="AQ209" s="838"/>
      <c r="AR209" s="839"/>
      <c r="AS209" s="845"/>
    </row>
    <row r="210" spans="1:45" ht="15" customHeight="1">
      <c r="A210" s="837"/>
      <c r="B210" s="838"/>
      <c r="C210" s="838"/>
      <c r="D210" s="838"/>
      <c r="E210" s="838"/>
      <c r="F210" s="838"/>
      <c r="G210" s="838"/>
      <c r="H210" s="838"/>
      <c r="I210" s="838"/>
      <c r="J210" s="838"/>
      <c r="K210" s="838"/>
      <c r="L210" s="838"/>
      <c r="M210" s="838"/>
      <c r="N210" s="838"/>
      <c r="O210" s="838"/>
      <c r="P210" s="838"/>
      <c r="Q210" s="838"/>
      <c r="R210" s="838"/>
      <c r="S210" s="838"/>
      <c r="T210" s="838"/>
      <c r="U210" s="838"/>
      <c r="V210" s="839"/>
      <c r="W210" s="837"/>
      <c r="X210" s="838"/>
      <c r="Y210" s="838"/>
      <c r="Z210" s="838"/>
      <c r="AA210" s="838"/>
      <c r="AB210" s="838"/>
      <c r="AC210" s="838"/>
      <c r="AD210" s="838"/>
      <c r="AE210" s="838"/>
      <c r="AF210" s="838"/>
      <c r="AG210" s="838"/>
      <c r="AH210" s="838"/>
      <c r="AI210" s="838"/>
      <c r="AJ210" s="838"/>
      <c r="AK210" s="838"/>
      <c r="AL210" s="838"/>
      <c r="AM210" s="838"/>
      <c r="AN210" s="838"/>
      <c r="AO210" s="838"/>
      <c r="AP210" s="838"/>
      <c r="AQ210" s="838"/>
      <c r="AR210" s="839"/>
      <c r="AS210" s="845"/>
    </row>
    <row r="211" spans="1:45" ht="15" customHeight="1">
      <c r="A211" s="837"/>
      <c r="B211" s="838"/>
      <c r="C211" s="838"/>
      <c r="D211" s="838"/>
      <c r="E211" s="838"/>
      <c r="F211" s="838"/>
      <c r="G211" s="838"/>
      <c r="H211" s="838"/>
      <c r="I211" s="838"/>
      <c r="J211" s="838"/>
      <c r="K211" s="838"/>
      <c r="L211" s="838"/>
      <c r="M211" s="838"/>
      <c r="N211" s="838"/>
      <c r="O211" s="838"/>
      <c r="P211" s="838"/>
      <c r="Q211" s="838"/>
      <c r="R211" s="838"/>
      <c r="S211" s="838"/>
      <c r="T211" s="838"/>
      <c r="U211" s="838"/>
      <c r="V211" s="839"/>
      <c r="W211" s="837"/>
      <c r="X211" s="838"/>
      <c r="Y211" s="838"/>
      <c r="Z211" s="838"/>
      <c r="AA211" s="838"/>
      <c r="AB211" s="838"/>
      <c r="AC211" s="838"/>
      <c r="AD211" s="838"/>
      <c r="AE211" s="838"/>
      <c r="AF211" s="838"/>
      <c r="AG211" s="838"/>
      <c r="AH211" s="838"/>
      <c r="AI211" s="838"/>
      <c r="AJ211" s="838"/>
      <c r="AK211" s="838"/>
      <c r="AL211" s="838"/>
      <c r="AM211" s="838"/>
      <c r="AN211" s="838"/>
      <c r="AO211" s="838"/>
      <c r="AP211" s="838"/>
      <c r="AQ211" s="838"/>
      <c r="AR211" s="839"/>
      <c r="AS211" s="845"/>
    </row>
    <row r="212" spans="1:45" ht="15" thickBot="1">
      <c r="A212" s="840"/>
      <c r="B212" s="841"/>
      <c r="C212" s="841"/>
      <c r="D212" s="841"/>
      <c r="E212" s="841"/>
      <c r="F212" s="841"/>
      <c r="G212" s="841"/>
      <c r="H212" s="841"/>
      <c r="I212" s="841"/>
      <c r="J212" s="841"/>
      <c r="K212" s="841"/>
      <c r="L212" s="841"/>
      <c r="M212" s="841"/>
      <c r="N212" s="841"/>
      <c r="O212" s="841"/>
      <c r="P212" s="841"/>
      <c r="Q212" s="841"/>
      <c r="R212" s="841"/>
      <c r="S212" s="841"/>
      <c r="T212" s="841"/>
      <c r="U212" s="841"/>
      <c r="V212" s="842"/>
      <c r="W212" s="840"/>
      <c r="X212" s="841"/>
      <c r="Y212" s="841"/>
      <c r="Z212" s="841"/>
      <c r="AA212" s="841"/>
      <c r="AB212" s="841"/>
      <c r="AC212" s="841"/>
      <c r="AD212" s="841"/>
      <c r="AE212" s="841"/>
      <c r="AF212" s="841"/>
      <c r="AG212" s="841"/>
      <c r="AH212" s="841"/>
      <c r="AI212" s="841"/>
      <c r="AJ212" s="841"/>
      <c r="AK212" s="841"/>
      <c r="AL212" s="841"/>
      <c r="AM212" s="841"/>
      <c r="AN212" s="841"/>
      <c r="AO212" s="841"/>
      <c r="AP212" s="841"/>
      <c r="AQ212" s="841"/>
      <c r="AR212" s="842"/>
      <c r="AS212" s="845"/>
    </row>
    <row r="213" spans="1:45" ht="15.75" customHeight="1">
      <c r="A213" s="849"/>
      <c r="B213" s="849"/>
      <c r="C213" s="849"/>
      <c r="D213" s="849"/>
      <c r="E213" s="849"/>
      <c r="F213" s="849"/>
      <c r="G213" s="849"/>
      <c r="H213" s="849"/>
      <c r="I213" s="849"/>
      <c r="J213" s="849"/>
      <c r="K213" s="849"/>
      <c r="L213" s="849"/>
      <c r="M213" s="849"/>
      <c r="N213" s="849"/>
      <c r="O213" s="849"/>
      <c r="P213" s="849"/>
      <c r="Q213" s="849"/>
      <c r="R213" s="849"/>
      <c r="S213" s="849"/>
      <c r="T213" s="849"/>
      <c r="U213" s="849"/>
      <c r="V213" s="849"/>
      <c r="W213" s="849"/>
      <c r="X213" s="849"/>
      <c r="Y213" s="849"/>
      <c r="Z213" s="849"/>
      <c r="AA213" s="849"/>
      <c r="AB213" s="849"/>
      <c r="AC213" s="849"/>
      <c r="AD213" s="849"/>
      <c r="AE213" s="849"/>
      <c r="AF213" s="849"/>
      <c r="AG213" s="849"/>
      <c r="AH213" s="849"/>
      <c r="AI213" s="849"/>
      <c r="AJ213" s="849"/>
      <c r="AK213" s="849"/>
      <c r="AL213" s="849"/>
      <c r="AM213" s="849"/>
      <c r="AN213" s="849"/>
      <c r="AO213" s="849"/>
      <c r="AP213" s="849"/>
      <c r="AQ213" s="849"/>
      <c r="AR213" s="849"/>
      <c r="AS213" s="845"/>
    </row>
    <row r="214" spans="1:45" ht="15" customHeight="1">
      <c r="A214" s="844" t="s">
        <v>910</v>
      </c>
      <c r="B214" s="844"/>
      <c r="C214" s="844"/>
      <c r="D214" s="844"/>
      <c r="E214" s="850"/>
      <c r="F214" s="850"/>
      <c r="G214" s="850"/>
      <c r="H214" s="850"/>
      <c r="I214" s="850"/>
      <c r="J214" s="850"/>
      <c r="K214" s="850"/>
      <c r="L214" s="850"/>
      <c r="M214" s="850"/>
      <c r="N214" s="850"/>
      <c r="O214" s="850"/>
      <c r="P214" s="850"/>
      <c r="Q214" s="850"/>
      <c r="R214" s="850"/>
      <c r="S214" s="850"/>
      <c r="T214" s="850"/>
      <c r="U214" s="850"/>
      <c r="V214" s="850"/>
      <c r="W214" s="850"/>
      <c r="X214" s="850"/>
      <c r="Y214" s="850"/>
      <c r="Z214" s="850"/>
      <c r="AA214" s="850"/>
      <c r="AB214" s="850"/>
      <c r="AC214" s="850"/>
      <c r="AD214" s="850"/>
      <c r="AE214" s="850"/>
      <c r="AF214" s="850"/>
      <c r="AG214" s="850"/>
      <c r="AH214" s="850"/>
      <c r="AI214" s="850"/>
      <c r="AJ214" s="850"/>
      <c r="AK214" s="850"/>
      <c r="AL214" s="850"/>
      <c r="AM214" s="850"/>
      <c r="AN214" s="850"/>
      <c r="AO214" s="850"/>
      <c r="AP214" s="850"/>
      <c r="AQ214" s="850"/>
      <c r="AR214" s="320"/>
      <c r="AS214" s="845"/>
    </row>
    <row r="215" spans="1:45" ht="15" customHeight="1">
      <c r="A215" s="849"/>
      <c r="B215" s="849"/>
      <c r="C215" s="849"/>
      <c r="D215" s="849"/>
      <c r="E215" s="850"/>
      <c r="F215" s="850"/>
      <c r="G215" s="850"/>
      <c r="H215" s="850"/>
      <c r="I215" s="850"/>
      <c r="J215" s="850"/>
      <c r="K215" s="850"/>
      <c r="L215" s="850"/>
      <c r="M215" s="850"/>
      <c r="N215" s="850"/>
      <c r="O215" s="850"/>
      <c r="P215" s="850"/>
      <c r="Q215" s="850"/>
      <c r="R215" s="850"/>
      <c r="S215" s="850"/>
      <c r="T215" s="850"/>
      <c r="U215" s="850"/>
      <c r="V215" s="850"/>
      <c r="W215" s="850"/>
      <c r="X215" s="850"/>
      <c r="Y215" s="850"/>
      <c r="Z215" s="850"/>
      <c r="AA215" s="850"/>
      <c r="AB215" s="850"/>
      <c r="AC215" s="850"/>
      <c r="AD215" s="850"/>
      <c r="AE215" s="850"/>
      <c r="AF215" s="850"/>
      <c r="AG215" s="850"/>
      <c r="AH215" s="850"/>
      <c r="AI215" s="850"/>
      <c r="AJ215" s="850"/>
      <c r="AK215" s="850"/>
      <c r="AL215" s="850"/>
      <c r="AM215" s="850"/>
      <c r="AN215" s="850"/>
      <c r="AO215" s="850"/>
      <c r="AP215" s="850"/>
      <c r="AQ215" s="850"/>
      <c r="AR215" s="320"/>
      <c r="AS215" s="845"/>
    </row>
    <row r="216" spans="1:45" ht="15">
      <c r="A216" s="844"/>
      <c r="B216" s="844"/>
      <c r="C216" s="844"/>
      <c r="D216" s="844"/>
      <c r="E216" s="874"/>
      <c r="F216" s="874"/>
      <c r="G216" s="874"/>
      <c r="H216" s="874"/>
      <c r="I216" s="874"/>
      <c r="J216" s="874"/>
      <c r="K216" s="874"/>
      <c r="L216" s="874"/>
      <c r="M216" s="874"/>
      <c r="N216" s="874"/>
      <c r="O216" s="874"/>
      <c r="P216" s="874"/>
      <c r="Q216" s="874"/>
      <c r="R216" s="874"/>
      <c r="S216" s="874"/>
      <c r="T216" s="874"/>
      <c r="U216" s="874"/>
      <c r="V216" s="874"/>
      <c r="W216" s="874"/>
      <c r="X216" s="874"/>
      <c r="Y216" s="874"/>
      <c r="Z216" s="874"/>
      <c r="AA216" s="874"/>
      <c r="AB216" s="874"/>
      <c r="AC216" s="874"/>
      <c r="AD216" s="874"/>
      <c r="AE216" s="874"/>
      <c r="AF216" s="874"/>
      <c r="AG216" s="874"/>
      <c r="AH216" s="874"/>
      <c r="AI216" s="874"/>
      <c r="AJ216" s="874"/>
      <c r="AK216" s="874"/>
      <c r="AL216" s="874"/>
      <c r="AM216" s="874"/>
      <c r="AN216" s="874"/>
      <c r="AO216" s="874"/>
      <c r="AP216" s="874"/>
      <c r="AQ216" s="874"/>
      <c r="AR216" s="320"/>
      <c r="AS216" s="845"/>
    </row>
    <row r="217" spans="1:45" ht="86.25" customHeight="1">
      <c r="A217" s="849"/>
      <c r="B217" s="849"/>
      <c r="C217" s="849"/>
      <c r="D217" s="849"/>
      <c r="E217" s="849"/>
      <c r="F217" s="849"/>
      <c r="G217" s="849"/>
      <c r="H217" s="849"/>
      <c r="I217" s="849"/>
      <c r="J217" s="849"/>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49"/>
      <c r="AK217" s="849"/>
      <c r="AL217" s="849"/>
      <c r="AM217" s="849"/>
      <c r="AN217" s="849"/>
      <c r="AO217" s="849"/>
      <c r="AP217" s="849"/>
      <c r="AQ217" s="849"/>
      <c r="AR217" s="320"/>
      <c r="AS217" s="845"/>
    </row>
    <row r="218" spans="1:45" ht="15" customHeight="1">
      <c r="A218" s="877" t="s">
        <v>388</v>
      </c>
      <c r="B218" s="877"/>
      <c r="C218" s="877"/>
      <c r="D218" s="877"/>
      <c r="E218" s="877"/>
      <c r="F218" s="877"/>
      <c r="G218" s="877"/>
      <c r="H218" s="877"/>
      <c r="I218" s="877"/>
      <c r="J218" s="877"/>
      <c r="K218" s="877"/>
      <c r="L218" s="877"/>
      <c r="M218" s="877"/>
      <c r="N218" s="877"/>
      <c r="O218" s="877"/>
      <c r="P218" s="877"/>
      <c r="Q218" s="877"/>
      <c r="R218" s="877"/>
      <c r="S218" s="877"/>
      <c r="T218" s="877"/>
      <c r="U218" s="877"/>
      <c r="V218" s="877"/>
      <c r="W218" s="877"/>
      <c r="X218" s="877"/>
      <c r="Y218" s="877"/>
      <c r="Z218" s="877"/>
      <c r="AA218" s="877"/>
      <c r="AB218" s="877"/>
      <c r="AC218" s="877"/>
      <c r="AD218" s="877"/>
      <c r="AE218" s="877"/>
      <c r="AF218" s="877"/>
      <c r="AG218" s="877"/>
      <c r="AH218" s="877"/>
      <c r="AI218" s="877"/>
      <c r="AJ218" s="877"/>
      <c r="AK218" s="877"/>
      <c r="AL218" s="877"/>
      <c r="AM218" s="877"/>
      <c r="AN218" s="877"/>
      <c r="AO218" s="877"/>
      <c r="AP218" s="877"/>
      <c r="AQ218" s="877"/>
      <c r="AR218" s="877"/>
      <c r="AS218" s="845"/>
    </row>
    <row r="219" spans="1:55" s="320" customFormat="1" ht="15" customHeight="1">
      <c r="A219" s="878" t="s">
        <v>626</v>
      </c>
      <c r="B219" s="878"/>
      <c r="C219" s="878"/>
      <c r="D219" s="878"/>
      <c r="E219" s="878"/>
      <c r="F219" s="878"/>
      <c r="G219" s="878"/>
      <c r="H219" s="878"/>
      <c r="I219" s="878"/>
      <c r="J219" s="878"/>
      <c r="K219" s="878"/>
      <c r="L219" s="878"/>
      <c r="M219" s="878"/>
      <c r="N219" s="878"/>
      <c r="O219" s="878"/>
      <c r="P219" s="878"/>
      <c r="Q219" s="878"/>
      <c r="R219" s="878"/>
      <c r="S219" s="878"/>
      <c r="T219" s="878"/>
      <c r="U219" s="878"/>
      <c r="V219" s="878"/>
      <c r="W219" s="878"/>
      <c r="X219" s="878"/>
      <c r="Y219" s="878"/>
      <c r="Z219" s="878"/>
      <c r="AA219" s="878"/>
      <c r="AB219" s="878"/>
      <c r="AC219" s="878"/>
      <c r="AD219" s="878"/>
      <c r="AE219" s="878"/>
      <c r="AF219" s="878"/>
      <c r="AG219" s="878"/>
      <c r="AH219" s="878"/>
      <c r="AI219" s="878"/>
      <c r="AJ219" s="878"/>
      <c r="AK219" s="878"/>
      <c r="AL219" s="878"/>
      <c r="AM219" s="878"/>
      <c r="AN219" s="878"/>
      <c r="AO219" s="878"/>
      <c r="AP219" s="878"/>
      <c r="AQ219" s="878"/>
      <c r="AR219" s="6"/>
      <c r="AS219" s="845"/>
      <c r="BC219" s="325"/>
    </row>
    <row r="220" spans="1:45" ht="15" thickBot="1">
      <c r="A220" s="879"/>
      <c r="B220" s="879"/>
      <c r="C220" s="879"/>
      <c r="D220" s="879"/>
      <c r="E220" s="879"/>
      <c r="F220" s="879"/>
      <c r="G220" s="879"/>
      <c r="H220" s="879"/>
      <c r="I220" s="879"/>
      <c r="J220" s="879"/>
      <c r="K220" s="879"/>
      <c r="L220" s="879"/>
      <c r="M220" s="879"/>
      <c r="N220" s="879"/>
      <c r="O220" s="879"/>
      <c r="P220" s="879"/>
      <c r="Q220" s="879"/>
      <c r="R220" s="879"/>
      <c r="S220" s="879"/>
      <c r="T220" s="879"/>
      <c r="U220" s="879"/>
      <c r="V220" s="879"/>
      <c r="W220" s="879"/>
      <c r="X220" s="879"/>
      <c r="Y220" s="879"/>
      <c r="Z220" s="879"/>
      <c r="AA220" s="879"/>
      <c r="AB220" s="879"/>
      <c r="AC220" s="879"/>
      <c r="AD220" s="879"/>
      <c r="AE220" s="879"/>
      <c r="AF220" s="879"/>
      <c r="AG220" s="879"/>
      <c r="AH220" s="879"/>
      <c r="AI220" s="879"/>
      <c r="AJ220" s="879"/>
      <c r="AK220" s="879"/>
      <c r="AL220" s="879"/>
      <c r="AM220" s="879"/>
      <c r="AN220" s="879"/>
      <c r="AO220" s="879"/>
      <c r="AP220" s="879"/>
      <c r="AQ220" s="879"/>
      <c r="AR220" s="879"/>
      <c r="AS220" s="845"/>
    </row>
    <row r="221" spans="1:45" ht="9" customHeight="1" thickTop="1">
      <c r="A221" s="875"/>
      <c r="B221" s="854"/>
      <c r="C221" s="854"/>
      <c r="D221" s="854"/>
      <c r="E221" s="854"/>
      <c r="F221" s="854"/>
      <c r="G221" s="854"/>
      <c r="H221" s="854"/>
      <c r="I221" s="854"/>
      <c r="J221" s="854"/>
      <c r="K221" s="854"/>
      <c r="L221" s="854"/>
      <c r="M221" s="854"/>
      <c r="N221" s="854"/>
      <c r="O221" s="854"/>
      <c r="P221" s="854"/>
      <c r="Q221" s="854"/>
      <c r="R221" s="854"/>
      <c r="S221" s="854"/>
      <c r="T221" s="854"/>
      <c r="U221" s="854"/>
      <c r="V221" s="854"/>
      <c r="W221" s="854"/>
      <c r="X221" s="854"/>
      <c r="Y221" s="854"/>
      <c r="Z221" s="854"/>
      <c r="AA221" s="854"/>
      <c r="AB221" s="854"/>
      <c r="AC221" s="854"/>
      <c r="AD221" s="854"/>
      <c r="AE221" s="854"/>
      <c r="AF221" s="854"/>
      <c r="AG221" s="854"/>
      <c r="AH221" s="854"/>
      <c r="AI221" s="854"/>
      <c r="AJ221" s="854"/>
      <c r="AK221" s="854"/>
      <c r="AL221" s="854"/>
      <c r="AM221" s="854"/>
      <c r="AN221" s="854"/>
      <c r="AO221" s="854"/>
      <c r="AP221" s="854"/>
      <c r="AQ221" s="854"/>
      <c r="AR221" s="876"/>
      <c r="AS221" s="845"/>
    </row>
    <row r="222" spans="1:45" ht="15.75" customHeight="1">
      <c r="A222" s="863" t="s">
        <v>389</v>
      </c>
      <c r="B222" s="864"/>
      <c r="C222" s="864"/>
      <c r="D222" s="864"/>
      <c r="E222" s="864"/>
      <c r="F222" s="864"/>
      <c r="G222" s="864"/>
      <c r="H222" s="864"/>
      <c r="I222" s="864"/>
      <c r="J222" s="864"/>
      <c r="K222" s="864"/>
      <c r="L222" s="864"/>
      <c r="M222" s="864"/>
      <c r="N222" s="864"/>
      <c r="O222" s="864"/>
      <c r="P222" s="864"/>
      <c r="Q222" s="864"/>
      <c r="R222" s="864"/>
      <c r="S222" s="864"/>
      <c r="T222" s="864"/>
      <c r="U222" s="864"/>
      <c r="V222" s="864"/>
      <c r="W222" s="864"/>
      <c r="X222" s="864"/>
      <c r="Y222" s="864"/>
      <c r="Z222" s="864"/>
      <c r="AA222" s="864"/>
      <c r="AB222" s="864"/>
      <c r="AC222" s="864"/>
      <c r="AD222" s="864"/>
      <c r="AE222" s="864"/>
      <c r="AF222" s="864"/>
      <c r="AG222" s="864"/>
      <c r="AH222" s="864"/>
      <c r="AI222" s="864"/>
      <c r="AJ222" s="864"/>
      <c r="AK222" s="864"/>
      <c r="AL222" s="864"/>
      <c r="AM222" s="864"/>
      <c r="AN222" s="864"/>
      <c r="AO222" s="864"/>
      <c r="AP222" s="864"/>
      <c r="AQ222" s="864"/>
      <c r="AR222" s="865"/>
      <c r="AS222" s="845"/>
    </row>
    <row r="223" spans="1:45" ht="7.5" customHeight="1">
      <c r="A223" s="858"/>
      <c r="B223" s="849"/>
      <c r="C223" s="849"/>
      <c r="D223" s="849"/>
      <c r="E223" s="849"/>
      <c r="F223" s="849"/>
      <c r="G223" s="849"/>
      <c r="H223" s="849"/>
      <c r="I223" s="849"/>
      <c r="J223" s="849"/>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49"/>
      <c r="AK223" s="849"/>
      <c r="AL223" s="849"/>
      <c r="AM223" s="849"/>
      <c r="AN223" s="849"/>
      <c r="AO223" s="849"/>
      <c r="AP223" s="849"/>
      <c r="AQ223" s="849"/>
      <c r="AR223" s="859"/>
      <c r="AS223" s="845"/>
    </row>
    <row r="224" spans="1:45" ht="15">
      <c r="A224" s="830" t="s">
        <v>1886</v>
      </c>
      <c r="B224" s="831"/>
      <c r="C224" s="831"/>
      <c r="D224" s="831"/>
      <c r="E224" s="831"/>
      <c r="F224" s="831"/>
      <c r="G224" s="831"/>
      <c r="H224" s="320"/>
      <c r="I224" s="331">
        <f aca="true" t="shared" si="101" ref="I224:AQ224">IF(ISERR(AW$7),"",AW$7)</f>
      </c>
      <c r="J224" s="331">
        <f t="shared" si="101"/>
      </c>
      <c r="K224" s="331">
        <f t="shared" si="101"/>
      </c>
      <c r="L224" s="331">
        <f t="shared" si="101"/>
      </c>
      <c r="M224" s="331">
        <f t="shared" si="101"/>
      </c>
      <c r="N224" s="331">
        <f t="shared" si="101"/>
      </c>
      <c r="O224" s="331">
        <f t="shared" si="101"/>
      </c>
      <c r="P224" s="331">
        <f t="shared" si="101"/>
      </c>
      <c r="Q224" s="331">
        <f t="shared" si="101"/>
      </c>
      <c r="R224" s="331">
        <f t="shared" si="101"/>
      </c>
      <c r="S224" s="331">
        <f t="shared" si="101"/>
      </c>
      <c r="T224" s="331">
        <f t="shared" si="101"/>
      </c>
      <c r="U224" s="331">
        <f t="shared" si="101"/>
      </c>
      <c r="V224" s="331">
        <f t="shared" si="101"/>
      </c>
      <c r="W224" s="331">
        <f t="shared" si="101"/>
      </c>
      <c r="X224" s="331">
        <f t="shared" si="101"/>
      </c>
      <c r="Y224" s="331">
        <f t="shared" si="101"/>
      </c>
      <c r="Z224" s="331">
        <f t="shared" si="101"/>
      </c>
      <c r="AA224" s="331">
        <f t="shared" si="101"/>
      </c>
      <c r="AB224" s="331">
        <f t="shared" si="101"/>
      </c>
      <c r="AC224" s="331">
        <f t="shared" si="101"/>
      </c>
      <c r="AD224" s="331">
        <f t="shared" si="101"/>
      </c>
      <c r="AE224" s="331">
        <f t="shared" si="101"/>
      </c>
      <c r="AF224" s="331">
        <f t="shared" si="101"/>
      </c>
      <c r="AG224" s="331">
        <f t="shared" si="101"/>
      </c>
      <c r="AH224" s="331">
        <f t="shared" si="101"/>
      </c>
      <c r="AI224" s="331">
        <f t="shared" si="101"/>
      </c>
      <c r="AJ224" s="331">
        <f t="shared" si="101"/>
      </c>
      <c r="AK224" s="331">
        <f t="shared" si="101"/>
      </c>
      <c r="AL224" s="331">
        <f t="shared" si="101"/>
      </c>
      <c r="AM224" s="331">
        <f t="shared" si="101"/>
      </c>
      <c r="AN224" s="331">
        <f t="shared" si="101"/>
      </c>
      <c r="AO224" s="331">
        <f t="shared" si="101"/>
      </c>
      <c r="AP224" s="331">
        <f t="shared" si="101"/>
      </c>
      <c r="AQ224" s="332">
        <f t="shared" si="101"/>
      </c>
      <c r="AR224" s="322"/>
      <c r="AS224" s="845"/>
    </row>
    <row r="225" spans="1:45" ht="9" customHeight="1">
      <c r="A225" s="856"/>
      <c r="B225" s="460"/>
      <c r="C225" s="460"/>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0"/>
      <c r="AD225" s="460"/>
      <c r="AE225" s="460"/>
      <c r="AF225" s="460"/>
      <c r="AG225" s="460"/>
      <c r="AH225" s="460"/>
      <c r="AI225" s="460"/>
      <c r="AJ225" s="460"/>
      <c r="AK225" s="460"/>
      <c r="AL225" s="460"/>
      <c r="AM225" s="460"/>
      <c r="AN225" s="460"/>
      <c r="AO225" s="460"/>
      <c r="AP225" s="460"/>
      <c r="AQ225" s="460"/>
      <c r="AR225" s="873"/>
      <c r="AS225" s="845"/>
    </row>
    <row r="226" spans="1:45" ht="15.75" customHeight="1">
      <c r="A226" s="858"/>
      <c r="B226" s="849"/>
      <c r="C226" s="849"/>
      <c r="D226" s="849"/>
      <c r="E226" s="849"/>
      <c r="F226" s="849"/>
      <c r="G226" s="849"/>
      <c r="H226" s="869"/>
      <c r="I226" s="331">
        <f aca="true" t="shared" si="102" ref="I226:AQ226">IF(ISERR(CF$7),"",CF$7)</f>
      </c>
      <c r="J226" s="331">
        <f t="shared" si="102"/>
      </c>
      <c r="K226" s="331">
        <f t="shared" si="102"/>
      </c>
      <c r="L226" s="331">
        <f t="shared" si="102"/>
      </c>
      <c r="M226" s="331">
        <f t="shared" si="102"/>
      </c>
      <c r="N226" s="331">
        <f t="shared" si="102"/>
      </c>
      <c r="O226" s="331">
        <f t="shared" si="102"/>
      </c>
      <c r="P226" s="331">
        <f t="shared" si="102"/>
      </c>
      <c r="Q226" s="331">
        <f t="shared" si="102"/>
      </c>
      <c r="R226" s="331">
        <f t="shared" si="102"/>
      </c>
      <c r="S226" s="331">
        <f t="shared" si="102"/>
      </c>
      <c r="T226" s="331">
        <f t="shared" si="102"/>
      </c>
      <c r="U226" s="331">
        <f t="shared" si="102"/>
      </c>
      <c r="V226" s="331">
        <f t="shared" si="102"/>
      </c>
      <c r="W226" s="331">
        <f t="shared" si="102"/>
      </c>
      <c r="X226" s="331">
        <f t="shared" si="102"/>
      </c>
      <c r="Y226" s="331">
        <f t="shared" si="102"/>
      </c>
      <c r="Z226" s="331">
        <f t="shared" si="102"/>
      </c>
      <c r="AA226" s="331">
        <f t="shared" si="102"/>
      </c>
      <c r="AB226" s="331">
        <f t="shared" si="102"/>
      </c>
      <c r="AC226" s="331">
        <f t="shared" si="102"/>
      </c>
      <c r="AD226" s="331">
        <f t="shared" si="102"/>
      </c>
      <c r="AE226" s="331">
        <f t="shared" si="102"/>
      </c>
      <c r="AF226" s="331">
        <f t="shared" si="102"/>
      </c>
      <c r="AG226" s="331">
        <f t="shared" si="102"/>
      </c>
      <c r="AH226" s="331">
        <f t="shared" si="102"/>
      </c>
      <c r="AI226" s="331">
        <f t="shared" si="102"/>
      </c>
      <c r="AJ226" s="331">
        <f t="shared" si="102"/>
      </c>
      <c r="AK226" s="331">
        <f t="shared" si="102"/>
      </c>
      <c r="AL226" s="331">
        <f t="shared" si="102"/>
      </c>
      <c r="AM226" s="331">
        <f t="shared" si="102"/>
      </c>
      <c r="AN226" s="331">
        <f t="shared" si="102"/>
      </c>
      <c r="AO226" s="331">
        <f t="shared" si="102"/>
      </c>
      <c r="AP226" s="331">
        <f t="shared" si="102"/>
      </c>
      <c r="AQ226" s="332">
        <f t="shared" si="102"/>
      </c>
      <c r="AR226" s="322"/>
      <c r="AS226" s="845"/>
    </row>
    <row r="227" spans="1:45" ht="7.5" customHeight="1">
      <c r="A227" s="858"/>
      <c r="B227" s="849"/>
      <c r="C227" s="849"/>
      <c r="D227" s="849"/>
      <c r="E227" s="849"/>
      <c r="F227" s="849"/>
      <c r="G227" s="849"/>
      <c r="H227" s="849"/>
      <c r="I227" s="849"/>
      <c r="J227" s="849"/>
      <c r="K227" s="849"/>
      <c r="L227" s="849"/>
      <c r="M227" s="849"/>
      <c r="N227" s="849"/>
      <c r="O227" s="849"/>
      <c r="P227" s="849"/>
      <c r="Q227" s="849"/>
      <c r="R227" s="849"/>
      <c r="S227" s="849"/>
      <c r="T227" s="849"/>
      <c r="U227" s="849"/>
      <c r="V227" s="849"/>
      <c r="W227" s="849"/>
      <c r="X227" s="849"/>
      <c r="Y227" s="849"/>
      <c r="Z227" s="849"/>
      <c r="AA227" s="849"/>
      <c r="AB227" s="849"/>
      <c r="AC227" s="849"/>
      <c r="AD227" s="849"/>
      <c r="AE227" s="849"/>
      <c r="AF227" s="849"/>
      <c r="AG227" s="849"/>
      <c r="AH227" s="849"/>
      <c r="AI227" s="849"/>
      <c r="AJ227" s="849"/>
      <c r="AK227" s="849"/>
      <c r="AL227" s="849"/>
      <c r="AM227" s="849"/>
      <c r="AN227" s="849"/>
      <c r="AO227" s="849"/>
      <c r="AP227" s="849"/>
      <c r="AQ227" s="849"/>
      <c r="AR227" s="859"/>
      <c r="AS227" s="845"/>
    </row>
    <row r="228" spans="1:45" ht="15.75" customHeight="1">
      <c r="A228" s="867" t="s">
        <v>390</v>
      </c>
      <c r="B228" s="868"/>
      <c r="C228" s="868"/>
      <c r="D228" s="868"/>
      <c r="E228" s="868"/>
      <c r="F228" s="868"/>
      <c r="G228" s="868"/>
      <c r="H228" s="320"/>
      <c r="I228" s="331">
        <f aca="true" t="shared" si="103" ref="I228:AQ228">IF(ISERR(AW$11),"",AW$11)</f>
      </c>
      <c r="J228" s="331">
        <f t="shared" si="103"/>
      </c>
      <c r="K228" s="331">
        <f t="shared" si="103"/>
      </c>
      <c r="L228" s="331">
        <f t="shared" si="103"/>
      </c>
      <c r="M228" s="331">
        <f t="shared" si="103"/>
      </c>
      <c r="N228" s="331">
        <f t="shared" si="103"/>
      </c>
      <c r="O228" s="331">
        <f t="shared" si="103"/>
      </c>
      <c r="P228" s="331">
        <f t="shared" si="103"/>
      </c>
      <c r="Q228" s="331">
        <f t="shared" si="103"/>
      </c>
      <c r="R228" s="331">
        <f t="shared" si="103"/>
      </c>
      <c r="S228" s="331">
        <f t="shared" si="103"/>
      </c>
      <c r="T228" s="331">
        <f t="shared" si="103"/>
      </c>
      <c r="U228" s="331">
        <f t="shared" si="103"/>
      </c>
      <c r="V228" s="331">
        <f t="shared" si="103"/>
      </c>
      <c r="W228" s="331">
        <f t="shared" si="103"/>
      </c>
      <c r="X228" s="331">
        <f t="shared" si="103"/>
      </c>
      <c r="Y228" s="331">
        <f t="shared" si="103"/>
      </c>
      <c r="Z228" s="331">
        <f t="shared" si="103"/>
      </c>
      <c r="AA228" s="331">
        <f t="shared" si="103"/>
      </c>
      <c r="AB228" s="331">
        <f t="shared" si="103"/>
      </c>
      <c r="AC228" s="331">
        <f t="shared" si="103"/>
      </c>
      <c r="AD228" s="331">
        <f t="shared" si="103"/>
      </c>
      <c r="AE228" s="331">
        <f t="shared" si="103"/>
      </c>
      <c r="AF228" s="331">
        <f t="shared" si="103"/>
      </c>
      <c r="AG228" s="331">
        <f t="shared" si="103"/>
      </c>
      <c r="AH228" s="331">
        <f t="shared" si="103"/>
      </c>
      <c r="AI228" s="331">
        <f t="shared" si="103"/>
      </c>
      <c r="AJ228" s="331">
        <f t="shared" si="103"/>
      </c>
      <c r="AK228" s="331">
        <f t="shared" si="103"/>
      </c>
      <c r="AL228" s="331">
        <f t="shared" si="103"/>
      </c>
      <c r="AM228" s="331">
        <f t="shared" si="103"/>
      </c>
      <c r="AN228" s="331">
        <f t="shared" si="103"/>
      </c>
      <c r="AO228" s="331">
        <f t="shared" si="103"/>
      </c>
      <c r="AP228" s="331">
        <f t="shared" si="103"/>
      </c>
      <c r="AQ228" s="332">
        <f t="shared" si="103"/>
      </c>
      <c r="AR228" s="322"/>
      <c r="AS228" s="845"/>
    </row>
    <row r="229" spans="1:45" ht="7.5" customHeight="1">
      <c r="A229" s="858"/>
      <c r="B229" s="849"/>
      <c r="C229" s="849"/>
      <c r="D229" s="849"/>
      <c r="E229" s="849"/>
      <c r="F229" s="849"/>
      <c r="G229" s="849"/>
      <c r="H229" s="849"/>
      <c r="I229" s="849"/>
      <c r="J229" s="849"/>
      <c r="K229" s="849"/>
      <c r="L229" s="849"/>
      <c r="M229" s="849"/>
      <c r="N229" s="849"/>
      <c r="O229" s="849"/>
      <c r="P229" s="849"/>
      <c r="Q229" s="849"/>
      <c r="R229" s="849"/>
      <c r="S229" s="849"/>
      <c r="T229" s="849"/>
      <c r="U229" s="849"/>
      <c r="V229" s="849"/>
      <c r="W229" s="849"/>
      <c r="X229" s="849"/>
      <c r="Y229" s="849"/>
      <c r="Z229" s="849"/>
      <c r="AA229" s="849"/>
      <c r="AB229" s="849"/>
      <c r="AC229" s="849"/>
      <c r="AD229" s="849"/>
      <c r="AE229" s="849"/>
      <c r="AF229" s="849"/>
      <c r="AG229" s="849"/>
      <c r="AH229" s="849"/>
      <c r="AI229" s="849"/>
      <c r="AJ229" s="849"/>
      <c r="AK229" s="849"/>
      <c r="AL229" s="849"/>
      <c r="AM229" s="849"/>
      <c r="AN229" s="849"/>
      <c r="AO229" s="849"/>
      <c r="AP229" s="849"/>
      <c r="AQ229" s="849"/>
      <c r="AR229" s="859"/>
      <c r="AS229" s="845"/>
    </row>
    <row r="230" spans="1:45" ht="15.75" customHeight="1">
      <c r="A230" s="858"/>
      <c r="B230" s="849"/>
      <c r="C230" s="849"/>
      <c r="D230" s="849"/>
      <c r="E230" s="849"/>
      <c r="F230" s="849"/>
      <c r="G230" s="849"/>
      <c r="H230" s="869"/>
      <c r="I230" s="331">
        <f aca="true" t="shared" si="104" ref="I230:AQ230">IF(ISERR(AW$13),"",AW$13)</f>
      </c>
      <c r="J230" s="331">
        <f t="shared" si="104"/>
      </c>
      <c r="K230" s="331">
        <f t="shared" si="104"/>
      </c>
      <c r="L230" s="331">
        <f t="shared" si="104"/>
      </c>
      <c r="M230" s="331">
        <f t="shared" si="104"/>
      </c>
      <c r="N230" s="331">
        <f t="shared" si="104"/>
      </c>
      <c r="O230" s="331">
        <f t="shared" si="104"/>
      </c>
      <c r="P230" s="331">
        <f t="shared" si="104"/>
      </c>
      <c r="Q230" s="331">
        <f t="shared" si="104"/>
      </c>
      <c r="R230" s="331">
        <f t="shared" si="104"/>
      </c>
      <c r="S230" s="331">
        <f t="shared" si="104"/>
      </c>
      <c r="T230" s="331">
        <f t="shared" si="104"/>
      </c>
      <c r="U230" s="331">
        <f t="shared" si="104"/>
      </c>
      <c r="V230" s="331">
        <f t="shared" si="104"/>
      </c>
      <c r="W230" s="331">
        <f t="shared" si="104"/>
      </c>
      <c r="X230" s="331">
        <f t="shared" si="104"/>
      </c>
      <c r="Y230" s="331">
        <f t="shared" si="104"/>
      </c>
      <c r="Z230" s="331">
        <f t="shared" si="104"/>
      </c>
      <c r="AA230" s="331">
        <f t="shared" si="104"/>
      </c>
      <c r="AB230" s="331">
        <f t="shared" si="104"/>
      </c>
      <c r="AC230" s="331">
        <f t="shared" si="104"/>
      </c>
      <c r="AD230" s="331">
        <f t="shared" si="104"/>
      </c>
      <c r="AE230" s="331">
        <f t="shared" si="104"/>
      </c>
      <c r="AF230" s="331">
        <f t="shared" si="104"/>
      </c>
      <c r="AG230" s="331">
        <f t="shared" si="104"/>
      </c>
      <c r="AH230" s="331">
        <f t="shared" si="104"/>
      </c>
      <c r="AI230" s="331">
        <f t="shared" si="104"/>
      </c>
      <c r="AJ230" s="331">
        <f t="shared" si="104"/>
      </c>
      <c r="AK230" s="331">
        <f t="shared" si="104"/>
      </c>
      <c r="AL230" s="331">
        <f t="shared" si="104"/>
      </c>
      <c r="AM230" s="331">
        <f t="shared" si="104"/>
      </c>
      <c r="AN230" s="331">
        <f t="shared" si="104"/>
      </c>
      <c r="AO230" s="331">
        <f t="shared" si="104"/>
      </c>
      <c r="AP230" s="331">
        <f t="shared" si="104"/>
      </c>
      <c r="AQ230" s="332">
        <f t="shared" si="104"/>
      </c>
      <c r="AR230" s="322"/>
      <c r="AS230" s="845"/>
    </row>
    <row r="231" spans="1:45" ht="7.5" customHeight="1">
      <c r="A231" s="858"/>
      <c r="B231" s="849"/>
      <c r="C231" s="849"/>
      <c r="D231" s="849"/>
      <c r="E231" s="849"/>
      <c r="F231" s="849"/>
      <c r="G231" s="849"/>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59"/>
      <c r="AS231" s="845"/>
    </row>
    <row r="232" spans="1:45" ht="15.75" customHeight="1">
      <c r="A232" s="830" t="s">
        <v>1887</v>
      </c>
      <c r="B232" s="831"/>
      <c r="C232" s="831"/>
      <c r="D232" s="831"/>
      <c r="E232" s="831"/>
      <c r="F232" s="831"/>
      <c r="G232" s="831"/>
      <c r="H232" s="320"/>
      <c r="I232" s="331">
        <f aca="true" t="shared" si="105" ref="I232:AQ232">IF(ISERR(AW$15),"",AW$15)</f>
      </c>
      <c r="J232" s="331">
        <f t="shared" si="105"/>
      </c>
      <c r="K232" s="331">
        <f t="shared" si="105"/>
      </c>
      <c r="L232" s="331">
        <f t="shared" si="105"/>
      </c>
      <c r="M232" s="331">
        <f t="shared" si="105"/>
      </c>
      <c r="N232" s="331">
        <f t="shared" si="105"/>
      </c>
      <c r="O232" s="331">
        <f t="shared" si="105"/>
      </c>
      <c r="P232" s="331">
        <f t="shared" si="105"/>
      </c>
      <c r="Q232" s="331">
        <f t="shared" si="105"/>
      </c>
      <c r="R232" s="331">
        <f t="shared" si="105"/>
      </c>
      <c r="S232" s="331">
        <f t="shared" si="105"/>
      </c>
      <c r="T232" s="331">
        <f t="shared" si="105"/>
      </c>
      <c r="U232" s="331">
        <f t="shared" si="105"/>
      </c>
      <c r="V232" s="331">
        <f t="shared" si="105"/>
      </c>
      <c r="W232" s="331">
        <f t="shared" si="105"/>
      </c>
      <c r="X232" s="331">
        <f t="shared" si="105"/>
      </c>
      <c r="Y232" s="331">
        <f t="shared" si="105"/>
      </c>
      <c r="Z232" s="331">
        <f t="shared" si="105"/>
      </c>
      <c r="AA232" s="331">
        <f t="shared" si="105"/>
      </c>
      <c r="AB232" s="331">
        <f t="shared" si="105"/>
      </c>
      <c r="AC232" s="331">
        <f t="shared" si="105"/>
      </c>
      <c r="AD232" s="331">
        <f t="shared" si="105"/>
      </c>
      <c r="AE232" s="331">
        <f t="shared" si="105"/>
      </c>
      <c r="AF232" s="331">
        <f t="shared" si="105"/>
      </c>
      <c r="AG232" s="331">
        <f t="shared" si="105"/>
      </c>
      <c r="AH232" s="331">
        <f t="shared" si="105"/>
      </c>
      <c r="AI232" s="331">
        <f t="shared" si="105"/>
      </c>
      <c r="AJ232" s="331">
        <f t="shared" si="105"/>
      </c>
      <c r="AK232" s="331">
        <f t="shared" si="105"/>
      </c>
      <c r="AL232" s="331">
        <f t="shared" si="105"/>
      </c>
      <c r="AM232" s="331">
        <f t="shared" si="105"/>
      </c>
      <c r="AN232" s="331">
        <f t="shared" si="105"/>
      </c>
      <c r="AO232" s="331">
        <f t="shared" si="105"/>
      </c>
      <c r="AP232" s="331">
        <f t="shared" si="105"/>
      </c>
      <c r="AQ232" s="332">
        <f t="shared" si="105"/>
      </c>
      <c r="AR232" s="322"/>
      <c r="AS232" s="845"/>
    </row>
    <row r="233" spans="1:45" ht="7.5" customHeight="1">
      <c r="A233" s="858"/>
      <c r="B233" s="849"/>
      <c r="C233" s="849"/>
      <c r="D233" s="849"/>
      <c r="E233" s="849"/>
      <c r="F233" s="849"/>
      <c r="G233" s="849"/>
      <c r="H233" s="849"/>
      <c r="I233" s="849"/>
      <c r="J233" s="849"/>
      <c r="K233" s="849"/>
      <c r="L233" s="849"/>
      <c r="M233" s="849"/>
      <c r="N233" s="849"/>
      <c r="O233" s="849"/>
      <c r="P233" s="849"/>
      <c r="Q233" s="849"/>
      <c r="R233" s="849"/>
      <c r="S233" s="849"/>
      <c r="T233" s="849"/>
      <c r="U233" s="849"/>
      <c r="V233" s="849"/>
      <c r="W233" s="849"/>
      <c r="X233" s="849"/>
      <c r="Y233" s="849"/>
      <c r="Z233" s="849"/>
      <c r="AA233" s="849"/>
      <c r="AB233" s="849"/>
      <c r="AC233" s="849"/>
      <c r="AD233" s="849"/>
      <c r="AE233" s="849"/>
      <c r="AF233" s="849"/>
      <c r="AG233" s="849"/>
      <c r="AH233" s="849"/>
      <c r="AI233" s="849"/>
      <c r="AJ233" s="849"/>
      <c r="AK233" s="849"/>
      <c r="AL233" s="849"/>
      <c r="AM233" s="849"/>
      <c r="AN233" s="849"/>
      <c r="AO233" s="849"/>
      <c r="AP233" s="849"/>
      <c r="AQ233" s="849"/>
      <c r="AR233" s="859"/>
      <c r="AS233" s="845"/>
    </row>
    <row r="234" spans="1:45" ht="15.75" customHeight="1">
      <c r="A234" s="830" t="s">
        <v>391</v>
      </c>
      <c r="B234" s="831"/>
      <c r="C234" s="831"/>
      <c r="D234" s="831"/>
      <c r="E234" s="831"/>
      <c r="F234" s="831"/>
      <c r="G234" s="831"/>
      <c r="H234" s="320"/>
      <c r="I234" s="331">
        <f>IF(ISERR(AW$17),"",AW$17)</f>
      </c>
      <c r="J234" s="331">
        <f>IF(ISERR(AX$17),"",AX$17)</f>
      </c>
      <c r="K234" s="331">
        <f>IF(ISERR(AY$17),"",AY$17)</f>
      </c>
      <c r="L234" s="331">
        <f>IF(ISERR(AZ$17),"",AZ$17)</f>
      </c>
      <c r="M234" s="832"/>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833"/>
      <c r="AS234" s="845"/>
    </row>
    <row r="235" spans="1:45" ht="7.5" customHeight="1">
      <c r="A235" s="827"/>
      <c r="B235" s="828"/>
      <c r="C235" s="828"/>
      <c r="D235" s="828"/>
      <c r="E235" s="828"/>
      <c r="F235" s="828"/>
      <c r="G235" s="828"/>
      <c r="H235" s="828"/>
      <c r="I235" s="828"/>
      <c r="J235" s="828"/>
      <c r="K235" s="828"/>
      <c r="L235" s="828"/>
      <c r="M235" s="828"/>
      <c r="N235" s="828"/>
      <c r="O235" s="828"/>
      <c r="P235" s="828"/>
      <c r="Q235" s="828"/>
      <c r="R235" s="828"/>
      <c r="S235" s="828"/>
      <c r="T235" s="828"/>
      <c r="U235" s="828"/>
      <c r="V235" s="828"/>
      <c r="W235" s="828"/>
      <c r="X235" s="828"/>
      <c r="Y235" s="828"/>
      <c r="Z235" s="828"/>
      <c r="AA235" s="828"/>
      <c r="AB235" s="828"/>
      <c r="AC235" s="828"/>
      <c r="AD235" s="828"/>
      <c r="AE235" s="828"/>
      <c r="AF235" s="828"/>
      <c r="AG235" s="828"/>
      <c r="AH235" s="828"/>
      <c r="AI235" s="828"/>
      <c r="AJ235" s="828"/>
      <c r="AK235" s="828"/>
      <c r="AL235" s="828"/>
      <c r="AM235" s="828"/>
      <c r="AN235" s="828"/>
      <c r="AO235" s="828"/>
      <c r="AP235" s="828"/>
      <c r="AQ235" s="828"/>
      <c r="AR235" s="829"/>
      <c r="AS235" s="845"/>
    </row>
    <row r="236" spans="1:45" ht="15.75" customHeight="1">
      <c r="A236" s="830" t="s">
        <v>1888</v>
      </c>
      <c r="B236" s="831"/>
      <c r="C236" s="831"/>
      <c r="D236" s="831"/>
      <c r="E236" s="831"/>
      <c r="F236" s="831"/>
      <c r="G236" s="831"/>
      <c r="H236" s="320"/>
      <c r="I236" s="331">
        <f aca="true" t="shared" si="106" ref="I236:AQ236">IF(ISERR(AW$19),"",AW$19)</f>
      </c>
      <c r="J236" s="331">
        <f t="shared" si="106"/>
      </c>
      <c r="K236" s="331">
        <f t="shared" si="106"/>
      </c>
      <c r="L236" s="331">
        <f t="shared" si="106"/>
      </c>
      <c r="M236" s="331">
        <f t="shared" si="106"/>
      </c>
      <c r="N236" s="331">
        <f t="shared" si="106"/>
      </c>
      <c r="O236" s="331">
        <f t="shared" si="106"/>
      </c>
      <c r="P236" s="331">
        <f t="shared" si="106"/>
      </c>
      <c r="Q236" s="331">
        <f t="shared" si="106"/>
      </c>
      <c r="R236" s="331">
        <f t="shared" si="106"/>
      </c>
      <c r="S236" s="331">
        <f t="shared" si="106"/>
      </c>
      <c r="T236" s="331">
        <f t="shared" si="106"/>
      </c>
      <c r="U236" s="331">
        <f t="shared" si="106"/>
      </c>
      <c r="V236" s="331">
        <f t="shared" si="106"/>
      </c>
      <c r="W236" s="331">
        <f t="shared" si="106"/>
      </c>
      <c r="X236" s="331">
        <f t="shared" si="106"/>
      </c>
      <c r="Y236" s="331">
        <f t="shared" si="106"/>
      </c>
      <c r="Z236" s="331">
        <f t="shared" si="106"/>
      </c>
      <c r="AA236" s="331">
        <f t="shared" si="106"/>
      </c>
      <c r="AB236" s="331">
        <f t="shared" si="106"/>
      </c>
      <c r="AC236" s="331">
        <f t="shared" si="106"/>
      </c>
      <c r="AD236" s="331">
        <f t="shared" si="106"/>
      </c>
      <c r="AE236" s="331">
        <f t="shared" si="106"/>
      </c>
      <c r="AF236" s="331">
        <f t="shared" si="106"/>
      </c>
      <c r="AG236" s="331">
        <f t="shared" si="106"/>
      </c>
      <c r="AH236" s="331">
        <f t="shared" si="106"/>
      </c>
      <c r="AI236" s="331">
        <f t="shared" si="106"/>
      </c>
      <c r="AJ236" s="331">
        <f t="shared" si="106"/>
      </c>
      <c r="AK236" s="331">
        <f t="shared" si="106"/>
      </c>
      <c r="AL236" s="331">
        <f t="shared" si="106"/>
      </c>
      <c r="AM236" s="331">
        <f t="shared" si="106"/>
      </c>
      <c r="AN236" s="331">
        <f t="shared" si="106"/>
      </c>
      <c r="AO236" s="331">
        <f t="shared" si="106"/>
      </c>
      <c r="AP236" s="331">
        <f t="shared" si="106"/>
      </c>
      <c r="AQ236" s="332">
        <f t="shared" si="106"/>
      </c>
      <c r="AR236" s="322"/>
      <c r="AS236" s="845"/>
    </row>
    <row r="237" spans="1:45" ht="9" customHeight="1">
      <c r="A237" s="827"/>
      <c r="B237" s="828"/>
      <c r="C237" s="828"/>
      <c r="D237" s="828"/>
      <c r="E237" s="828"/>
      <c r="F237" s="828"/>
      <c r="G237" s="828"/>
      <c r="H237" s="828"/>
      <c r="I237" s="828"/>
      <c r="J237" s="828"/>
      <c r="K237" s="828"/>
      <c r="L237" s="828"/>
      <c r="M237" s="828"/>
      <c r="N237" s="828"/>
      <c r="O237" s="828"/>
      <c r="P237" s="828"/>
      <c r="Q237" s="828"/>
      <c r="R237" s="828"/>
      <c r="S237" s="828"/>
      <c r="T237" s="828"/>
      <c r="U237" s="828"/>
      <c r="V237" s="828"/>
      <c r="W237" s="828"/>
      <c r="X237" s="828"/>
      <c r="Y237" s="828"/>
      <c r="Z237" s="828"/>
      <c r="AA237" s="828"/>
      <c r="AB237" s="828"/>
      <c r="AC237" s="828"/>
      <c r="AD237" s="828"/>
      <c r="AE237" s="828"/>
      <c r="AF237" s="828"/>
      <c r="AG237" s="828"/>
      <c r="AH237" s="828"/>
      <c r="AI237" s="828"/>
      <c r="AJ237" s="828"/>
      <c r="AK237" s="828"/>
      <c r="AL237" s="828"/>
      <c r="AM237" s="828"/>
      <c r="AN237" s="828"/>
      <c r="AO237" s="828"/>
      <c r="AP237" s="828"/>
      <c r="AQ237" s="828"/>
      <c r="AR237" s="829"/>
      <c r="AS237" s="845"/>
    </row>
    <row r="238" spans="1:45" ht="15" customHeight="1">
      <c r="A238" s="830" t="s">
        <v>1890</v>
      </c>
      <c r="B238" s="831"/>
      <c r="C238" s="831"/>
      <c r="D238" s="831"/>
      <c r="E238" s="831"/>
      <c r="F238" s="831"/>
      <c r="G238" s="831"/>
      <c r="H238" s="320"/>
      <c r="I238" s="331">
        <f aca="true" t="shared" si="107" ref="I238:AL238">IF(ISERR(AW$21),"",AW$21)</f>
      </c>
      <c r="J238" s="331">
        <f t="shared" si="107"/>
      </c>
      <c r="K238" s="331">
        <f t="shared" si="107"/>
      </c>
      <c r="L238" s="331">
        <f t="shared" si="107"/>
      </c>
      <c r="M238" s="331">
        <f t="shared" si="107"/>
      </c>
      <c r="N238" s="331">
        <f t="shared" si="107"/>
      </c>
      <c r="O238" s="331">
        <f t="shared" si="107"/>
      </c>
      <c r="P238" s="331">
        <f t="shared" si="107"/>
      </c>
      <c r="Q238" s="331">
        <f t="shared" si="107"/>
      </c>
      <c r="R238" s="331">
        <f t="shared" si="107"/>
      </c>
      <c r="S238" s="331">
        <f t="shared" si="107"/>
      </c>
      <c r="T238" s="331">
        <f t="shared" si="107"/>
      </c>
      <c r="U238" s="331">
        <f t="shared" si="107"/>
      </c>
      <c r="V238" s="331">
        <f t="shared" si="107"/>
      </c>
      <c r="W238" s="331">
        <f t="shared" si="107"/>
      </c>
      <c r="X238" s="331">
        <f t="shared" si="107"/>
      </c>
      <c r="Y238" s="331">
        <f t="shared" si="107"/>
      </c>
      <c r="Z238" s="331">
        <f t="shared" si="107"/>
      </c>
      <c r="AA238" s="331">
        <f t="shared" si="107"/>
      </c>
      <c r="AB238" s="331">
        <f t="shared" si="107"/>
      </c>
      <c r="AC238" s="331">
        <f t="shared" si="107"/>
      </c>
      <c r="AD238" s="331">
        <f t="shared" si="107"/>
      </c>
      <c r="AE238" s="331">
        <f t="shared" si="107"/>
      </c>
      <c r="AF238" s="331">
        <f t="shared" si="107"/>
      </c>
      <c r="AG238" s="331">
        <f t="shared" si="107"/>
      </c>
      <c r="AH238" s="331">
        <f t="shared" si="107"/>
      </c>
      <c r="AI238" s="331">
        <f t="shared" si="107"/>
      </c>
      <c r="AJ238" s="331">
        <f t="shared" si="107"/>
      </c>
      <c r="AK238" s="331">
        <f t="shared" si="107"/>
      </c>
      <c r="AL238" s="332">
        <f t="shared" si="107"/>
      </c>
      <c r="AM238" s="330"/>
      <c r="AN238" s="330"/>
      <c r="AO238" s="330"/>
      <c r="AP238" s="330"/>
      <c r="AQ238" s="330"/>
      <c r="AR238" s="329"/>
      <c r="AS238" s="845"/>
    </row>
    <row r="239" spans="1:45" ht="6.75" customHeight="1">
      <c r="A239" s="827"/>
      <c r="B239" s="828"/>
      <c r="C239" s="828"/>
      <c r="D239" s="828"/>
      <c r="E239" s="828"/>
      <c r="F239" s="828"/>
      <c r="G239" s="828"/>
      <c r="H239" s="828"/>
      <c r="I239" s="828"/>
      <c r="J239" s="828"/>
      <c r="K239" s="828"/>
      <c r="L239" s="828"/>
      <c r="M239" s="828"/>
      <c r="N239" s="828"/>
      <c r="O239" s="828"/>
      <c r="P239" s="828"/>
      <c r="Q239" s="828"/>
      <c r="R239" s="828"/>
      <c r="S239" s="828"/>
      <c r="T239" s="828"/>
      <c r="U239" s="828"/>
      <c r="V239" s="828"/>
      <c r="W239" s="828"/>
      <c r="X239" s="828"/>
      <c r="Y239" s="828"/>
      <c r="Z239" s="828"/>
      <c r="AA239" s="828"/>
      <c r="AB239" s="828"/>
      <c r="AC239" s="828"/>
      <c r="AD239" s="828"/>
      <c r="AE239" s="828"/>
      <c r="AF239" s="828"/>
      <c r="AG239" s="828"/>
      <c r="AH239" s="828"/>
      <c r="AI239" s="828"/>
      <c r="AJ239" s="828"/>
      <c r="AK239" s="828"/>
      <c r="AL239" s="828"/>
      <c r="AM239" s="828"/>
      <c r="AN239" s="828"/>
      <c r="AO239" s="828"/>
      <c r="AP239" s="828"/>
      <c r="AQ239" s="828"/>
      <c r="AR239" s="829"/>
      <c r="AS239" s="845"/>
    </row>
    <row r="240" spans="1:45" ht="15" customHeight="1">
      <c r="A240" s="830" t="s">
        <v>1891</v>
      </c>
      <c r="B240" s="831"/>
      <c r="C240" s="831"/>
      <c r="D240" s="831"/>
      <c r="E240" s="831"/>
      <c r="F240" s="831"/>
      <c r="G240" s="831"/>
      <c r="H240" s="320"/>
      <c r="I240" s="331">
        <f aca="true" t="shared" si="108" ref="I240:AL240">IF(ISERR(AW$23),"",AW$23)</f>
      </c>
      <c r="J240" s="331">
        <f t="shared" si="108"/>
      </c>
      <c r="K240" s="331">
        <f t="shared" si="108"/>
      </c>
      <c r="L240" s="331">
        <f t="shared" si="108"/>
      </c>
      <c r="M240" s="331">
        <f t="shared" si="108"/>
      </c>
      <c r="N240" s="331">
        <f t="shared" si="108"/>
      </c>
      <c r="O240" s="331">
        <f t="shared" si="108"/>
      </c>
      <c r="P240" s="331">
        <f t="shared" si="108"/>
      </c>
      <c r="Q240" s="331">
        <f t="shared" si="108"/>
      </c>
      <c r="R240" s="331">
        <f t="shared" si="108"/>
      </c>
      <c r="S240" s="331">
        <f t="shared" si="108"/>
      </c>
      <c r="T240" s="331">
        <f t="shared" si="108"/>
      </c>
      <c r="U240" s="331">
        <f t="shared" si="108"/>
      </c>
      <c r="V240" s="331">
        <f t="shared" si="108"/>
      </c>
      <c r="W240" s="331">
        <f t="shared" si="108"/>
      </c>
      <c r="X240" s="331">
        <f t="shared" si="108"/>
      </c>
      <c r="Y240" s="331">
        <f t="shared" si="108"/>
      </c>
      <c r="Z240" s="331">
        <f t="shared" si="108"/>
      </c>
      <c r="AA240" s="331">
        <f t="shared" si="108"/>
      </c>
      <c r="AB240" s="331">
        <f t="shared" si="108"/>
      </c>
      <c r="AC240" s="331">
        <f t="shared" si="108"/>
      </c>
      <c r="AD240" s="331">
        <f t="shared" si="108"/>
      </c>
      <c r="AE240" s="331">
        <f t="shared" si="108"/>
      </c>
      <c r="AF240" s="331">
        <f t="shared" si="108"/>
      </c>
      <c r="AG240" s="331">
        <f t="shared" si="108"/>
      </c>
      <c r="AH240" s="331">
        <f t="shared" si="108"/>
      </c>
      <c r="AI240" s="331">
        <f t="shared" si="108"/>
      </c>
      <c r="AJ240" s="331">
        <f t="shared" si="108"/>
      </c>
      <c r="AK240" s="331">
        <f t="shared" si="108"/>
      </c>
      <c r="AL240" s="332">
        <f t="shared" si="108"/>
      </c>
      <c r="AM240" s="330"/>
      <c r="AN240" s="330"/>
      <c r="AO240" s="330"/>
      <c r="AP240" s="330"/>
      <c r="AQ240" s="330"/>
      <c r="AR240" s="329"/>
      <c r="AS240" s="845"/>
    </row>
    <row r="241" spans="1:45" ht="6.75" customHeight="1">
      <c r="A241" s="827"/>
      <c r="B241" s="828"/>
      <c r="C241" s="828"/>
      <c r="D241" s="828"/>
      <c r="E241" s="828"/>
      <c r="F241" s="828"/>
      <c r="G241" s="828"/>
      <c r="H241" s="828"/>
      <c r="I241" s="828"/>
      <c r="J241" s="828"/>
      <c r="K241" s="828"/>
      <c r="L241" s="828"/>
      <c r="M241" s="828"/>
      <c r="N241" s="828"/>
      <c r="O241" s="828"/>
      <c r="P241" s="828"/>
      <c r="Q241" s="828"/>
      <c r="R241" s="828"/>
      <c r="S241" s="828"/>
      <c r="T241" s="828"/>
      <c r="U241" s="828"/>
      <c r="V241" s="828"/>
      <c r="W241" s="828"/>
      <c r="X241" s="828"/>
      <c r="Y241" s="828"/>
      <c r="Z241" s="828"/>
      <c r="AA241" s="828"/>
      <c r="AB241" s="828"/>
      <c r="AC241" s="828"/>
      <c r="AD241" s="828"/>
      <c r="AE241" s="828"/>
      <c r="AF241" s="828"/>
      <c r="AG241" s="828"/>
      <c r="AH241" s="828"/>
      <c r="AI241" s="828"/>
      <c r="AJ241" s="828"/>
      <c r="AK241" s="828"/>
      <c r="AL241" s="828"/>
      <c r="AM241" s="828"/>
      <c r="AN241" s="828"/>
      <c r="AO241" s="828"/>
      <c r="AP241" s="828"/>
      <c r="AQ241" s="828"/>
      <c r="AR241" s="829"/>
      <c r="AS241" s="845"/>
    </row>
    <row r="242" spans="1:45" ht="15.75" customHeight="1">
      <c r="A242" s="855" t="s">
        <v>1889</v>
      </c>
      <c r="B242" s="699"/>
      <c r="C242" s="699"/>
      <c r="D242" s="699"/>
      <c r="E242" s="699"/>
      <c r="F242" s="699"/>
      <c r="G242" s="699"/>
      <c r="H242" s="333"/>
      <c r="I242" s="328">
        <f aca="true" t="shared" si="109" ref="I242:AQ242">IF(ISERR(AW$25),"",AW$25)</f>
      </c>
      <c r="J242" s="328">
        <f t="shared" si="109"/>
      </c>
      <c r="K242" s="328">
        <f t="shared" si="109"/>
      </c>
      <c r="L242" s="328">
        <f t="shared" si="109"/>
      </c>
      <c r="M242" s="328">
        <f t="shared" si="109"/>
      </c>
      <c r="N242" s="328">
        <f t="shared" si="109"/>
      </c>
      <c r="O242" s="328">
        <f t="shared" si="109"/>
      </c>
      <c r="P242" s="328">
        <f t="shared" si="109"/>
      </c>
      <c r="Q242" s="328">
        <f t="shared" si="109"/>
      </c>
      <c r="R242" s="328">
        <f t="shared" si="109"/>
      </c>
      <c r="S242" s="328">
        <f t="shared" si="109"/>
      </c>
      <c r="T242" s="328">
        <f t="shared" si="109"/>
      </c>
      <c r="U242" s="328">
        <f t="shared" si="109"/>
      </c>
      <c r="V242" s="328">
        <f t="shared" si="109"/>
      </c>
      <c r="W242" s="328">
        <f t="shared" si="109"/>
      </c>
      <c r="X242" s="328">
        <f t="shared" si="109"/>
      </c>
      <c r="Y242" s="328">
        <f t="shared" si="109"/>
      </c>
      <c r="Z242" s="328">
        <f t="shared" si="109"/>
      </c>
      <c r="AA242" s="328">
        <f t="shared" si="109"/>
      </c>
      <c r="AB242" s="328">
        <f t="shared" si="109"/>
      </c>
      <c r="AC242" s="328">
        <f t="shared" si="109"/>
      </c>
      <c r="AD242" s="328">
        <f t="shared" si="109"/>
      </c>
      <c r="AE242" s="328">
        <f t="shared" si="109"/>
      </c>
      <c r="AF242" s="328">
        <f t="shared" si="109"/>
      </c>
      <c r="AG242" s="328">
        <f t="shared" si="109"/>
      </c>
      <c r="AH242" s="328">
        <f t="shared" si="109"/>
      </c>
      <c r="AI242" s="328">
        <f t="shared" si="109"/>
      </c>
      <c r="AJ242" s="328">
        <f t="shared" si="109"/>
      </c>
      <c r="AK242" s="328">
        <f t="shared" si="109"/>
      </c>
      <c r="AL242" s="328">
        <f t="shared" si="109"/>
      </c>
      <c r="AM242" s="328">
        <f t="shared" si="109"/>
      </c>
      <c r="AN242" s="328">
        <f t="shared" si="109"/>
      </c>
      <c r="AO242" s="328">
        <f t="shared" si="109"/>
      </c>
      <c r="AP242" s="328">
        <f t="shared" si="109"/>
      </c>
      <c r="AQ242" s="328">
        <f t="shared" si="109"/>
      </c>
      <c r="AR242" s="334"/>
      <c r="AS242" s="845"/>
    </row>
    <row r="243" spans="1:45" ht="7.5" customHeight="1">
      <c r="A243" s="827"/>
      <c r="B243" s="828"/>
      <c r="C243" s="828"/>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828"/>
      <c r="AE243" s="828"/>
      <c r="AF243" s="828"/>
      <c r="AG243" s="828"/>
      <c r="AH243" s="828"/>
      <c r="AI243" s="828"/>
      <c r="AJ243" s="828"/>
      <c r="AK243" s="828"/>
      <c r="AL243" s="828"/>
      <c r="AM243" s="828"/>
      <c r="AN243" s="828"/>
      <c r="AO243" s="828"/>
      <c r="AP243" s="828"/>
      <c r="AQ243" s="828"/>
      <c r="AR243" s="829"/>
      <c r="AS243" s="845"/>
    </row>
    <row r="244" spans="1:45" ht="15.75" customHeight="1">
      <c r="A244" s="867" t="s">
        <v>392</v>
      </c>
      <c r="B244" s="868"/>
      <c r="C244" s="868"/>
      <c r="D244" s="868"/>
      <c r="E244" s="868"/>
      <c r="F244" s="868"/>
      <c r="G244" s="868"/>
      <c r="H244" s="320"/>
      <c r="I244" s="331">
        <f aca="true" t="shared" si="110" ref="I244:W244">IF(ISERR(AW$27),"",AW$27)</f>
      </c>
      <c r="J244" s="331">
        <f t="shared" si="110"/>
      </c>
      <c r="K244" s="331">
        <f t="shared" si="110"/>
      </c>
      <c r="L244" s="331">
        <f t="shared" si="110"/>
      </c>
      <c r="M244" s="331">
        <f t="shared" si="110"/>
      </c>
      <c r="N244" s="331">
        <f t="shared" si="110"/>
      </c>
      <c r="O244" s="331">
        <f t="shared" si="110"/>
      </c>
      <c r="P244" s="331">
        <f t="shared" si="110"/>
      </c>
      <c r="Q244" s="331">
        <f t="shared" si="110"/>
      </c>
      <c r="R244" s="331">
        <f t="shared" si="110"/>
      </c>
      <c r="S244" s="331">
        <f t="shared" si="110"/>
      </c>
      <c r="T244" s="331">
        <f t="shared" si="110"/>
      </c>
      <c r="U244" s="331">
        <f t="shared" si="110"/>
      </c>
      <c r="V244" s="331">
        <f t="shared" si="110"/>
      </c>
      <c r="W244" s="331">
        <f t="shared" si="110"/>
      </c>
      <c r="X244" s="851"/>
      <c r="Y244" s="852"/>
      <c r="Z244" s="852"/>
      <c r="AA244" s="852"/>
      <c r="AB244" s="852"/>
      <c r="AC244" s="852"/>
      <c r="AD244" s="852"/>
      <c r="AE244" s="852"/>
      <c r="AF244" s="852"/>
      <c r="AG244" s="852"/>
      <c r="AH244" s="852"/>
      <c r="AI244" s="852"/>
      <c r="AJ244" s="852"/>
      <c r="AK244" s="852"/>
      <c r="AL244" s="852"/>
      <c r="AM244" s="852"/>
      <c r="AN244" s="852"/>
      <c r="AO244" s="852"/>
      <c r="AP244" s="852"/>
      <c r="AQ244" s="852"/>
      <c r="AR244" s="853"/>
      <c r="AS244" s="845"/>
    </row>
    <row r="245" spans="1:45" ht="9" customHeight="1" thickBot="1">
      <c r="A245" s="870"/>
      <c r="B245" s="871"/>
      <c r="C245" s="871"/>
      <c r="D245" s="871"/>
      <c r="E245" s="871"/>
      <c r="F245" s="871"/>
      <c r="G245" s="871"/>
      <c r="H245" s="871"/>
      <c r="I245" s="871"/>
      <c r="J245" s="871"/>
      <c r="K245" s="871"/>
      <c r="L245" s="871"/>
      <c r="M245" s="871"/>
      <c r="N245" s="871"/>
      <c r="O245" s="871"/>
      <c r="P245" s="871"/>
      <c r="Q245" s="871"/>
      <c r="R245" s="871"/>
      <c r="S245" s="871"/>
      <c r="T245" s="871"/>
      <c r="U245" s="871"/>
      <c r="V245" s="871"/>
      <c r="W245" s="871"/>
      <c r="X245" s="871"/>
      <c r="Y245" s="871"/>
      <c r="Z245" s="871"/>
      <c r="AA245" s="871"/>
      <c r="AB245" s="871"/>
      <c r="AC245" s="871"/>
      <c r="AD245" s="871"/>
      <c r="AE245" s="871"/>
      <c r="AF245" s="871"/>
      <c r="AG245" s="871"/>
      <c r="AH245" s="871"/>
      <c r="AI245" s="871"/>
      <c r="AJ245" s="871"/>
      <c r="AK245" s="871"/>
      <c r="AL245" s="871"/>
      <c r="AM245" s="871"/>
      <c r="AN245" s="871"/>
      <c r="AO245" s="871"/>
      <c r="AP245" s="871"/>
      <c r="AQ245" s="871"/>
      <c r="AR245" s="872"/>
      <c r="AS245" s="845"/>
    </row>
    <row r="246" spans="1:45" ht="15.75" customHeight="1" thickBot="1" thickTop="1">
      <c r="A246" s="866"/>
      <c r="B246" s="866"/>
      <c r="C246" s="866"/>
      <c r="D246" s="866"/>
      <c r="E246" s="866"/>
      <c r="F246" s="866"/>
      <c r="G246" s="866"/>
      <c r="H246" s="866"/>
      <c r="I246" s="866"/>
      <c r="J246" s="866"/>
      <c r="K246" s="866"/>
      <c r="L246" s="866"/>
      <c r="M246" s="866"/>
      <c r="N246" s="866"/>
      <c r="O246" s="866"/>
      <c r="P246" s="866"/>
      <c r="Q246" s="866"/>
      <c r="R246" s="866"/>
      <c r="S246" s="866"/>
      <c r="T246" s="866"/>
      <c r="U246" s="866"/>
      <c r="V246" s="866"/>
      <c r="W246" s="866"/>
      <c r="X246" s="866"/>
      <c r="Y246" s="866"/>
      <c r="Z246" s="866"/>
      <c r="AA246" s="866"/>
      <c r="AB246" s="866"/>
      <c r="AC246" s="866"/>
      <c r="AD246" s="866"/>
      <c r="AE246" s="866"/>
      <c r="AF246" s="866"/>
      <c r="AG246" s="866"/>
      <c r="AH246" s="866"/>
      <c r="AI246" s="866"/>
      <c r="AJ246" s="866"/>
      <c r="AK246" s="866"/>
      <c r="AL246" s="866"/>
      <c r="AM246" s="866"/>
      <c r="AN246" s="866"/>
      <c r="AO246" s="866"/>
      <c r="AP246" s="866"/>
      <c r="AQ246" s="866"/>
      <c r="AR246" s="866"/>
      <c r="AS246" s="845"/>
    </row>
    <row r="247" spans="1:45" ht="7.5" customHeight="1" thickTop="1">
      <c r="A247" s="860"/>
      <c r="B247" s="861"/>
      <c r="C247" s="861"/>
      <c r="D247" s="861"/>
      <c r="E247" s="861"/>
      <c r="F247" s="861"/>
      <c r="G247" s="861"/>
      <c r="H247" s="861"/>
      <c r="I247" s="861"/>
      <c r="J247" s="861"/>
      <c r="K247" s="861"/>
      <c r="L247" s="861"/>
      <c r="M247" s="861"/>
      <c r="N247" s="861"/>
      <c r="O247" s="861"/>
      <c r="P247" s="861"/>
      <c r="Q247" s="861"/>
      <c r="R247" s="861"/>
      <c r="S247" s="861"/>
      <c r="T247" s="861"/>
      <c r="U247" s="861"/>
      <c r="V247" s="861"/>
      <c r="W247" s="861"/>
      <c r="X247" s="861"/>
      <c r="Y247" s="861"/>
      <c r="Z247" s="861"/>
      <c r="AA247" s="861"/>
      <c r="AB247" s="861"/>
      <c r="AC247" s="861"/>
      <c r="AD247" s="861"/>
      <c r="AE247" s="861"/>
      <c r="AF247" s="861"/>
      <c r="AG247" s="861"/>
      <c r="AH247" s="861"/>
      <c r="AI247" s="861"/>
      <c r="AJ247" s="861"/>
      <c r="AK247" s="861"/>
      <c r="AL247" s="861"/>
      <c r="AM247" s="861"/>
      <c r="AN247" s="861"/>
      <c r="AO247" s="861"/>
      <c r="AP247" s="861"/>
      <c r="AQ247" s="861"/>
      <c r="AR247" s="862"/>
      <c r="AS247" s="845"/>
    </row>
    <row r="248" spans="1:45" ht="15.75" customHeight="1">
      <c r="A248" s="863" t="s">
        <v>393</v>
      </c>
      <c r="B248" s="864"/>
      <c r="C248" s="864"/>
      <c r="D248" s="864"/>
      <c r="E248" s="864"/>
      <c r="F248" s="864"/>
      <c r="G248" s="864"/>
      <c r="H248" s="864"/>
      <c r="I248" s="864"/>
      <c r="J248" s="864"/>
      <c r="K248" s="864"/>
      <c r="L248" s="864"/>
      <c r="M248" s="864"/>
      <c r="N248" s="864"/>
      <c r="O248" s="864"/>
      <c r="P248" s="864"/>
      <c r="Q248" s="864"/>
      <c r="R248" s="864"/>
      <c r="S248" s="864"/>
      <c r="T248" s="864"/>
      <c r="U248" s="864"/>
      <c r="V248" s="864"/>
      <c r="W248" s="864"/>
      <c r="X248" s="864"/>
      <c r="Y248" s="864"/>
      <c r="Z248" s="864"/>
      <c r="AA248" s="864"/>
      <c r="AB248" s="864"/>
      <c r="AC248" s="864"/>
      <c r="AD248" s="864"/>
      <c r="AE248" s="864"/>
      <c r="AF248" s="864"/>
      <c r="AG248" s="864"/>
      <c r="AH248" s="864"/>
      <c r="AI248" s="864"/>
      <c r="AJ248" s="864"/>
      <c r="AK248" s="864"/>
      <c r="AL248" s="864"/>
      <c r="AM248" s="864"/>
      <c r="AN248" s="864"/>
      <c r="AO248" s="864"/>
      <c r="AP248" s="864"/>
      <c r="AQ248" s="864"/>
      <c r="AR248" s="865"/>
      <c r="AS248" s="845"/>
    </row>
    <row r="249" spans="1:45" ht="9" customHeight="1">
      <c r="A249" s="827"/>
      <c r="B249" s="828"/>
      <c r="C249" s="828"/>
      <c r="D249" s="828"/>
      <c r="E249" s="828"/>
      <c r="F249" s="828"/>
      <c r="G249" s="828"/>
      <c r="H249" s="828"/>
      <c r="I249" s="828"/>
      <c r="J249" s="828"/>
      <c r="K249" s="828"/>
      <c r="L249" s="828"/>
      <c r="M249" s="828"/>
      <c r="N249" s="828"/>
      <c r="O249" s="828"/>
      <c r="P249" s="828"/>
      <c r="Q249" s="828"/>
      <c r="R249" s="828"/>
      <c r="S249" s="828"/>
      <c r="T249" s="828"/>
      <c r="U249" s="828"/>
      <c r="V249" s="828"/>
      <c r="W249" s="828"/>
      <c r="X249" s="828"/>
      <c r="Y249" s="828"/>
      <c r="Z249" s="828"/>
      <c r="AA249" s="828"/>
      <c r="AB249" s="828"/>
      <c r="AC249" s="828"/>
      <c r="AD249" s="828"/>
      <c r="AE249" s="828"/>
      <c r="AF249" s="828"/>
      <c r="AG249" s="828"/>
      <c r="AH249" s="828"/>
      <c r="AI249" s="828"/>
      <c r="AJ249" s="828"/>
      <c r="AK249" s="828"/>
      <c r="AL249" s="828"/>
      <c r="AM249" s="828"/>
      <c r="AN249" s="828"/>
      <c r="AO249" s="828"/>
      <c r="AP249" s="828"/>
      <c r="AQ249" s="828"/>
      <c r="AR249" s="829"/>
      <c r="AS249" s="845"/>
    </row>
    <row r="250" spans="1:45" ht="15.75" customHeight="1">
      <c r="A250" s="830" t="str">
        <f>A224</f>
        <v>NAME</v>
      </c>
      <c r="B250" s="831"/>
      <c r="C250" s="831"/>
      <c r="D250" s="831"/>
      <c r="E250" s="831"/>
      <c r="F250" s="831"/>
      <c r="G250" s="831"/>
      <c r="H250" s="320"/>
      <c r="I250" s="332">
        <f aca="true" t="shared" si="111" ref="I250:AQ250">IF(ISERR(AW$31),"",AW$31)</f>
      </c>
      <c r="J250" s="332">
        <f t="shared" si="111"/>
      </c>
      <c r="K250" s="332">
        <f t="shared" si="111"/>
      </c>
      <c r="L250" s="332">
        <f t="shared" si="111"/>
      </c>
      <c r="M250" s="332">
        <f t="shared" si="111"/>
      </c>
      <c r="N250" s="332">
        <f t="shared" si="111"/>
      </c>
      <c r="O250" s="332">
        <f t="shared" si="111"/>
      </c>
      <c r="P250" s="332">
        <f t="shared" si="111"/>
      </c>
      <c r="Q250" s="332">
        <f t="shared" si="111"/>
      </c>
      <c r="R250" s="332">
        <f t="shared" si="111"/>
      </c>
      <c r="S250" s="332">
        <f t="shared" si="111"/>
      </c>
      <c r="T250" s="332">
        <f t="shared" si="111"/>
      </c>
      <c r="U250" s="332">
        <f t="shared" si="111"/>
      </c>
      <c r="V250" s="332">
        <f t="shared" si="111"/>
      </c>
      <c r="W250" s="332">
        <f t="shared" si="111"/>
      </c>
      <c r="X250" s="332">
        <f t="shared" si="111"/>
      </c>
      <c r="Y250" s="332">
        <f t="shared" si="111"/>
      </c>
      <c r="Z250" s="332">
        <f t="shared" si="111"/>
      </c>
      <c r="AA250" s="332">
        <f t="shared" si="111"/>
      </c>
      <c r="AB250" s="332">
        <f t="shared" si="111"/>
      </c>
      <c r="AC250" s="332">
        <f t="shared" si="111"/>
      </c>
      <c r="AD250" s="332">
        <f t="shared" si="111"/>
      </c>
      <c r="AE250" s="332">
        <f t="shared" si="111"/>
      </c>
      <c r="AF250" s="332">
        <f t="shared" si="111"/>
      </c>
      <c r="AG250" s="332">
        <f t="shared" si="111"/>
      </c>
      <c r="AH250" s="332">
        <f t="shared" si="111"/>
      </c>
      <c r="AI250" s="332">
        <f t="shared" si="111"/>
      </c>
      <c r="AJ250" s="332">
        <f t="shared" si="111"/>
      </c>
      <c r="AK250" s="332">
        <f t="shared" si="111"/>
      </c>
      <c r="AL250" s="332">
        <f t="shared" si="111"/>
      </c>
      <c r="AM250" s="332">
        <f t="shared" si="111"/>
      </c>
      <c r="AN250" s="332">
        <f t="shared" si="111"/>
      </c>
      <c r="AO250" s="332">
        <f t="shared" si="111"/>
      </c>
      <c r="AP250" s="332">
        <f t="shared" si="111"/>
      </c>
      <c r="AQ250" s="332">
        <f t="shared" si="111"/>
      </c>
      <c r="AR250" s="322"/>
      <c r="AS250" s="845"/>
    </row>
    <row r="251" spans="1:45" ht="7.5" customHeight="1">
      <c r="A251" s="827"/>
      <c r="B251" s="828"/>
      <c r="C251" s="828"/>
      <c r="D251" s="828"/>
      <c r="E251" s="828"/>
      <c r="F251" s="828"/>
      <c r="G251" s="828"/>
      <c r="H251" s="828"/>
      <c r="I251" s="828"/>
      <c r="J251" s="828"/>
      <c r="K251" s="828"/>
      <c r="L251" s="828"/>
      <c r="M251" s="828"/>
      <c r="N251" s="828"/>
      <c r="O251" s="828"/>
      <c r="P251" s="828"/>
      <c r="Q251" s="828"/>
      <c r="R251" s="828"/>
      <c r="S251" s="828"/>
      <c r="T251" s="828"/>
      <c r="U251" s="828"/>
      <c r="V251" s="828"/>
      <c r="W251" s="828"/>
      <c r="X251" s="828"/>
      <c r="Y251" s="828"/>
      <c r="Z251" s="828"/>
      <c r="AA251" s="828"/>
      <c r="AB251" s="828"/>
      <c r="AC251" s="828"/>
      <c r="AD251" s="828"/>
      <c r="AE251" s="828"/>
      <c r="AF251" s="828"/>
      <c r="AG251" s="828"/>
      <c r="AH251" s="828"/>
      <c r="AI251" s="828"/>
      <c r="AJ251" s="828"/>
      <c r="AK251" s="828"/>
      <c r="AL251" s="828"/>
      <c r="AM251" s="828"/>
      <c r="AN251" s="828"/>
      <c r="AO251" s="828"/>
      <c r="AP251" s="828"/>
      <c r="AQ251" s="828"/>
      <c r="AR251" s="829"/>
      <c r="AS251" s="845"/>
    </row>
    <row r="252" spans="1:45" ht="15.75" customHeight="1">
      <c r="A252" s="856"/>
      <c r="B252" s="460"/>
      <c r="C252" s="460"/>
      <c r="D252" s="460"/>
      <c r="E252" s="460"/>
      <c r="F252" s="460"/>
      <c r="G252" s="460"/>
      <c r="H252" s="857"/>
      <c r="I252" s="332">
        <f aca="true" t="shared" si="112" ref="I252:AQ252">IF(ISERR(CF$31),"",CF$31)</f>
      </c>
      <c r="J252" s="332">
        <f t="shared" si="112"/>
      </c>
      <c r="K252" s="332">
        <f t="shared" si="112"/>
      </c>
      <c r="L252" s="332">
        <f t="shared" si="112"/>
      </c>
      <c r="M252" s="332">
        <f t="shared" si="112"/>
      </c>
      <c r="N252" s="332">
        <f t="shared" si="112"/>
      </c>
      <c r="O252" s="332">
        <f t="shared" si="112"/>
      </c>
      <c r="P252" s="332">
        <f t="shared" si="112"/>
      </c>
      <c r="Q252" s="332">
        <f t="shared" si="112"/>
      </c>
      <c r="R252" s="332">
        <f t="shared" si="112"/>
      </c>
      <c r="S252" s="332">
        <f t="shared" si="112"/>
      </c>
      <c r="T252" s="332">
        <f t="shared" si="112"/>
      </c>
      <c r="U252" s="332">
        <f t="shared" si="112"/>
      </c>
      <c r="V252" s="332">
        <f t="shared" si="112"/>
      </c>
      <c r="W252" s="332">
        <f t="shared" si="112"/>
      </c>
      <c r="X252" s="332">
        <f t="shared" si="112"/>
      </c>
      <c r="Y252" s="332">
        <f t="shared" si="112"/>
      </c>
      <c r="Z252" s="332">
        <f t="shared" si="112"/>
      </c>
      <c r="AA252" s="332">
        <f t="shared" si="112"/>
      </c>
      <c r="AB252" s="332">
        <f t="shared" si="112"/>
      </c>
      <c r="AC252" s="332">
        <f t="shared" si="112"/>
      </c>
      <c r="AD252" s="332">
        <f t="shared" si="112"/>
      </c>
      <c r="AE252" s="332">
        <f t="shared" si="112"/>
      </c>
      <c r="AF252" s="332">
        <f t="shared" si="112"/>
      </c>
      <c r="AG252" s="332">
        <f t="shared" si="112"/>
      </c>
      <c r="AH252" s="332">
        <f t="shared" si="112"/>
      </c>
      <c r="AI252" s="332">
        <f t="shared" si="112"/>
      </c>
      <c r="AJ252" s="332">
        <f t="shared" si="112"/>
      </c>
      <c r="AK252" s="332">
        <f t="shared" si="112"/>
      </c>
      <c r="AL252" s="332">
        <f t="shared" si="112"/>
      </c>
      <c r="AM252" s="332">
        <f t="shared" si="112"/>
      </c>
      <c r="AN252" s="332">
        <f t="shared" si="112"/>
      </c>
      <c r="AO252" s="332">
        <f t="shared" si="112"/>
      </c>
      <c r="AP252" s="332">
        <f t="shared" si="112"/>
      </c>
      <c r="AQ252" s="332">
        <f t="shared" si="112"/>
      </c>
      <c r="AR252" s="322"/>
      <c r="AS252" s="845"/>
    </row>
    <row r="253" spans="1:45" ht="7.5" customHeight="1">
      <c r="A253" s="827"/>
      <c r="B253" s="828"/>
      <c r="C253" s="828"/>
      <c r="D253" s="828"/>
      <c r="E253" s="828"/>
      <c r="F253" s="828"/>
      <c r="G253" s="828"/>
      <c r="H253" s="828"/>
      <c r="I253" s="828"/>
      <c r="J253" s="828"/>
      <c r="K253" s="828"/>
      <c r="L253" s="828"/>
      <c r="M253" s="828"/>
      <c r="N253" s="828"/>
      <c r="O253" s="828"/>
      <c r="P253" s="828"/>
      <c r="Q253" s="828"/>
      <c r="R253" s="828"/>
      <c r="S253" s="828"/>
      <c r="T253" s="828"/>
      <c r="U253" s="828"/>
      <c r="V253" s="828"/>
      <c r="W253" s="828"/>
      <c r="X253" s="828"/>
      <c r="Y253" s="828"/>
      <c r="Z253" s="828"/>
      <c r="AA253" s="828"/>
      <c r="AB253" s="828"/>
      <c r="AC253" s="828"/>
      <c r="AD253" s="828"/>
      <c r="AE253" s="828"/>
      <c r="AF253" s="828"/>
      <c r="AG253" s="828"/>
      <c r="AH253" s="828"/>
      <c r="AI253" s="828"/>
      <c r="AJ253" s="828"/>
      <c r="AK253" s="828"/>
      <c r="AL253" s="828"/>
      <c r="AM253" s="828"/>
      <c r="AN253" s="828"/>
      <c r="AO253" s="828"/>
      <c r="AP253" s="828"/>
      <c r="AQ253" s="828"/>
      <c r="AR253" s="829"/>
      <c r="AS253" s="845"/>
    </row>
    <row r="254" spans="1:45" ht="15.75" customHeight="1">
      <c r="A254" s="855" t="str">
        <f>A228</f>
        <v>ANSCHRIFT</v>
      </c>
      <c r="B254" s="699"/>
      <c r="C254" s="699"/>
      <c r="D254" s="699"/>
      <c r="E254" s="699"/>
      <c r="F254" s="699"/>
      <c r="G254" s="699"/>
      <c r="H254" s="320"/>
      <c r="I254" s="332">
        <f aca="true" t="shared" si="113" ref="I254:AQ254">IF(ISERR(AW$35),"",AW$35)</f>
      </c>
      <c r="J254" s="332">
        <f t="shared" si="113"/>
      </c>
      <c r="K254" s="332">
        <f t="shared" si="113"/>
      </c>
      <c r="L254" s="332">
        <f t="shared" si="113"/>
      </c>
      <c r="M254" s="332">
        <f t="shared" si="113"/>
      </c>
      <c r="N254" s="332">
        <f t="shared" si="113"/>
      </c>
      <c r="O254" s="332">
        <f t="shared" si="113"/>
      </c>
      <c r="P254" s="332">
        <f t="shared" si="113"/>
      </c>
      <c r="Q254" s="332">
        <f t="shared" si="113"/>
      </c>
      <c r="R254" s="332">
        <f t="shared" si="113"/>
      </c>
      <c r="S254" s="332">
        <f t="shared" si="113"/>
      </c>
      <c r="T254" s="332">
        <f t="shared" si="113"/>
      </c>
      <c r="U254" s="332">
        <f t="shared" si="113"/>
      </c>
      <c r="V254" s="332">
        <f t="shared" si="113"/>
      </c>
      <c r="W254" s="332">
        <f t="shared" si="113"/>
      </c>
      <c r="X254" s="332">
        <f t="shared" si="113"/>
      </c>
      <c r="Y254" s="332">
        <f t="shared" si="113"/>
      </c>
      <c r="Z254" s="332">
        <f t="shared" si="113"/>
      </c>
      <c r="AA254" s="332">
        <f t="shared" si="113"/>
      </c>
      <c r="AB254" s="332">
        <f t="shared" si="113"/>
      </c>
      <c r="AC254" s="332">
        <f t="shared" si="113"/>
      </c>
      <c r="AD254" s="332">
        <f t="shared" si="113"/>
      </c>
      <c r="AE254" s="332">
        <f t="shared" si="113"/>
      </c>
      <c r="AF254" s="332">
        <f t="shared" si="113"/>
      </c>
      <c r="AG254" s="332">
        <f t="shared" si="113"/>
      </c>
      <c r="AH254" s="332">
        <f t="shared" si="113"/>
      </c>
      <c r="AI254" s="332">
        <f t="shared" si="113"/>
      </c>
      <c r="AJ254" s="332">
        <f t="shared" si="113"/>
      </c>
      <c r="AK254" s="332">
        <f t="shared" si="113"/>
      </c>
      <c r="AL254" s="332">
        <f t="shared" si="113"/>
      </c>
      <c r="AM254" s="332">
        <f t="shared" si="113"/>
      </c>
      <c r="AN254" s="332">
        <f t="shared" si="113"/>
      </c>
      <c r="AO254" s="332">
        <f t="shared" si="113"/>
      </c>
      <c r="AP254" s="332">
        <f t="shared" si="113"/>
      </c>
      <c r="AQ254" s="332">
        <f t="shared" si="113"/>
      </c>
      <c r="AR254" s="322"/>
      <c r="AS254" s="845"/>
    </row>
    <row r="255" spans="1:45" ht="7.5" customHeight="1">
      <c r="A255" s="827"/>
      <c r="B255" s="828"/>
      <c r="C255" s="828"/>
      <c r="D255" s="828"/>
      <c r="E255" s="828"/>
      <c r="F255" s="828"/>
      <c r="G255" s="828"/>
      <c r="H255" s="828"/>
      <c r="I255" s="828"/>
      <c r="J255" s="828"/>
      <c r="K255" s="828"/>
      <c r="L255" s="828"/>
      <c r="M255" s="828"/>
      <c r="N255" s="828"/>
      <c r="O255" s="828"/>
      <c r="P255" s="828"/>
      <c r="Q255" s="828"/>
      <c r="R255" s="828"/>
      <c r="S255" s="828"/>
      <c r="T255" s="828"/>
      <c r="U255" s="828"/>
      <c r="V255" s="828"/>
      <c r="W255" s="828"/>
      <c r="X255" s="828"/>
      <c r="Y255" s="828"/>
      <c r="Z255" s="828"/>
      <c r="AA255" s="828"/>
      <c r="AB255" s="828"/>
      <c r="AC255" s="828"/>
      <c r="AD255" s="828"/>
      <c r="AE255" s="828"/>
      <c r="AF255" s="828"/>
      <c r="AG255" s="828"/>
      <c r="AH255" s="828"/>
      <c r="AI255" s="828"/>
      <c r="AJ255" s="828"/>
      <c r="AK255" s="828"/>
      <c r="AL255" s="828"/>
      <c r="AM255" s="828"/>
      <c r="AN255" s="828"/>
      <c r="AO255" s="828"/>
      <c r="AP255" s="828"/>
      <c r="AQ255" s="828"/>
      <c r="AR255" s="829"/>
      <c r="AS255" s="845"/>
    </row>
    <row r="256" spans="1:45" ht="15.75" customHeight="1">
      <c r="A256" s="856"/>
      <c r="B256" s="460"/>
      <c r="C256" s="460"/>
      <c r="D256" s="460"/>
      <c r="E256" s="460"/>
      <c r="F256" s="460"/>
      <c r="G256" s="460"/>
      <c r="H256" s="857"/>
      <c r="I256" s="332">
        <f aca="true" t="shared" si="114" ref="I256:AQ256">IF(ISERR(CF$35),"",CF$35)</f>
      </c>
      <c r="J256" s="332">
        <f t="shared" si="114"/>
      </c>
      <c r="K256" s="332">
        <f t="shared" si="114"/>
      </c>
      <c r="L256" s="332">
        <f t="shared" si="114"/>
      </c>
      <c r="M256" s="332">
        <f t="shared" si="114"/>
      </c>
      <c r="N256" s="332">
        <f t="shared" si="114"/>
      </c>
      <c r="O256" s="332">
        <f t="shared" si="114"/>
      </c>
      <c r="P256" s="332">
        <f t="shared" si="114"/>
      </c>
      <c r="Q256" s="332">
        <f t="shared" si="114"/>
      </c>
      <c r="R256" s="332">
        <f t="shared" si="114"/>
      </c>
      <c r="S256" s="332">
        <f t="shared" si="114"/>
      </c>
      <c r="T256" s="332">
        <f t="shared" si="114"/>
      </c>
      <c r="U256" s="332">
        <f t="shared" si="114"/>
      </c>
      <c r="V256" s="332">
        <f t="shared" si="114"/>
      </c>
      <c r="W256" s="332">
        <f t="shared" si="114"/>
      </c>
      <c r="X256" s="332">
        <f t="shared" si="114"/>
      </c>
      <c r="Y256" s="332">
        <f t="shared" si="114"/>
      </c>
      <c r="Z256" s="332">
        <f t="shared" si="114"/>
      </c>
      <c r="AA256" s="332">
        <f t="shared" si="114"/>
      </c>
      <c r="AB256" s="332">
        <f t="shared" si="114"/>
      </c>
      <c r="AC256" s="332">
        <f t="shared" si="114"/>
      </c>
      <c r="AD256" s="332">
        <f t="shared" si="114"/>
      </c>
      <c r="AE256" s="332">
        <f t="shared" si="114"/>
      </c>
      <c r="AF256" s="332">
        <f t="shared" si="114"/>
      </c>
      <c r="AG256" s="332">
        <f t="shared" si="114"/>
      </c>
      <c r="AH256" s="332">
        <f t="shared" si="114"/>
      </c>
      <c r="AI256" s="332">
        <f t="shared" si="114"/>
      </c>
      <c r="AJ256" s="332">
        <f t="shared" si="114"/>
      </c>
      <c r="AK256" s="332">
        <f t="shared" si="114"/>
      </c>
      <c r="AL256" s="332">
        <f t="shared" si="114"/>
      </c>
      <c r="AM256" s="332">
        <f t="shared" si="114"/>
      </c>
      <c r="AN256" s="332">
        <f t="shared" si="114"/>
      </c>
      <c r="AO256" s="332">
        <f t="shared" si="114"/>
      </c>
      <c r="AP256" s="332">
        <f t="shared" si="114"/>
      </c>
      <c r="AQ256" s="332">
        <f t="shared" si="114"/>
      </c>
      <c r="AR256" s="322"/>
      <c r="AS256" s="845"/>
    </row>
    <row r="257" spans="1:45" ht="9" customHeight="1">
      <c r="A257" s="858"/>
      <c r="B257" s="849"/>
      <c r="C257" s="849"/>
      <c r="D257" s="849"/>
      <c r="E257" s="849"/>
      <c r="F257" s="849"/>
      <c r="G257" s="849"/>
      <c r="H257" s="849"/>
      <c r="I257" s="849"/>
      <c r="J257" s="849"/>
      <c r="K257" s="849"/>
      <c r="L257" s="849"/>
      <c r="M257" s="849"/>
      <c r="N257" s="849"/>
      <c r="O257" s="849"/>
      <c r="P257" s="849"/>
      <c r="Q257" s="849"/>
      <c r="R257" s="849"/>
      <c r="S257" s="849"/>
      <c r="T257" s="849"/>
      <c r="U257" s="849"/>
      <c r="V257" s="849"/>
      <c r="W257" s="849"/>
      <c r="X257" s="849"/>
      <c r="Y257" s="849"/>
      <c r="Z257" s="849"/>
      <c r="AA257" s="849"/>
      <c r="AB257" s="849"/>
      <c r="AC257" s="849"/>
      <c r="AD257" s="849"/>
      <c r="AE257" s="849"/>
      <c r="AF257" s="849"/>
      <c r="AG257" s="849"/>
      <c r="AH257" s="849"/>
      <c r="AI257" s="849"/>
      <c r="AJ257" s="849"/>
      <c r="AK257" s="849"/>
      <c r="AL257" s="849"/>
      <c r="AM257" s="849"/>
      <c r="AN257" s="849"/>
      <c r="AO257" s="849"/>
      <c r="AP257" s="849"/>
      <c r="AQ257" s="849"/>
      <c r="AR257" s="859"/>
      <c r="AS257" s="845"/>
    </row>
    <row r="258" spans="1:45" ht="15" customHeight="1">
      <c r="A258" s="830" t="str">
        <f>A232</f>
        <v>ORT</v>
      </c>
      <c r="B258" s="831"/>
      <c r="C258" s="831"/>
      <c r="D258" s="831"/>
      <c r="E258" s="831"/>
      <c r="F258" s="831"/>
      <c r="G258" s="831"/>
      <c r="H258" s="320"/>
      <c r="I258" s="332">
        <f aca="true" t="shared" si="115" ref="I258:AQ258">IF(ISERR(AW$39),"",AW$39)</f>
      </c>
      <c r="J258" s="332">
        <f t="shared" si="115"/>
      </c>
      <c r="K258" s="332">
        <f t="shared" si="115"/>
      </c>
      <c r="L258" s="332">
        <f t="shared" si="115"/>
      </c>
      <c r="M258" s="332">
        <f t="shared" si="115"/>
      </c>
      <c r="N258" s="332">
        <f t="shared" si="115"/>
      </c>
      <c r="O258" s="332">
        <f t="shared" si="115"/>
      </c>
      <c r="P258" s="332">
        <f t="shared" si="115"/>
      </c>
      <c r="Q258" s="332">
        <f t="shared" si="115"/>
      </c>
      <c r="R258" s="332">
        <f t="shared" si="115"/>
      </c>
      <c r="S258" s="332">
        <f t="shared" si="115"/>
      </c>
      <c r="T258" s="332">
        <f t="shared" si="115"/>
      </c>
      <c r="U258" s="332">
        <f t="shared" si="115"/>
      </c>
      <c r="V258" s="332">
        <f t="shared" si="115"/>
      </c>
      <c r="W258" s="332">
        <f t="shared" si="115"/>
      </c>
      <c r="X258" s="332">
        <f t="shared" si="115"/>
      </c>
      <c r="Y258" s="332">
        <f t="shared" si="115"/>
      </c>
      <c r="Z258" s="332">
        <f t="shared" si="115"/>
      </c>
      <c r="AA258" s="332">
        <f t="shared" si="115"/>
      </c>
      <c r="AB258" s="332">
        <f t="shared" si="115"/>
      </c>
      <c r="AC258" s="332">
        <f t="shared" si="115"/>
      </c>
      <c r="AD258" s="332">
        <f t="shared" si="115"/>
      </c>
      <c r="AE258" s="332">
        <f t="shared" si="115"/>
      </c>
      <c r="AF258" s="332">
        <f t="shared" si="115"/>
      </c>
      <c r="AG258" s="332">
        <f t="shared" si="115"/>
      </c>
      <c r="AH258" s="332">
        <f t="shared" si="115"/>
      </c>
      <c r="AI258" s="332">
        <f t="shared" si="115"/>
      </c>
      <c r="AJ258" s="332">
        <f t="shared" si="115"/>
      </c>
      <c r="AK258" s="332">
        <f t="shared" si="115"/>
      </c>
      <c r="AL258" s="332">
        <f t="shared" si="115"/>
      </c>
      <c r="AM258" s="332">
        <f t="shared" si="115"/>
      </c>
      <c r="AN258" s="332">
        <f t="shared" si="115"/>
      </c>
      <c r="AO258" s="332">
        <f t="shared" si="115"/>
      </c>
      <c r="AP258" s="332">
        <f t="shared" si="115"/>
      </c>
      <c r="AQ258" s="332">
        <f t="shared" si="115"/>
      </c>
      <c r="AR258" s="322"/>
      <c r="AS258" s="845"/>
    </row>
    <row r="259" spans="1:45" ht="6.75" customHeight="1">
      <c r="A259" s="858"/>
      <c r="B259" s="849"/>
      <c r="C259" s="849"/>
      <c r="D259" s="849"/>
      <c r="E259" s="849"/>
      <c r="F259" s="849"/>
      <c r="G259" s="849"/>
      <c r="H259" s="849"/>
      <c r="I259" s="849"/>
      <c r="J259" s="849"/>
      <c r="K259" s="849"/>
      <c r="L259" s="849"/>
      <c r="M259" s="849"/>
      <c r="N259" s="849"/>
      <c r="O259" s="849"/>
      <c r="P259" s="849"/>
      <c r="Q259" s="849"/>
      <c r="R259" s="849"/>
      <c r="S259" s="849"/>
      <c r="T259" s="849"/>
      <c r="U259" s="849"/>
      <c r="V259" s="849"/>
      <c r="W259" s="849"/>
      <c r="X259" s="849"/>
      <c r="Y259" s="849"/>
      <c r="Z259" s="849"/>
      <c r="AA259" s="849"/>
      <c r="AB259" s="849"/>
      <c r="AC259" s="849"/>
      <c r="AD259" s="849"/>
      <c r="AE259" s="849"/>
      <c r="AF259" s="849"/>
      <c r="AG259" s="849"/>
      <c r="AH259" s="849"/>
      <c r="AI259" s="849"/>
      <c r="AJ259" s="849"/>
      <c r="AK259" s="849"/>
      <c r="AL259" s="849"/>
      <c r="AM259" s="849"/>
      <c r="AN259" s="849"/>
      <c r="AO259" s="849"/>
      <c r="AP259" s="849"/>
      <c r="AQ259" s="849"/>
      <c r="AR259" s="859"/>
      <c r="AS259" s="845"/>
    </row>
    <row r="260" spans="1:45" ht="15">
      <c r="A260" s="830" t="str">
        <f>A234</f>
        <v>POSTLEITZAHL</v>
      </c>
      <c r="B260" s="831"/>
      <c r="C260" s="831"/>
      <c r="D260" s="831"/>
      <c r="E260" s="831"/>
      <c r="F260" s="831"/>
      <c r="G260" s="831"/>
      <c r="H260" s="320"/>
      <c r="I260" s="332">
        <f>IF(ISERR(AW$41),"",AW$41)</f>
      </c>
      <c r="J260" s="332">
        <f>IF(ISERR(AX$41),"",AX$41)</f>
      </c>
      <c r="K260" s="332">
        <f>IF(ISERR(AY$41),"",AY$41)</f>
      </c>
      <c r="L260" s="332">
        <f>IF(ISERR(AZ$41),"",AZ$41)</f>
      </c>
      <c r="M260" s="832"/>
      <c r="N260" s="469"/>
      <c r="O260" s="469"/>
      <c r="P260" s="469"/>
      <c r="Q260" s="469"/>
      <c r="R260" s="469"/>
      <c r="S260" s="469"/>
      <c r="T260" s="469"/>
      <c r="U260" s="469"/>
      <c r="V260" s="469"/>
      <c r="W260" s="469"/>
      <c r="X260" s="469"/>
      <c r="Y260" s="469"/>
      <c r="Z260" s="469"/>
      <c r="AA260" s="469"/>
      <c r="AB260" s="469"/>
      <c r="AC260" s="469"/>
      <c r="AD260" s="469"/>
      <c r="AE260" s="469"/>
      <c r="AF260" s="469"/>
      <c r="AG260" s="469"/>
      <c r="AH260" s="469"/>
      <c r="AI260" s="469"/>
      <c r="AJ260" s="469"/>
      <c r="AK260" s="469"/>
      <c r="AL260" s="469"/>
      <c r="AM260" s="469"/>
      <c r="AN260" s="469"/>
      <c r="AO260" s="469"/>
      <c r="AP260" s="469"/>
      <c r="AQ260" s="469"/>
      <c r="AR260" s="833"/>
      <c r="AS260" s="845"/>
    </row>
    <row r="261" spans="1:45" ht="6.75" customHeight="1">
      <c r="A261" s="827"/>
      <c r="B261" s="828"/>
      <c r="C261" s="828"/>
      <c r="D261" s="828"/>
      <c r="E261" s="828"/>
      <c r="F261" s="828"/>
      <c r="G261" s="828"/>
      <c r="H261" s="828"/>
      <c r="I261" s="828"/>
      <c r="J261" s="828"/>
      <c r="K261" s="828"/>
      <c r="L261" s="828"/>
      <c r="M261" s="828"/>
      <c r="N261" s="828"/>
      <c r="O261" s="828"/>
      <c r="P261" s="828"/>
      <c r="Q261" s="828"/>
      <c r="R261" s="828"/>
      <c r="S261" s="828"/>
      <c r="T261" s="828"/>
      <c r="U261" s="828"/>
      <c r="V261" s="828"/>
      <c r="W261" s="828"/>
      <c r="X261" s="828"/>
      <c r="Y261" s="828"/>
      <c r="Z261" s="828"/>
      <c r="AA261" s="828"/>
      <c r="AB261" s="828"/>
      <c r="AC261" s="828"/>
      <c r="AD261" s="828"/>
      <c r="AE261" s="828"/>
      <c r="AF261" s="828"/>
      <c r="AG261" s="828"/>
      <c r="AH261" s="828"/>
      <c r="AI261" s="828"/>
      <c r="AJ261" s="828"/>
      <c r="AK261" s="828"/>
      <c r="AL261" s="828"/>
      <c r="AM261" s="828"/>
      <c r="AN261" s="828"/>
      <c r="AO261" s="828"/>
      <c r="AP261" s="828"/>
      <c r="AQ261" s="828"/>
      <c r="AR261" s="829"/>
      <c r="AS261" s="845"/>
    </row>
    <row r="262" spans="1:45" ht="15" customHeight="1">
      <c r="A262" s="830" t="s">
        <v>627</v>
      </c>
      <c r="B262" s="831"/>
      <c r="C262" s="831"/>
      <c r="D262" s="831"/>
      <c r="E262" s="831"/>
      <c r="F262" s="831"/>
      <c r="G262" s="831"/>
      <c r="H262" s="320"/>
      <c r="I262" s="331">
        <f aca="true" t="shared" si="116" ref="I262:AQ262">IF(ISERR(AW$45),"",AW$45)</f>
      </c>
      <c r="J262" s="331">
        <f t="shared" si="116"/>
      </c>
      <c r="K262" s="331">
        <f t="shared" si="116"/>
      </c>
      <c r="L262" s="331">
        <f t="shared" si="116"/>
      </c>
      <c r="M262" s="331">
        <f t="shared" si="116"/>
      </c>
      <c r="N262" s="331">
        <f t="shared" si="116"/>
      </c>
      <c r="O262" s="331">
        <f t="shared" si="116"/>
      </c>
      <c r="P262" s="331">
        <f t="shared" si="116"/>
      </c>
      <c r="Q262" s="331">
        <f t="shared" si="116"/>
      </c>
      <c r="R262" s="331">
        <f t="shared" si="116"/>
      </c>
      <c r="S262" s="331">
        <f t="shared" si="116"/>
      </c>
      <c r="T262" s="331">
        <f t="shared" si="116"/>
      </c>
      <c r="U262" s="331">
        <f t="shared" si="116"/>
      </c>
      <c r="V262" s="331">
        <f t="shared" si="116"/>
      </c>
      <c r="W262" s="331">
        <f t="shared" si="116"/>
      </c>
      <c r="X262" s="331">
        <f t="shared" si="116"/>
      </c>
      <c r="Y262" s="331">
        <f t="shared" si="116"/>
      </c>
      <c r="Z262" s="331">
        <f t="shared" si="116"/>
      </c>
      <c r="AA262" s="331">
        <f t="shared" si="116"/>
      </c>
      <c r="AB262" s="331">
        <f t="shared" si="116"/>
      </c>
      <c r="AC262" s="331">
        <f t="shared" si="116"/>
      </c>
      <c r="AD262" s="331">
        <f t="shared" si="116"/>
      </c>
      <c r="AE262" s="331">
        <f t="shared" si="116"/>
      </c>
      <c r="AF262" s="331">
        <f t="shared" si="116"/>
      </c>
      <c r="AG262" s="331">
        <f t="shared" si="116"/>
      </c>
      <c r="AH262" s="331">
        <f t="shared" si="116"/>
      </c>
      <c r="AI262" s="331">
        <f t="shared" si="116"/>
      </c>
      <c r="AJ262" s="331">
        <f t="shared" si="116"/>
      </c>
      <c r="AK262" s="331">
        <f t="shared" si="116"/>
      </c>
      <c r="AL262" s="331">
        <f t="shared" si="116"/>
      </c>
      <c r="AM262" s="331">
        <f t="shared" si="116"/>
      </c>
      <c r="AN262" s="331">
        <f t="shared" si="116"/>
      </c>
      <c r="AO262" s="331">
        <f t="shared" si="116"/>
      </c>
      <c r="AP262" s="331">
        <f t="shared" si="116"/>
      </c>
      <c r="AQ262" s="332">
        <f t="shared" si="116"/>
      </c>
      <c r="AR262" s="323"/>
      <c r="AS262" s="845"/>
    </row>
    <row r="263" spans="1:45" ht="12.75" customHeight="1">
      <c r="A263" s="827"/>
      <c r="B263" s="828"/>
      <c r="C263" s="828"/>
      <c r="D263" s="828"/>
      <c r="E263" s="828"/>
      <c r="F263" s="828"/>
      <c r="G263" s="828"/>
      <c r="H263" s="828"/>
      <c r="I263" s="828"/>
      <c r="J263" s="828"/>
      <c r="K263" s="828"/>
      <c r="L263" s="828"/>
      <c r="M263" s="828"/>
      <c r="N263" s="828"/>
      <c r="O263" s="828"/>
      <c r="P263" s="828"/>
      <c r="Q263" s="828"/>
      <c r="R263" s="828"/>
      <c r="S263" s="828"/>
      <c r="T263" s="828"/>
      <c r="U263" s="828"/>
      <c r="V263" s="828"/>
      <c r="W263" s="828"/>
      <c r="X263" s="828"/>
      <c r="Y263" s="828"/>
      <c r="Z263" s="828"/>
      <c r="AA263" s="828"/>
      <c r="AB263" s="828"/>
      <c r="AC263" s="828"/>
      <c r="AD263" s="828"/>
      <c r="AE263" s="828"/>
      <c r="AF263" s="828"/>
      <c r="AG263" s="828"/>
      <c r="AH263" s="828"/>
      <c r="AI263" s="828"/>
      <c r="AJ263" s="828"/>
      <c r="AK263" s="828"/>
      <c r="AL263" s="828"/>
      <c r="AM263" s="828"/>
      <c r="AN263" s="828"/>
      <c r="AO263" s="828"/>
      <c r="AP263" s="828"/>
      <c r="AQ263" s="828"/>
      <c r="AR263" s="829"/>
      <c r="AS263" s="845"/>
    </row>
    <row r="264" spans="1:45" ht="15" customHeight="1">
      <c r="A264" s="855" t="s">
        <v>394</v>
      </c>
      <c r="B264" s="699"/>
      <c r="C264" s="699"/>
      <c r="D264" s="699"/>
      <c r="E264" s="699"/>
      <c r="F264" s="699"/>
      <c r="G264" s="699"/>
      <c r="H264" s="320"/>
      <c r="I264" s="332">
        <f>IF(ISERR(AW$43),"",AW$43)</f>
      </c>
      <c r="J264" s="332">
        <f>IF(ISERR(AX$43),"",AX$43)</f>
      </c>
      <c r="K264" s="332">
        <f>IF(ISERR(AY$43),"",AY$43)</f>
      </c>
      <c r="L264" s="335" t="str">
        <f>"-"</f>
        <v>-</v>
      </c>
      <c r="M264" s="332">
        <f aca="true" t="shared" si="117" ref="M264:S264">IF(ISERR(BA$43),"",BA$43)</f>
      </c>
      <c r="N264" s="332">
        <f t="shared" si="117"/>
      </c>
      <c r="O264" s="332">
        <f t="shared" si="117"/>
      </c>
      <c r="P264" s="332">
        <f t="shared" si="117"/>
      </c>
      <c r="Q264" s="332">
        <f t="shared" si="117"/>
      </c>
      <c r="R264" s="332">
        <f t="shared" si="117"/>
      </c>
      <c r="S264" s="332">
        <f t="shared" si="117"/>
      </c>
      <c r="T264" s="335" t="str">
        <f>"-"</f>
        <v>-</v>
      </c>
      <c r="U264" s="332">
        <f>IF(ISERR(BI$43),"",BI$43)</f>
      </c>
      <c r="V264" s="332">
        <f>IF(ISERR(BJ$43),"",BJ$43)</f>
      </c>
      <c r="W264" s="332">
        <f>IF(ISERR(BK$43),"",BK$43)</f>
      </c>
      <c r="X264" s="851"/>
      <c r="Y264" s="852"/>
      <c r="Z264" s="852"/>
      <c r="AA264" s="852"/>
      <c r="AB264" s="852"/>
      <c r="AC264" s="852"/>
      <c r="AD264" s="852"/>
      <c r="AE264" s="852"/>
      <c r="AF264" s="852"/>
      <c r="AG264" s="852"/>
      <c r="AH264" s="852"/>
      <c r="AI264" s="852"/>
      <c r="AJ264" s="852"/>
      <c r="AK264" s="852"/>
      <c r="AL264" s="852"/>
      <c r="AM264" s="852"/>
      <c r="AN264" s="852"/>
      <c r="AO264" s="852"/>
      <c r="AP264" s="852"/>
      <c r="AQ264" s="852"/>
      <c r="AR264" s="329"/>
      <c r="AS264" s="845"/>
    </row>
    <row r="265" spans="1:45" ht="15" customHeight="1">
      <c r="A265" s="827"/>
      <c r="B265" s="828"/>
      <c r="C265" s="828"/>
      <c r="D265" s="828"/>
      <c r="E265" s="828"/>
      <c r="F265" s="828"/>
      <c r="G265" s="828"/>
      <c r="H265" s="828"/>
      <c r="I265" s="828"/>
      <c r="J265" s="828"/>
      <c r="K265" s="828"/>
      <c r="L265" s="828"/>
      <c r="M265" s="828"/>
      <c r="N265" s="828"/>
      <c r="O265" s="828"/>
      <c r="P265" s="828"/>
      <c r="Q265" s="828"/>
      <c r="R265" s="828"/>
      <c r="S265" s="828"/>
      <c r="T265" s="828"/>
      <c r="U265" s="828"/>
      <c r="V265" s="828"/>
      <c r="W265" s="828"/>
      <c r="X265" s="828"/>
      <c r="Y265" s="828"/>
      <c r="Z265" s="828"/>
      <c r="AA265" s="828"/>
      <c r="AB265" s="828"/>
      <c r="AC265" s="828"/>
      <c r="AD265" s="828"/>
      <c r="AE265" s="828"/>
      <c r="AF265" s="828"/>
      <c r="AG265" s="828"/>
      <c r="AH265" s="828"/>
      <c r="AI265" s="828"/>
      <c r="AJ265" s="828"/>
      <c r="AK265" s="828"/>
      <c r="AL265" s="828"/>
      <c r="AM265" s="828"/>
      <c r="AN265" s="828"/>
      <c r="AO265" s="828"/>
      <c r="AP265" s="828"/>
      <c r="AQ265" s="828"/>
      <c r="AR265" s="829"/>
      <c r="AS265" s="845"/>
    </row>
    <row r="266" spans="1:55" s="320" customFormat="1" ht="15" customHeight="1">
      <c r="A266" s="830" t="s">
        <v>395</v>
      </c>
      <c r="B266" s="831"/>
      <c r="C266" s="831"/>
      <c r="D266" s="831"/>
      <c r="E266" s="831"/>
      <c r="F266" s="831"/>
      <c r="G266" s="831"/>
      <c r="I266" s="332">
        <f>IF(ISERR(AW$47),"",AW$47)</f>
      </c>
      <c r="J266" s="332">
        <f>IF(ISERR(AX$47),"",AX$47)</f>
      </c>
      <c r="K266" s="332">
        <f>IF(ISERR(AY$47),"",AY$47)</f>
      </c>
      <c r="L266" s="332">
        <f>IF(ISERR(AZ$47),"",AZ$47)</f>
      </c>
      <c r="M266" s="332">
        <f>IF(ISERR(BA$47),"",BA$47)</f>
      </c>
      <c r="N266" s="832"/>
      <c r="O266" s="469"/>
      <c r="P266" s="469"/>
      <c r="Q266" s="469"/>
      <c r="R266" s="469"/>
      <c r="S266" s="469"/>
      <c r="T266" s="469"/>
      <c r="U266" s="469"/>
      <c r="V266" s="469"/>
      <c r="W266" s="469"/>
      <c r="X266" s="469"/>
      <c r="Y266" s="469"/>
      <c r="Z266" s="469"/>
      <c r="AA266" s="469"/>
      <c r="AB266" s="469"/>
      <c r="AC266" s="469"/>
      <c r="AD266" s="469"/>
      <c r="AE266" s="469"/>
      <c r="AF266" s="469"/>
      <c r="AG266" s="469"/>
      <c r="AH266" s="469"/>
      <c r="AI266" s="469"/>
      <c r="AJ266" s="469"/>
      <c r="AK266" s="469"/>
      <c r="AL266" s="469"/>
      <c r="AM266" s="469"/>
      <c r="AN266" s="469"/>
      <c r="AO266" s="469"/>
      <c r="AP266" s="469"/>
      <c r="AQ266" s="469"/>
      <c r="AR266" s="833"/>
      <c r="AS266" s="845"/>
      <c r="BC266" s="325"/>
    </row>
    <row r="267" spans="1:45" ht="6.75" customHeight="1" thickBot="1">
      <c r="A267" s="834"/>
      <c r="B267" s="835"/>
      <c r="C267" s="835"/>
      <c r="D267" s="835"/>
      <c r="E267" s="835"/>
      <c r="F267" s="835"/>
      <c r="G267" s="835"/>
      <c r="H267" s="835"/>
      <c r="I267" s="835"/>
      <c r="J267" s="835"/>
      <c r="K267" s="835"/>
      <c r="L267" s="835"/>
      <c r="M267" s="835"/>
      <c r="N267" s="835"/>
      <c r="O267" s="835"/>
      <c r="P267" s="835"/>
      <c r="Q267" s="835"/>
      <c r="R267" s="835"/>
      <c r="S267" s="835"/>
      <c r="T267" s="835"/>
      <c r="U267" s="835"/>
      <c r="V267" s="835"/>
      <c r="W267" s="835"/>
      <c r="X267" s="835"/>
      <c r="Y267" s="835"/>
      <c r="Z267" s="835"/>
      <c r="AA267" s="835"/>
      <c r="AB267" s="835"/>
      <c r="AC267" s="835"/>
      <c r="AD267" s="835"/>
      <c r="AE267" s="835"/>
      <c r="AF267" s="835"/>
      <c r="AG267" s="835"/>
      <c r="AH267" s="835"/>
      <c r="AI267" s="835"/>
      <c r="AJ267" s="835"/>
      <c r="AK267" s="835"/>
      <c r="AL267" s="835"/>
      <c r="AM267" s="835"/>
      <c r="AN267" s="835"/>
      <c r="AO267" s="835"/>
      <c r="AP267" s="835"/>
      <c r="AQ267" s="835"/>
      <c r="AR267" s="836"/>
      <c r="AS267" s="845"/>
    </row>
    <row r="268" spans="1:45" ht="15" customHeight="1" thickBot="1" thickTop="1">
      <c r="A268" s="854"/>
      <c r="B268" s="854"/>
      <c r="C268" s="854"/>
      <c r="D268" s="854"/>
      <c r="E268" s="854"/>
      <c r="F268" s="854"/>
      <c r="G268" s="854"/>
      <c r="H268" s="854"/>
      <c r="I268" s="854"/>
      <c r="J268" s="854"/>
      <c r="K268" s="854"/>
      <c r="L268" s="854"/>
      <c r="M268" s="854"/>
      <c r="N268" s="854"/>
      <c r="O268" s="854"/>
      <c r="P268" s="854"/>
      <c r="Q268" s="854"/>
      <c r="R268" s="854"/>
      <c r="S268" s="854"/>
      <c r="T268" s="854"/>
      <c r="U268" s="854"/>
      <c r="V268" s="854"/>
      <c r="W268" s="854"/>
      <c r="X268" s="854"/>
      <c r="Y268" s="854"/>
      <c r="Z268" s="854"/>
      <c r="AA268" s="854"/>
      <c r="AB268" s="854"/>
      <c r="AC268" s="854"/>
      <c r="AD268" s="854"/>
      <c r="AE268" s="854"/>
      <c r="AF268" s="854"/>
      <c r="AG268" s="854"/>
      <c r="AH268" s="854"/>
      <c r="AI268" s="854"/>
      <c r="AJ268" s="854"/>
      <c r="AK268" s="854"/>
      <c r="AL268" s="854"/>
      <c r="AM268" s="854"/>
      <c r="AN268" s="854"/>
      <c r="AO268" s="854"/>
      <c r="AP268" s="854"/>
      <c r="AQ268" s="854"/>
      <c r="AR268" s="854"/>
      <c r="AS268" s="845"/>
    </row>
    <row r="269" spans="1:45" ht="6.75" customHeight="1">
      <c r="A269" s="817"/>
      <c r="B269" s="818"/>
      <c r="C269" s="818"/>
      <c r="D269" s="818"/>
      <c r="E269" s="818"/>
      <c r="F269" s="818"/>
      <c r="G269" s="818"/>
      <c r="H269" s="818"/>
      <c r="I269" s="818"/>
      <c r="J269" s="818"/>
      <c r="K269" s="818"/>
      <c r="L269" s="818"/>
      <c r="M269" s="818"/>
      <c r="N269" s="818"/>
      <c r="O269" s="818"/>
      <c r="P269" s="818"/>
      <c r="Q269" s="818"/>
      <c r="R269" s="818"/>
      <c r="S269" s="818"/>
      <c r="T269" s="818"/>
      <c r="U269" s="818"/>
      <c r="V269" s="819"/>
      <c r="W269" s="818"/>
      <c r="X269" s="818"/>
      <c r="Y269" s="818"/>
      <c r="Z269" s="818"/>
      <c r="AA269" s="818"/>
      <c r="AB269" s="818"/>
      <c r="AC269" s="818"/>
      <c r="AD269" s="818"/>
      <c r="AE269" s="818"/>
      <c r="AF269" s="818"/>
      <c r="AG269" s="818"/>
      <c r="AH269" s="818"/>
      <c r="AI269" s="818"/>
      <c r="AJ269" s="818"/>
      <c r="AK269" s="818"/>
      <c r="AL269" s="818"/>
      <c r="AM269" s="818"/>
      <c r="AN269" s="818"/>
      <c r="AO269" s="818"/>
      <c r="AP269" s="818"/>
      <c r="AQ269" s="818"/>
      <c r="AR269" s="819"/>
      <c r="AS269" s="845"/>
    </row>
    <row r="270" spans="1:45" ht="15" customHeight="1">
      <c r="A270" s="820" t="s">
        <v>911</v>
      </c>
      <c r="B270" s="821"/>
      <c r="C270" s="821"/>
      <c r="D270" s="821"/>
      <c r="E270" s="821"/>
      <c r="F270" s="821"/>
      <c r="G270" s="821"/>
      <c r="H270" s="821"/>
      <c r="I270" s="821"/>
      <c r="J270" s="821"/>
      <c r="K270" s="821"/>
      <c r="L270" s="821"/>
      <c r="M270" s="821"/>
      <c r="N270" s="821"/>
      <c r="O270" s="821"/>
      <c r="P270" s="821"/>
      <c r="Q270" s="821"/>
      <c r="R270" s="821"/>
      <c r="S270" s="821"/>
      <c r="T270" s="821"/>
      <c r="U270" s="821"/>
      <c r="V270" s="822"/>
      <c r="W270" s="823" t="s">
        <v>912</v>
      </c>
      <c r="X270" s="824"/>
      <c r="Y270" s="824"/>
      <c r="Z270" s="824"/>
      <c r="AA270" s="824"/>
      <c r="AB270" s="824"/>
      <c r="AC270" s="824"/>
      <c r="AD270" s="824"/>
      <c r="AE270" s="824"/>
      <c r="AF270" s="824"/>
      <c r="AG270" s="824"/>
      <c r="AH270" s="824"/>
      <c r="AI270" s="824"/>
      <c r="AJ270" s="824"/>
      <c r="AK270" s="824"/>
      <c r="AL270" s="824"/>
      <c r="AM270" s="824"/>
      <c r="AN270" s="824"/>
      <c r="AO270" s="824"/>
      <c r="AP270" s="824"/>
      <c r="AQ270" s="824"/>
      <c r="AR270" s="825"/>
      <c r="AS270" s="845"/>
    </row>
    <row r="271" spans="1:45" ht="15" customHeight="1">
      <c r="A271" s="820"/>
      <c r="B271" s="821"/>
      <c r="C271" s="821"/>
      <c r="D271" s="821"/>
      <c r="E271" s="821"/>
      <c r="F271" s="821"/>
      <c r="G271" s="821"/>
      <c r="H271" s="821"/>
      <c r="I271" s="821"/>
      <c r="J271" s="821"/>
      <c r="K271" s="821"/>
      <c r="L271" s="821"/>
      <c r="M271" s="821"/>
      <c r="N271" s="821"/>
      <c r="O271" s="821"/>
      <c r="P271" s="821"/>
      <c r="Q271" s="821"/>
      <c r="R271" s="821"/>
      <c r="S271" s="821"/>
      <c r="T271" s="821"/>
      <c r="U271" s="821"/>
      <c r="V271" s="822"/>
      <c r="W271" s="826"/>
      <c r="X271" s="824"/>
      <c r="Y271" s="824"/>
      <c r="Z271" s="824"/>
      <c r="AA271" s="824"/>
      <c r="AB271" s="824"/>
      <c r="AC271" s="824"/>
      <c r="AD271" s="824"/>
      <c r="AE271" s="824"/>
      <c r="AF271" s="824"/>
      <c r="AG271" s="824"/>
      <c r="AH271" s="824"/>
      <c r="AI271" s="824"/>
      <c r="AJ271" s="824"/>
      <c r="AK271" s="824"/>
      <c r="AL271" s="824"/>
      <c r="AM271" s="824"/>
      <c r="AN271" s="824"/>
      <c r="AO271" s="824"/>
      <c r="AP271" s="824"/>
      <c r="AQ271" s="824"/>
      <c r="AR271" s="825"/>
      <c r="AS271" s="845"/>
    </row>
    <row r="272" spans="1:45" ht="9" customHeight="1">
      <c r="A272" s="837"/>
      <c r="B272" s="838"/>
      <c r="C272" s="838"/>
      <c r="D272" s="838"/>
      <c r="E272" s="838"/>
      <c r="F272" s="838"/>
      <c r="G272" s="838"/>
      <c r="H272" s="838"/>
      <c r="I272" s="838"/>
      <c r="J272" s="838"/>
      <c r="K272" s="838"/>
      <c r="L272" s="838"/>
      <c r="M272" s="838"/>
      <c r="N272" s="838"/>
      <c r="O272" s="838"/>
      <c r="P272" s="838"/>
      <c r="Q272" s="838"/>
      <c r="R272" s="838"/>
      <c r="S272" s="838"/>
      <c r="T272" s="838"/>
      <c r="U272" s="838"/>
      <c r="V272" s="839"/>
      <c r="W272" s="837"/>
      <c r="X272" s="838"/>
      <c r="Y272" s="838"/>
      <c r="Z272" s="838"/>
      <c r="AA272" s="838"/>
      <c r="AB272" s="838"/>
      <c r="AC272" s="838"/>
      <c r="AD272" s="838"/>
      <c r="AE272" s="838"/>
      <c r="AF272" s="838"/>
      <c r="AG272" s="838"/>
      <c r="AH272" s="838"/>
      <c r="AI272" s="838"/>
      <c r="AJ272" s="838"/>
      <c r="AK272" s="838"/>
      <c r="AL272" s="838"/>
      <c r="AM272" s="838"/>
      <c r="AN272" s="838"/>
      <c r="AO272" s="838"/>
      <c r="AP272" s="838"/>
      <c r="AQ272" s="838"/>
      <c r="AR272" s="839"/>
      <c r="AS272" s="845"/>
    </row>
    <row r="273" spans="1:45" ht="15.75" customHeight="1">
      <c r="A273" s="837"/>
      <c r="B273" s="838"/>
      <c r="C273" s="838"/>
      <c r="D273" s="838"/>
      <c r="E273" s="838"/>
      <c r="F273" s="838"/>
      <c r="G273" s="838"/>
      <c r="H273" s="838"/>
      <c r="I273" s="838"/>
      <c r="J273" s="838"/>
      <c r="K273" s="838"/>
      <c r="L273" s="838"/>
      <c r="M273" s="838"/>
      <c r="N273" s="838"/>
      <c r="O273" s="838"/>
      <c r="P273" s="838"/>
      <c r="Q273" s="838"/>
      <c r="R273" s="838"/>
      <c r="S273" s="838"/>
      <c r="T273" s="838"/>
      <c r="U273" s="838"/>
      <c r="V273" s="839"/>
      <c r="W273" s="837"/>
      <c r="X273" s="838"/>
      <c r="Y273" s="838"/>
      <c r="Z273" s="838"/>
      <c r="AA273" s="838"/>
      <c r="AB273" s="838"/>
      <c r="AC273" s="838"/>
      <c r="AD273" s="838"/>
      <c r="AE273" s="838"/>
      <c r="AF273" s="838"/>
      <c r="AG273" s="838"/>
      <c r="AH273" s="838"/>
      <c r="AI273" s="838"/>
      <c r="AJ273" s="838"/>
      <c r="AK273" s="838"/>
      <c r="AL273" s="838"/>
      <c r="AM273" s="838"/>
      <c r="AN273" s="838"/>
      <c r="AO273" s="838"/>
      <c r="AP273" s="838"/>
      <c r="AQ273" s="838"/>
      <c r="AR273" s="839"/>
      <c r="AS273" s="845"/>
    </row>
    <row r="274" spans="1:45" ht="7.5" customHeight="1">
      <c r="A274" s="837"/>
      <c r="B274" s="838"/>
      <c r="C274" s="838"/>
      <c r="D274" s="838"/>
      <c r="E274" s="838"/>
      <c r="F274" s="838"/>
      <c r="G274" s="838"/>
      <c r="H274" s="838"/>
      <c r="I274" s="838"/>
      <c r="J274" s="838"/>
      <c r="K274" s="838"/>
      <c r="L274" s="838"/>
      <c r="M274" s="838"/>
      <c r="N274" s="838"/>
      <c r="O274" s="838"/>
      <c r="P274" s="838"/>
      <c r="Q274" s="838"/>
      <c r="R274" s="838"/>
      <c r="S274" s="838"/>
      <c r="T274" s="838"/>
      <c r="U274" s="838"/>
      <c r="V274" s="839"/>
      <c r="W274" s="837"/>
      <c r="X274" s="838"/>
      <c r="Y274" s="838"/>
      <c r="Z274" s="838"/>
      <c r="AA274" s="838"/>
      <c r="AB274" s="838"/>
      <c r="AC274" s="838"/>
      <c r="AD274" s="838"/>
      <c r="AE274" s="838"/>
      <c r="AF274" s="838"/>
      <c r="AG274" s="838"/>
      <c r="AH274" s="838"/>
      <c r="AI274" s="838"/>
      <c r="AJ274" s="838"/>
      <c r="AK274" s="838"/>
      <c r="AL274" s="838"/>
      <c r="AM274" s="838"/>
      <c r="AN274" s="838"/>
      <c r="AO274" s="838"/>
      <c r="AP274" s="838"/>
      <c r="AQ274" s="838"/>
      <c r="AR274" s="839"/>
      <c r="AS274" s="845"/>
    </row>
    <row r="275" spans="1:45" ht="15.75" customHeight="1">
      <c r="A275" s="837"/>
      <c r="B275" s="838"/>
      <c r="C275" s="838"/>
      <c r="D275" s="838"/>
      <c r="E275" s="838"/>
      <c r="F275" s="838"/>
      <c r="G275" s="838"/>
      <c r="H275" s="838"/>
      <c r="I275" s="838"/>
      <c r="J275" s="838"/>
      <c r="K275" s="838"/>
      <c r="L275" s="838"/>
      <c r="M275" s="838"/>
      <c r="N275" s="838"/>
      <c r="O275" s="838"/>
      <c r="P275" s="838"/>
      <c r="Q275" s="838"/>
      <c r="R275" s="838"/>
      <c r="S275" s="838"/>
      <c r="T275" s="838"/>
      <c r="U275" s="838"/>
      <c r="V275" s="839"/>
      <c r="W275" s="837"/>
      <c r="X275" s="838"/>
      <c r="Y275" s="838"/>
      <c r="Z275" s="838"/>
      <c r="AA275" s="838"/>
      <c r="AB275" s="838"/>
      <c r="AC275" s="838"/>
      <c r="AD275" s="838"/>
      <c r="AE275" s="838"/>
      <c r="AF275" s="838"/>
      <c r="AG275" s="838"/>
      <c r="AH275" s="838"/>
      <c r="AI275" s="838"/>
      <c r="AJ275" s="838"/>
      <c r="AK275" s="838"/>
      <c r="AL275" s="838"/>
      <c r="AM275" s="838"/>
      <c r="AN275" s="838"/>
      <c r="AO275" s="838"/>
      <c r="AP275" s="838"/>
      <c r="AQ275" s="838"/>
      <c r="AR275" s="839"/>
      <c r="AS275" s="845"/>
    </row>
    <row r="276" spans="1:45" ht="7.5" customHeight="1">
      <c r="A276" s="837"/>
      <c r="B276" s="838"/>
      <c r="C276" s="838"/>
      <c r="D276" s="838"/>
      <c r="E276" s="838"/>
      <c r="F276" s="838"/>
      <c r="G276" s="838"/>
      <c r="H276" s="838"/>
      <c r="I276" s="838"/>
      <c r="J276" s="838"/>
      <c r="K276" s="838"/>
      <c r="L276" s="838"/>
      <c r="M276" s="838"/>
      <c r="N276" s="838"/>
      <c r="O276" s="838"/>
      <c r="P276" s="838"/>
      <c r="Q276" s="838"/>
      <c r="R276" s="838"/>
      <c r="S276" s="838"/>
      <c r="T276" s="838"/>
      <c r="U276" s="838"/>
      <c r="V276" s="839"/>
      <c r="W276" s="837"/>
      <c r="X276" s="838"/>
      <c r="Y276" s="838"/>
      <c r="Z276" s="838"/>
      <c r="AA276" s="838"/>
      <c r="AB276" s="838"/>
      <c r="AC276" s="838"/>
      <c r="AD276" s="838"/>
      <c r="AE276" s="838"/>
      <c r="AF276" s="838"/>
      <c r="AG276" s="838"/>
      <c r="AH276" s="838"/>
      <c r="AI276" s="838"/>
      <c r="AJ276" s="838"/>
      <c r="AK276" s="838"/>
      <c r="AL276" s="838"/>
      <c r="AM276" s="838"/>
      <c r="AN276" s="838"/>
      <c r="AO276" s="838"/>
      <c r="AP276" s="838"/>
      <c r="AQ276" s="838"/>
      <c r="AR276" s="839"/>
      <c r="AS276" s="845"/>
    </row>
    <row r="277" spans="1:45" ht="15" customHeight="1">
      <c r="A277" s="837"/>
      <c r="B277" s="838"/>
      <c r="C277" s="838"/>
      <c r="D277" s="838"/>
      <c r="E277" s="838"/>
      <c r="F277" s="838"/>
      <c r="G277" s="838"/>
      <c r="H277" s="838"/>
      <c r="I277" s="838"/>
      <c r="J277" s="838"/>
      <c r="K277" s="838"/>
      <c r="L277" s="838"/>
      <c r="M277" s="838"/>
      <c r="N277" s="838"/>
      <c r="O277" s="838"/>
      <c r="P277" s="838"/>
      <c r="Q277" s="838"/>
      <c r="R277" s="838"/>
      <c r="S277" s="838"/>
      <c r="T277" s="838"/>
      <c r="U277" s="838"/>
      <c r="V277" s="839"/>
      <c r="W277" s="837"/>
      <c r="X277" s="838"/>
      <c r="Y277" s="838"/>
      <c r="Z277" s="838"/>
      <c r="AA277" s="838"/>
      <c r="AB277" s="838"/>
      <c r="AC277" s="838"/>
      <c r="AD277" s="838"/>
      <c r="AE277" s="838"/>
      <c r="AF277" s="838"/>
      <c r="AG277" s="838"/>
      <c r="AH277" s="838"/>
      <c r="AI277" s="838"/>
      <c r="AJ277" s="838"/>
      <c r="AK277" s="838"/>
      <c r="AL277" s="838"/>
      <c r="AM277" s="838"/>
      <c r="AN277" s="838"/>
      <c r="AO277" s="838"/>
      <c r="AP277" s="838"/>
      <c r="AQ277" s="838"/>
      <c r="AR277" s="839"/>
      <c r="AS277" s="845"/>
    </row>
    <row r="278" spans="1:45" ht="15" customHeight="1">
      <c r="A278" s="837"/>
      <c r="B278" s="838"/>
      <c r="C278" s="838"/>
      <c r="D278" s="838"/>
      <c r="E278" s="838"/>
      <c r="F278" s="838"/>
      <c r="G278" s="838"/>
      <c r="H278" s="838"/>
      <c r="I278" s="838"/>
      <c r="J278" s="838"/>
      <c r="K278" s="838"/>
      <c r="L278" s="838"/>
      <c r="M278" s="838"/>
      <c r="N278" s="838"/>
      <c r="O278" s="838"/>
      <c r="P278" s="838"/>
      <c r="Q278" s="838"/>
      <c r="R278" s="838"/>
      <c r="S278" s="838"/>
      <c r="T278" s="838"/>
      <c r="U278" s="838"/>
      <c r="V278" s="839"/>
      <c r="W278" s="837"/>
      <c r="X278" s="838"/>
      <c r="Y278" s="838"/>
      <c r="Z278" s="838"/>
      <c r="AA278" s="838"/>
      <c r="AB278" s="838"/>
      <c r="AC278" s="838"/>
      <c r="AD278" s="838"/>
      <c r="AE278" s="838"/>
      <c r="AF278" s="838"/>
      <c r="AG278" s="838"/>
      <c r="AH278" s="838"/>
      <c r="AI278" s="838"/>
      <c r="AJ278" s="838"/>
      <c r="AK278" s="838"/>
      <c r="AL278" s="838"/>
      <c r="AM278" s="838"/>
      <c r="AN278" s="838"/>
      <c r="AO278" s="838"/>
      <c r="AP278" s="838"/>
      <c r="AQ278" s="838"/>
      <c r="AR278" s="839"/>
      <c r="AS278" s="845"/>
    </row>
    <row r="279" spans="1:45" ht="15" customHeight="1">
      <c r="A279" s="837"/>
      <c r="B279" s="838"/>
      <c r="C279" s="838"/>
      <c r="D279" s="838"/>
      <c r="E279" s="838"/>
      <c r="F279" s="838"/>
      <c r="G279" s="838"/>
      <c r="H279" s="838"/>
      <c r="I279" s="838"/>
      <c r="J279" s="838"/>
      <c r="K279" s="838"/>
      <c r="L279" s="838"/>
      <c r="M279" s="838"/>
      <c r="N279" s="838"/>
      <c r="O279" s="838"/>
      <c r="P279" s="838"/>
      <c r="Q279" s="838"/>
      <c r="R279" s="838"/>
      <c r="S279" s="838"/>
      <c r="T279" s="838"/>
      <c r="U279" s="838"/>
      <c r="V279" s="839"/>
      <c r="W279" s="837"/>
      <c r="X279" s="838"/>
      <c r="Y279" s="838"/>
      <c r="Z279" s="838"/>
      <c r="AA279" s="838"/>
      <c r="AB279" s="838"/>
      <c r="AC279" s="838"/>
      <c r="AD279" s="838"/>
      <c r="AE279" s="838"/>
      <c r="AF279" s="838"/>
      <c r="AG279" s="838"/>
      <c r="AH279" s="838"/>
      <c r="AI279" s="838"/>
      <c r="AJ279" s="838"/>
      <c r="AK279" s="838"/>
      <c r="AL279" s="838"/>
      <c r="AM279" s="838"/>
      <c r="AN279" s="838"/>
      <c r="AO279" s="838"/>
      <c r="AP279" s="838"/>
      <c r="AQ279" s="838"/>
      <c r="AR279" s="839"/>
      <c r="AS279" s="845"/>
    </row>
    <row r="280" spans="1:45" ht="15" customHeight="1">
      <c r="A280" s="837"/>
      <c r="B280" s="838"/>
      <c r="C280" s="838"/>
      <c r="D280" s="838"/>
      <c r="E280" s="838"/>
      <c r="F280" s="838"/>
      <c r="G280" s="838"/>
      <c r="H280" s="838"/>
      <c r="I280" s="838"/>
      <c r="J280" s="838"/>
      <c r="K280" s="838"/>
      <c r="L280" s="838"/>
      <c r="M280" s="838"/>
      <c r="N280" s="838"/>
      <c r="O280" s="838"/>
      <c r="P280" s="838"/>
      <c r="Q280" s="838"/>
      <c r="R280" s="838"/>
      <c r="S280" s="838"/>
      <c r="T280" s="838"/>
      <c r="U280" s="838"/>
      <c r="V280" s="839"/>
      <c r="W280" s="837"/>
      <c r="X280" s="838"/>
      <c r="Y280" s="838"/>
      <c r="Z280" s="838"/>
      <c r="AA280" s="838"/>
      <c r="AB280" s="838"/>
      <c r="AC280" s="838"/>
      <c r="AD280" s="838"/>
      <c r="AE280" s="838"/>
      <c r="AF280" s="838"/>
      <c r="AG280" s="838"/>
      <c r="AH280" s="838"/>
      <c r="AI280" s="838"/>
      <c r="AJ280" s="838"/>
      <c r="AK280" s="838"/>
      <c r="AL280" s="838"/>
      <c r="AM280" s="838"/>
      <c r="AN280" s="838"/>
      <c r="AO280" s="838"/>
      <c r="AP280" s="838"/>
      <c r="AQ280" s="838"/>
      <c r="AR280" s="839"/>
      <c r="AS280" s="845"/>
    </row>
    <row r="281" spans="1:45" ht="15" customHeight="1">
      <c r="A281" s="837"/>
      <c r="B281" s="838"/>
      <c r="C281" s="838"/>
      <c r="D281" s="838"/>
      <c r="E281" s="838"/>
      <c r="F281" s="838"/>
      <c r="G281" s="838"/>
      <c r="H281" s="838"/>
      <c r="I281" s="838"/>
      <c r="J281" s="838"/>
      <c r="K281" s="838"/>
      <c r="L281" s="838"/>
      <c r="M281" s="838"/>
      <c r="N281" s="838"/>
      <c r="O281" s="838"/>
      <c r="P281" s="838"/>
      <c r="Q281" s="838"/>
      <c r="R281" s="838"/>
      <c r="S281" s="838"/>
      <c r="T281" s="838"/>
      <c r="U281" s="838"/>
      <c r="V281" s="839"/>
      <c r="W281" s="837"/>
      <c r="X281" s="838"/>
      <c r="Y281" s="838"/>
      <c r="Z281" s="838"/>
      <c r="AA281" s="838"/>
      <c r="AB281" s="838"/>
      <c r="AC281" s="838"/>
      <c r="AD281" s="838"/>
      <c r="AE281" s="838"/>
      <c r="AF281" s="838"/>
      <c r="AG281" s="838"/>
      <c r="AH281" s="838"/>
      <c r="AI281" s="838"/>
      <c r="AJ281" s="838"/>
      <c r="AK281" s="838"/>
      <c r="AL281" s="838"/>
      <c r="AM281" s="838"/>
      <c r="AN281" s="838"/>
      <c r="AO281" s="838"/>
      <c r="AP281" s="838"/>
      <c r="AQ281" s="838"/>
      <c r="AR281" s="839"/>
      <c r="AS281" s="845"/>
    </row>
    <row r="282" spans="1:44" ht="15">
      <c r="A282" s="837"/>
      <c r="B282" s="838"/>
      <c r="C282" s="838"/>
      <c r="D282" s="838"/>
      <c r="E282" s="838"/>
      <c r="F282" s="838"/>
      <c r="G282" s="838"/>
      <c r="H282" s="838"/>
      <c r="I282" s="838"/>
      <c r="J282" s="838"/>
      <c r="K282" s="838"/>
      <c r="L282" s="838"/>
      <c r="M282" s="838"/>
      <c r="N282" s="838"/>
      <c r="O282" s="838"/>
      <c r="P282" s="838"/>
      <c r="Q282" s="838"/>
      <c r="R282" s="838"/>
      <c r="S282" s="838"/>
      <c r="T282" s="838"/>
      <c r="U282" s="838"/>
      <c r="V282" s="839"/>
      <c r="W282" s="837"/>
      <c r="X282" s="838"/>
      <c r="Y282" s="838"/>
      <c r="Z282" s="838"/>
      <c r="AA282" s="838"/>
      <c r="AB282" s="838"/>
      <c r="AC282" s="838"/>
      <c r="AD282" s="838"/>
      <c r="AE282" s="838"/>
      <c r="AF282" s="838"/>
      <c r="AG282" s="838"/>
      <c r="AH282" s="838"/>
      <c r="AI282" s="838"/>
      <c r="AJ282" s="838"/>
      <c r="AK282" s="838"/>
      <c r="AL282" s="838"/>
      <c r="AM282" s="838"/>
      <c r="AN282" s="838"/>
      <c r="AO282" s="838"/>
      <c r="AP282" s="838"/>
      <c r="AQ282" s="838"/>
      <c r="AR282" s="839"/>
    </row>
    <row r="283" spans="1:44" ht="15">
      <c r="A283" s="837"/>
      <c r="B283" s="838"/>
      <c r="C283" s="838"/>
      <c r="D283" s="838"/>
      <c r="E283" s="838"/>
      <c r="F283" s="838"/>
      <c r="G283" s="838"/>
      <c r="H283" s="838"/>
      <c r="I283" s="838"/>
      <c r="J283" s="838"/>
      <c r="K283" s="838"/>
      <c r="L283" s="838"/>
      <c r="M283" s="838"/>
      <c r="N283" s="838"/>
      <c r="O283" s="838"/>
      <c r="P283" s="838"/>
      <c r="Q283" s="838"/>
      <c r="R283" s="838"/>
      <c r="S283" s="838"/>
      <c r="T283" s="838"/>
      <c r="U283" s="838"/>
      <c r="V283" s="839"/>
      <c r="W283" s="837"/>
      <c r="X283" s="838"/>
      <c r="Y283" s="838"/>
      <c r="Z283" s="838"/>
      <c r="AA283" s="838"/>
      <c r="AB283" s="838"/>
      <c r="AC283" s="838"/>
      <c r="AD283" s="838"/>
      <c r="AE283" s="838"/>
      <c r="AF283" s="838"/>
      <c r="AG283" s="838"/>
      <c r="AH283" s="838"/>
      <c r="AI283" s="838"/>
      <c r="AJ283" s="838"/>
      <c r="AK283" s="838"/>
      <c r="AL283" s="838"/>
      <c r="AM283" s="838"/>
      <c r="AN283" s="838"/>
      <c r="AO283" s="838"/>
      <c r="AP283" s="838"/>
      <c r="AQ283" s="838"/>
      <c r="AR283" s="839"/>
    </row>
    <row r="284" spans="1:44" ht="15" thickBot="1">
      <c r="A284" s="840"/>
      <c r="B284" s="841"/>
      <c r="C284" s="841"/>
      <c r="D284" s="841"/>
      <c r="E284" s="841"/>
      <c r="F284" s="841"/>
      <c r="G284" s="841"/>
      <c r="H284" s="841"/>
      <c r="I284" s="841"/>
      <c r="J284" s="841"/>
      <c r="K284" s="841"/>
      <c r="L284" s="841"/>
      <c r="M284" s="841"/>
      <c r="N284" s="841"/>
      <c r="O284" s="841"/>
      <c r="P284" s="841"/>
      <c r="Q284" s="841"/>
      <c r="R284" s="841"/>
      <c r="S284" s="841"/>
      <c r="T284" s="841"/>
      <c r="U284" s="841"/>
      <c r="V284" s="842"/>
      <c r="W284" s="840"/>
      <c r="X284" s="841"/>
      <c r="Y284" s="841"/>
      <c r="Z284" s="841"/>
      <c r="AA284" s="841"/>
      <c r="AB284" s="841"/>
      <c r="AC284" s="841"/>
      <c r="AD284" s="841"/>
      <c r="AE284" s="841"/>
      <c r="AF284" s="841"/>
      <c r="AG284" s="841"/>
      <c r="AH284" s="841"/>
      <c r="AI284" s="841"/>
      <c r="AJ284" s="841"/>
      <c r="AK284" s="841"/>
      <c r="AL284" s="841"/>
      <c r="AM284" s="841"/>
      <c r="AN284" s="841"/>
      <c r="AO284" s="841"/>
      <c r="AP284" s="841"/>
      <c r="AQ284" s="841"/>
      <c r="AR284" s="842"/>
    </row>
    <row r="285" spans="1:44" ht="15">
      <c r="A285" s="849"/>
      <c r="B285" s="849"/>
      <c r="C285" s="849"/>
      <c r="D285" s="849"/>
      <c r="E285" s="849"/>
      <c r="F285" s="849"/>
      <c r="G285" s="849"/>
      <c r="H285" s="849"/>
      <c r="I285" s="849"/>
      <c r="J285" s="849"/>
      <c r="K285" s="849"/>
      <c r="L285" s="849"/>
      <c r="M285" s="849"/>
      <c r="N285" s="849"/>
      <c r="O285" s="849"/>
      <c r="P285" s="849"/>
      <c r="Q285" s="849"/>
      <c r="R285" s="849"/>
      <c r="S285" s="849"/>
      <c r="T285" s="849"/>
      <c r="U285" s="849"/>
      <c r="V285" s="849"/>
      <c r="W285" s="849"/>
      <c r="X285" s="849"/>
      <c r="Y285" s="849"/>
      <c r="Z285" s="849"/>
      <c r="AA285" s="849"/>
      <c r="AB285" s="849"/>
      <c r="AC285" s="849"/>
      <c r="AD285" s="849"/>
      <c r="AE285" s="849"/>
      <c r="AF285" s="849"/>
      <c r="AG285" s="849"/>
      <c r="AH285" s="849"/>
      <c r="AI285" s="849"/>
      <c r="AJ285" s="849"/>
      <c r="AK285" s="849"/>
      <c r="AL285" s="849"/>
      <c r="AM285" s="849"/>
      <c r="AN285" s="849"/>
      <c r="AO285" s="849"/>
      <c r="AP285" s="849"/>
      <c r="AQ285" s="849"/>
      <c r="AR285" s="849"/>
    </row>
    <row r="286" spans="1:44" ht="15">
      <c r="A286" s="844" t="s">
        <v>396</v>
      </c>
      <c r="B286" s="844"/>
      <c r="C286" s="844"/>
      <c r="D286" s="850"/>
      <c r="E286" s="850"/>
      <c r="F286" s="850"/>
      <c r="G286" s="850"/>
      <c r="H286" s="850"/>
      <c r="I286" s="850"/>
      <c r="J286" s="850"/>
      <c r="K286" s="850"/>
      <c r="L286" s="850"/>
      <c r="M286" s="850"/>
      <c r="N286" s="850"/>
      <c r="O286" s="850"/>
      <c r="P286" s="850"/>
      <c r="Q286" s="850"/>
      <c r="R286" s="850"/>
      <c r="S286" s="850"/>
      <c r="T286" s="850"/>
      <c r="U286" s="850"/>
      <c r="V286" s="850"/>
      <c r="W286" s="850"/>
      <c r="X286" s="850"/>
      <c r="Y286" s="850"/>
      <c r="Z286" s="850"/>
      <c r="AA286" s="850"/>
      <c r="AB286" s="850"/>
      <c r="AC286" s="850"/>
      <c r="AD286" s="850"/>
      <c r="AE286" s="850"/>
      <c r="AF286" s="850"/>
      <c r="AG286" s="850"/>
      <c r="AH286" s="850"/>
      <c r="AI286" s="850"/>
      <c r="AJ286" s="850"/>
      <c r="AK286" s="850"/>
      <c r="AL286" s="850"/>
      <c r="AM286" s="850"/>
      <c r="AN286" s="850"/>
      <c r="AO286" s="850"/>
      <c r="AP286" s="850"/>
      <c r="AQ286" s="850"/>
      <c r="AR286" s="320"/>
    </row>
    <row r="287" spans="1:44" ht="15">
      <c r="A287" s="849"/>
      <c r="B287" s="849"/>
      <c r="C287" s="849"/>
      <c r="D287" s="850"/>
      <c r="E287" s="850"/>
      <c r="F287" s="850"/>
      <c r="G287" s="850"/>
      <c r="H287" s="850"/>
      <c r="I287" s="850"/>
      <c r="J287" s="850"/>
      <c r="K287" s="850"/>
      <c r="L287" s="850"/>
      <c r="M287" s="850"/>
      <c r="N287" s="850"/>
      <c r="O287" s="850"/>
      <c r="P287" s="850"/>
      <c r="Q287" s="850"/>
      <c r="R287" s="850"/>
      <c r="S287" s="850"/>
      <c r="T287" s="850"/>
      <c r="U287" s="850"/>
      <c r="V287" s="850"/>
      <c r="W287" s="850"/>
      <c r="X287" s="850"/>
      <c r="Y287" s="850"/>
      <c r="Z287" s="850"/>
      <c r="AA287" s="850"/>
      <c r="AB287" s="850"/>
      <c r="AC287" s="850"/>
      <c r="AD287" s="850"/>
      <c r="AE287" s="850"/>
      <c r="AF287" s="850"/>
      <c r="AG287" s="850"/>
      <c r="AH287" s="850"/>
      <c r="AI287" s="850"/>
      <c r="AJ287" s="850"/>
      <c r="AK287" s="850"/>
      <c r="AL287" s="850"/>
      <c r="AM287" s="850"/>
      <c r="AN287" s="850"/>
      <c r="AO287" s="850"/>
      <c r="AP287" s="850"/>
      <c r="AQ287" s="850"/>
      <c r="AR287" s="320"/>
    </row>
    <row r="288" spans="1:44" ht="15">
      <c r="A288" s="844"/>
      <c r="B288" s="844"/>
      <c r="C288" s="844"/>
      <c r="D288" s="850"/>
      <c r="E288" s="850"/>
      <c r="F288" s="850"/>
      <c r="G288" s="850"/>
      <c r="H288" s="850"/>
      <c r="I288" s="850"/>
      <c r="J288" s="850"/>
      <c r="K288" s="850"/>
      <c r="L288" s="850"/>
      <c r="M288" s="850"/>
      <c r="N288" s="850"/>
      <c r="O288" s="850"/>
      <c r="P288" s="850"/>
      <c r="Q288" s="850"/>
      <c r="R288" s="850"/>
      <c r="S288" s="850"/>
      <c r="T288" s="850"/>
      <c r="U288" s="850"/>
      <c r="V288" s="850"/>
      <c r="W288" s="850"/>
      <c r="X288" s="850"/>
      <c r="Y288" s="850"/>
      <c r="Z288" s="850"/>
      <c r="AA288" s="850"/>
      <c r="AB288" s="850"/>
      <c r="AC288" s="850"/>
      <c r="AD288" s="850"/>
      <c r="AE288" s="850"/>
      <c r="AF288" s="850"/>
      <c r="AG288" s="850"/>
      <c r="AH288" s="850"/>
      <c r="AI288" s="850"/>
      <c r="AJ288" s="850"/>
      <c r="AK288" s="850"/>
      <c r="AL288" s="850"/>
      <c r="AM288" s="850"/>
      <c r="AN288" s="850"/>
      <c r="AO288" s="850"/>
      <c r="AP288" s="850"/>
      <c r="AQ288" s="850"/>
      <c r="AR288" s="320"/>
    </row>
    <row r="289" spans="1:44" ht="15">
      <c r="A289" s="849"/>
      <c r="B289" s="849"/>
      <c r="C289" s="849"/>
      <c r="D289" s="849"/>
      <c r="E289" s="849"/>
      <c r="F289" s="849"/>
      <c r="G289" s="849"/>
      <c r="H289" s="849"/>
      <c r="I289" s="849"/>
      <c r="J289" s="849"/>
      <c r="K289" s="849"/>
      <c r="L289" s="849"/>
      <c r="M289" s="849"/>
      <c r="N289" s="849"/>
      <c r="O289" s="849"/>
      <c r="P289" s="849"/>
      <c r="Q289" s="849"/>
      <c r="R289" s="849"/>
      <c r="S289" s="849"/>
      <c r="T289" s="849"/>
      <c r="U289" s="849"/>
      <c r="V289" s="849"/>
      <c r="W289" s="849"/>
      <c r="X289" s="849"/>
      <c r="Y289" s="849"/>
      <c r="Z289" s="849"/>
      <c r="AA289" s="849"/>
      <c r="AB289" s="849"/>
      <c r="AC289" s="849"/>
      <c r="AD289" s="849"/>
      <c r="AE289" s="849"/>
      <c r="AF289" s="849"/>
      <c r="AG289" s="849"/>
      <c r="AH289" s="849"/>
      <c r="AI289" s="849"/>
      <c r="AJ289" s="849"/>
      <c r="AK289" s="849"/>
      <c r="AL289" s="849"/>
      <c r="AM289" s="849"/>
      <c r="AN289" s="849"/>
      <c r="AO289" s="849"/>
      <c r="AP289" s="849"/>
      <c r="AQ289" s="849"/>
      <c r="AR289" s="849"/>
    </row>
  </sheetData>
  <sheetProtection password="DB59" sheet="1" objects="1" scenarios="1"/>
  <mergeCells count="289">
    <mergeCell ref="AS1:AS281"/>
    <mergeCell ref="A1:AR1"/>
    <mergeCell ref="A2:AR2"/>
    <mergeCell ref="A3:AR3"/>
    <mergeCell ref="A4:AR4"/>
    <mergeCell ref="A5:AR5"/>
    <mergeCell ref="A6:AR6"/>
    <mergeCell ref="A7:G7"/>
    <mergeCell ref="A8:AQ8"/>
    <mergeCell ref="A9:H9"/>
    <mergeCell ref="A10:AR10"/>
    <mergeCell ref="A11:G11"/>
    <mergeCell ref="A12:AQ12"/>
    <mergeCell ref="A13:H13"/>
    <mergeCell ref="A14:AR14"/>
    <mergeCell ref="A15:G15"/>
    <mergeCell ref="A16:AR16"/>
    <mergeCell ref="A17:G17"/>
    <mergeCell ref="M17:AR17"/>
    <mergeCell ref="A18:AR18"/>
    <mergeCell ref="A19:G19"/>
    <mergeCell ref="A20:AR20"/>
    <mergeCell ref="A21:G21"/>
    <mergeCell ref="A22:AR22"/>
    <mergeCell ref="A23:G23"/>
    <mergeCell ref="AM21:AQ21"/>
    <mergeCell ref="AM23:AQ23"/>
    <mergeCell ref="A24:AR24"/>
    <mergeCell ref="A27:G27"/>
    <mergeCell ref="X27:AR27"/>
    <mergeCell ref="A28:AR28"/>
    <mergeCell ref="A26:AR26"/>
    <mergeCell ref="A25:G25"/>
    <mergeCell ref="A29:AR29"/>
    <mergeCell ref="A30:AR30"/>
    <mergeCell ref="A31:AR31"/>
    <mergeCell ref="A32:AR32"/>
    <mergeCell ref="A33:G33"/>
    <mergeCell ref="A34:AR34"/>
    <mergeCell ref="A35:H35"/>
    <mergeCell ref="A36:AR36"/>
    <mergeCell ref="A42:AR42"/>
    <mergeCell ref="A43:G43"/>
    <mergeCell ref="M43:AR43"/>
    <mergeCell ref="A37:G37"/>
    <mergeCell ref="A38:AR38"/>
    <mergeCell ref="A39:H39"/>
    <mergeCell ref="A40:AR40"/>
    <mergeCell ref="A69:B69"/>
    <mergeCell ref="A68:AR68"/>
    <mergeCell ref="A49:G49"/>
    <mergeCell ref="A50:AR50"/>
    <mergeCell ref="A51:AR51"/>
    <mergeCell ref="A55:V67"/>
    <mergeCell ref="W55:AR67"/>
    <mergeCell ref="A52:V52"/>
    <mergeCell ref="W52:AR52"/>
    <mergeCell ref="A74:AR74"/>
    <mergeCell ref="A75:AR75"/>
    <mergeCell ref="A71:B71"/>
    <mergeCell ref="A70:B70"/>
    <mergeCell ref="A76:AR76"/>
    <mergeCell ref="A77:AR77"/>
    <mergeCell ref="A79:AR79"/>
    <mergeCell ref="A78:AR78"/>
    <mergeCell ref="A80:G80"/>
    <mergeCell ref="A81:AR81"/>
    <mergeCell ref="A82:H82"/>
    <mergeCell ref="A83:AR83"/>
    <mergeCell ref="A90:G90"/>
    <mergeCell ref="A84:G84"/>
    <mergeCell ref="A85:AR85"/>
    <mergeCell ref="A86:H86"/>
    <mergeCell ref="A87:AR87"/>
    <mergeCell ref="A88:G88"/>
    <mergeCell ref="M90:AR90"/>
    <mergeCell ref="A89:AR89"/>
    <mergeCell ref="A101:AR101"/>
    <mergeCell ref="A102:AR102"/>
    <mergeCell ref="A96:G96"/>
    <mergeCell ref="A100:G100"/>
    <mergeCell ref="X100:AR100"/>
    <mergeCell ref="A97:AR97"/>
    <mergeCell ref="AM96:AQ96"/>
    <mergeCell ref="A91:AR91"/>
    <mergeCell ref="A93:AR93"/>
    <mergeCell ref="A95:AR95"/>
    <mergeCell ref="A94:G94"/>
    <mergeCell ref="A92:G92"/>
    <mergeCell ref="AM94:AQ94"/>
    <mergeCell ref="A103:AR103"/>
    <mergeCell ref="A104:AR104"/>
    <mergeCell ref="A105:AR105"/>
    <mergeCell ref="A106:G106"/>
    <mergeCell ref="A107:AR107"/>
    <mergeCell ref="A108:H108"/>
    <mergeCell ref="A109:AR109"/>
    <mergeCell ref="A110:G110"/>
    <mergeCell ref="A111:AR111"/>
    <mergeCell ref="A112:H112"/>
    <mergeCell ref="A113:AR113"/>
    <mergeCell ref="A114:G114"/>
    <mergeCell ref="A115:AR115"/>
    <mergeCell ref="A116:G116"/>
    <mergeCell ref="M116:AR116"/>
    <mergeCell ref="A117:AR117"/>
    <mergeCell ref="A120:G120"/>
    <mergeCell ref="A121:AR121"/>
    <mergeCell ref="A122:G122"/>
    <mergeCell ref="X120:AQ120"/>
    <mergeCell ref="L122:AR122"/>
    <mergeCell ref="A124:AR124"/>
    <mergeCell ref="A126:V127"/>
    <mergeCell ref="W126:AR127"/>
    <mergeCell ref="A125:V125"/>
    <mergeCell ref="W125:AR125"/>
    <mergeCell ref="A146:AR146"/>
    <mergeCell ref="A145:AR145"/>
    <mergeCell ref="A144:B144"/>
    <mergeCell ref="A141:AR141"/>
    <mergeCell ref="C142:AQ142"/>
    <mergeCell ref="C143:AQ143"/>
    <mergeCell ref="A142:B142"/>
    <mergeCell ref="A143:B143"/>
    <mergeCell ref="A151:AR151"/>
    <mergeCell ref="A152:G152"/>
    <mergeCell ref="A153:AR153"/>
    <mergeCell ref="A147:AR147"/>
    <mergeCell ref="A148:AR148"/>
    <mergeCell ref="A149:AR149"/>
    <mergeCell ref="A150:AR150"/>
    <mergeCell ref="A156:G156"/>
    <mergeCell ref="A154:H154"/>
    <mergeCell ref="A155:AR155"/>
    <mergeCell ref="A157:AR157"/>
    <mergeCell ref="A160:G160"/>
    <mergeCell ref="A162:G162"/>
    <mergeCell ref="A164:G164"/>
    <mergeCell ref="M162:AR162"/>
    <mergeCell ref="A172:G172"/>
    <mergeCell ref="AM166:AQ166"/>
    <mergeCell ref="A163:AR163"/>
    <mergeCell ref="A165:AR165"/>
    <mergeCell ref="A178:G178"/>
    <mergeCell ref="A170:G170"/>
    <mergeCell ref="A158:H158"/>
    <mergeCell ref="A159:AR159"/>
    <mergeCell ref="A161:AR161"/>
    <mergeCell ref="A176:AR176"/>
    <mergeCell ref="A173:AR173"/>
    <mergeCell ref="X172:AR172"/>
    <mergeCell ref="A167:AR167"/>
    <mergeCell ref="A166:G166"/>
    <mergeCell ref="M188:AR188"/>
    <mergeCell ref="A189:AR189"/>
    <mergeCell ref="AM168:AQ168"/>
    <mergeCell ref="A168:G168"/>
    <mergeCell ref="A169:AR169"/>
    <mergeCell ref="A184:H184"/>
    <mergeCell ref="A177:AR177"/>
    <mergeCell ref="A179:AR179"/>
    <mergeCell ref="A174:AR174"/>
    <mergeCell ref="A175:AR175"/>
    <mergeCell ref="A185:AR185"/>
    <mergeCell ref="A187:AR187"/>
    <mergeCell ref="A180:H180"/>
    <mergeCell ref="A181:AR181"/>
    <mergeCell ref="A183:AR183"/>
    <mergeCell ref="A182:G182"/>
    <mergeCell ref="A186:G186"/>
    <mergeCell ref="X192:AQ192"/>
    <mergeCell ref="A188:G188"/>
    <mergeCell ref="A192:G192"/>
    <mergeCell ref="A213:AR213"/>
    <mergeCell ref="A200:V212"/>
    <mergeCell ref="W200:AR212"/>
    <mergeCell ref="A196:AR196"/>
    <mergeCell ref="A198:V199"/>
    <mergeCell ref="W198:AR199"/>
    <mergeCell ref="A194:G194"/>
    <mergeCell ref="A214:D214"/>
    <mergeCell ref="A215:D215"/>
    <mergeCell ref="A221:AR221"/>
    <mergeCell ref="A217:AQ217"/>
    <mergeCell ref="A218:AR218"/>
    <mergeCell ref="A219:AQ219"/>
    <mergeCell ref="A220:AR220"/>
    <mergeCell ref="E214:AQ214"/>
    <mergeCell ref="E215:AQ215"/>
    <mergeCell ref="A222:AR222"/>
    <mergeCell ref="A223:AR223"/>
    <mergeCell ref="A225:AR225"/>
    <mergeCell ref="A216:D216"/>
    <mergeCell ref="A224:G224"/>
    <mergeCell ref="E216:AQ216"/>
    <mergeCell ref="A235:AR235"/>
    <mergeCell ref="A230:H230"/>
    <mergeCell ref="A231:AR231"/>
    <mergeCell ref="A233:AR233"/>
    <mergeCell ref="A242:G242"/>
    <mergeCell ref="A245:AR245"/>
    <mergeCell ref="X244:AR244"/>
    <mergeCell ref="A237:AR237"/>
    <mergeCell ref="A239:AR239"/>
    <mergeCell ref="A226:H226"/>
    <mergeCell ref="A227:AR227"/>
    <mergeCell ref="A229:AR229"/>
    <mergeCell ref="M234:AR234"/>
    <mergeCell ref="A246:AR246"/>
    <mergeCell ref="A228:G228"/>
    <mergeCell ref="A232:G232"/>
    <mergeCell ref="A234:G234"/>
    <mergeCell ref="A236:G236"/>
    <mergeCell ref="A238:G238"/>
    <mergeCell ref="A240:G240"/>
    <mergeCell ref="A244:G244"/>
    <mergeCell ref="A241:AR241"/>
    <mergeCell ref="A243:AR243"/>
    <mergeCell ref="A251:AR251"/>
    <mergeCell ref="A252:H252"/>
    <mergeCell ref="A253:AR253"/>
    <mergeCell ref="A247:AR247"/>
    <mergeCell ref="A248:AR248"/>
    <mergeCell ref="A249:AR249"/>
    <mergeCell ref="A266:G266"/>
    <mergeCell ref="A265:AR265"/>
    <mergeCell ref="N266:AR266"/>
    <mergeCell ref="A259:AR259"/>
    <mergeCell ref="M260:AR260"/>
    <mergeCell ref="A261:AR261"/>
    <mergeCell ref="X264:AQ264"/>
    <mergeCell ref="A254:G254"/>
    <mergeCell ref="A258:G258"/>
    <mergeCell ref="A260:G260"/>
    <mergeCell ref="A264:G264"/>
    <mergeCell ref="A255:AR255"/>
    <mergeCell ref="A256:H256"/>
    <mergeCell ref="A257:AR257"/>
    <mergeCell ref="A272:V284"/>
    <mergeCell ref="W272:AR284"/>
    <mergeCell ref="D288:AQ288"/>
    <mergeCell ref="A46:AR46"/>
    <mergeCell ref="X47:AR47"/>
    <mergeCell ref="A262:G262"/>
    <mergeCell ref="A263:AR263"/>
    <mergeCell ref="A267:AR267"/>
    <mergeCell ref="A268:AR268"/>
    <mergeCell ref="A250:G250"/>
    <mergeCell ref="A289:AR289"/>
    <mergeCell ref="A285:AR285"/>
    <mergeCell ref="D286:AQ286"/>
    <mergeCell ref="D287:AQ287"/>
    <mergeCell ref="A288:C288"/>
    <mergeCell ref="A287:C287"/>
    <mergeCell ref="A286:C286"/>
    <mergeCell ref="AU3:AZ3"/>
    <mergeCell ref="BA3:BF3"/>
    <mergeCell ref="A53:V54"/>
    <mergeCell ref="W53:AR54"/>
    <mergeCell ref="A45:G45"/>
    <mergeCell ref="L49:AR49"/>
    <mergeCell ref="A44:AR44"/>
    <mergeCell ref="A47:G47"/>
    <mergeCell ref="A48:AR48"/>
    <mergeCell ref="A41:G41"/>
    <mergeCell ref="W128:AR140"/>
    <mergeCell ref="C144:AQ144"/>
    <mergeCell ref="C69:AQ69"/>
    <mergeCell ref="C70:AQ70"/>
    <mergeCell ref="C71:AQ71"/>
    <mergeCell ref="A98:G98"/>
    <mergeCell ref="A99:AR99"/>
    <mergeCell ref="A72:AR73"/>
    <mergeCell ref="A118:G118"/>
    <mergeCell ref="A123:AR123"/>
    <mergeCell ref="A119:AR119"/>
    <mergeCell ref="A171:AR171"/>
    <mergeCell ref="A197:V197"/>
    <mergeCell ref="W197:AR197"/>
    <mergeCell ref="A190:G190"/>
    <mergeCell ref="A191:AR191"/>
    <mergeCell ref="A193:AR193"/>
    <mergeCell ref="N194:AR194"/>
    <mergeCell ref="A195:AR195"/>
    <mergeCell ref="A128:V140"/>
    <mergeCell ref="A269:V269"/>
    <mergeCell ref="W269:AR269"/>
    <mergeCell ref="A270:V271"/>
    <mergeCell ref="W270:AR271"/>
  </mergeCells>
  <printOptions horizontalCentered="1"/>
  <pageMargins left="0.75" right="0.75" top="1" bottom="1" header="0.5" footer="0.5"/>
  <pageSetup fitToHeight="4"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